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413D4E7-193E-435A-9856-27A69366277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Feuil1" sheetId="18" state="hidden" r:id="rId1"/>
    <sheet name="élements de salaires" sheetId="7" r:id="rId2"/>
    <sheet name="TABLE CONVENTION" sheetId="4" state="hidden" r:id="rId3"/>
  </sheets>
  <definedNames>
    <definedName name="CATEGORIES">#REF!</definedName>
    <definedName name="_xlnm.Print_Titles" localSheetId="1">'élements de salaires'!$A:$C,'élements de salaires'!$1:$1</definedName>
    <definedName name="MATRICULE">'élements de salaires'!$A:$A</definedName>
    <definedName name="Z_E6EB471E_1B8F_4A72_A65D_4E2F938AFF2C_.wvu.PrintArea" localSheetId="2" hidden="1">'TABLE CONVENTION'!$E$1:$K$1</definedName>
  </definedNames>
  <calcPr calcId="191029"/>
  <pivotCaches>
    <pivotCache cacheId="24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3" i="7" l="1"/>
  <c r="AY4" i="7"/>
  <c r="AY5" i="7"/>
  <c r="AY6" i="7"/>
  <c r="AY7" i="7"/>
  <c r="AY8" i="7"/>
  <c r="AY9" i="7"/>
  <c r="AY10" i="7"/>
  <c r="AY11" i="7"/>
  <c r="AY12" i="7"/>
  <c r="AY13" i="7"/>
  <c r="AY14" i="7"/>
  <c r="AY15" i="7"/>
  <c r="AY16" i="7"/>
  <c r="AY2" i="7"/>
  <c r="AO2" i="7"/>
  <c r="AO3" i="7"/>
  <c r="AO4" i="7"/>
  <c r="AO5" i="7"/>
  <c r="AO6" i="7"/>
  <c r="AO7" i="7"/>
  <c r="AO8" i="7"/>
  <c r="AO9" i="7"/>
  <c r="AO10" i="7"/>
  <c r="AO11" i="7"/>
  <c r="AO12" i="7"/>
  <c r="AO13" i="7"/>
  <c r="AO14" i="7"/>
  <c r="AO15" i="7"/>
  <c r="AO16" i="7"/>
  <c r="J3" i="7" l="1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2" i="7" l="1"/>
  <c r="AG21" i="7"/>
  <c r="AH21" i="7" s="1"/>
  <c r="AD2" i="7" l="1"/>
  <c r="AD16" i="7"/>
  <c r="AR16" i="7" s="1"/>
  <c r="AD8" i="7"/>
  <c r="AD4" i="7"/>
  <c r="AD15" i="7"/>
  <c r="AS15" i="7" s="1"/>
  <c r="AD11" i="7"/>
  <c r="AD7" i="7"/>
  <c r="AD3" i="7"/>
  <c r="AS3" i="7" s="1"/>
  <c r="AD10" i="7"/>
  <c r="AD6" i="7"/>
  <c r="AD14" i="7"/>
  <c r="AR14" i="7" s="1"/>
  <c r="AD5" i="7"/>
  <c r="AR5" i="7" s="1"/>
  <c r="AD13" i="7"/>
  <c r="AQ13" i="7" s="1"/>
  <c r="AD12" i="7"/>
  <c r="AD9" i="7"/>
  <c r="AQ9" i="7" s="1"/>
  <c r="AT12" i="7" l="1"/>
  <c r="AT2" i="7"/>
  <c r="AQ7" i="7"/>
  <c r="AR7" i="7"/>
  <c r="AT13" i="7"/>
  <c r="AS13" i="7"/>
  <c r="AR13" i="7"/>
  <c r="AR3" i="7"/>
  <c r="AR9" i="7"/>
  <c r="AT7" i="7"/>
  <c r="AS7" i="7"/>
  <c r="AQ3" i="7"/>
  <c r="AS12" i="7"/>
  <c r="AR12" i="7"/>
  <c r="AQ12" i="7"/>
  <c r="AS9" i="7"/>
  <c r="AT9" i="7"/>
  <c r="AT3" i="7"/>
  <c r="AQ5" i="7"/>
  <c r="AS14" i="7"/>
  <c r="AT5" i="7"/>
  <c r="AS5" i="7"/>
  <c r="AQ14" i="7"/>
  <c r="AT14" i="7"/>
  <c r="AT16" i="7"/>
  <c r="AS16" i="7"/>
  <c r="AQ16" i="7"/>
  <c r="AR15" i="7"/>
  <c r="AQ15" i="7"/>
  <c r="AT15" i="7"/>
  <c r="AQ11" i="7"/>
  <c r="AT11" i="7"/>
  <c r="AR11" i="7"/>
  <c r="AS11" i="7"/>
  <c r="AS2" i="7"/>
  <c r="AQ2" i="7"/>
  <c r="AR2" i="7"/>
  <c r="AT8" i="7"/>
  <c r="AQ8" i="7"/>
  <c r="AR8" i="7"/>
  <c r="AS8" i="7"/>
  <c r="AS6" i="7"/>
  <c r="AT6" i="7"/>
  <c r="AQ6" i="7"/>
  <c r="AR6" i="7"/>
  <c r="AS4" i="7"/>
  <c r="AT4" i="7"/>
  <c r="AQ4" i="7"/>
  <c r="AR4" i="7"/>
  <c r="AT10" i="7"/>
  <c r="AQ10" i="7"/>
  <c r="AR10" i="7"/>
  <c r="AS10" i="7"/>
  <c r="N2" i="7" l="1"/>
  <c r="N10" i="7"/>
  <c r="N3" i="7"/>
  <c r="N11" i="7"/>
  <c r="N4" i="7"/>
  <c r="N12" i="7"/>
  <c r="N5" i="7"/>
  <c r="N13" i="7"/>
  <c r="N6" i="7"/>
  <c r="N14" i="7"/>
  <c r="N7" i="7"/>
  <c r="N8" i="7"/>
  <c r="N15" i="7"/>
  <c r="N9" i="7"/>
  <c r="N16" i="7"/>
  <c r="E7" i="7"/>
  <c r="E8" i="7"/>
  <c r="E15" i="7"/>
  <c r="E6" i="7"/>
  <c r="E2" i="7"/>
  <c r="E14" i="7"/>
  <c r="E9" i="7"/>
  <c r="E16" i="7"/>
  <c r="E10" i="7"/>
  <c r="E3" i="7"/>
  <c r="E11" i="7"/>
  <c r="E4" i="7"/>
  <c r="E12" i="7"/>
  <c r="E5" i="7"/>
  <c r="E13" i="7"/>
  <c r="AK3" i="7" l="1"/>
  <c r="AK12" i="7"/>
  <c r="AK7" i="7"/>
  <c r="AK4" i="7"/>
  <c r="AK14" i="7"/>
  <c r="AK6" i="7"/>
  <c r="AK11" i="7"/>
  <c r="AK16" i="7"/>
  <c r="AK13" i="7"/>
  <c r="AK8" i="7"/>
  <c r="AK9" i="7"/>
  <c r="AK5" i="7"/>
  <c r="AK10" i="7"/>
  <c r="AK15" i="7"/>
  <c r="AL3" i="7" l="1"/>
  <c r="AK2" i="7"/>
  <c r="AM2" i="7"/>
  <c r="AL2" i="7"/>
  <c r="AM3" i="7"/>
  <c r="AL15" i="7"/>
  <c r="AM15" i="7"/>
  <c r="AL8" i="7"/>
  <c r="AM8" i="7"/>
  <c r="AL13" i="7"/>
  <c r="AM13" i="7"/>
  <c r="AL7" i="7"/>
  <c r="AM7" i="7"/>
  <c r="AM16" i="7"/>
  <c r="AL16" i="7"/>
  <c r="AL14" i="7"/>
  <c r="AM14" i="7"/>
  <c r="AL6" i="7"/>
  <c r="AM6" i="7"/>
  <c r="AM5" i="7"/>
  <c r="AL5" i="7"/>
  <c r="AM11" i="7"/>
  <c r="AL11" i="7"/>
  <c r="AM4" i="7"/>
  <c r="AL4" i="7"/>
  <c r="AM9" i="7"/>
  <c r="AL9" i="7"/>
  <c r="AM10" i="7"/>
  <c r="AL10" i="7"/>
  <c r="AM12" i="7"/>
  <c r="AL12" i="7"/>
  <c r="AU2" i="7" l="1"/>
  <c r="AU5" i="7"/>
  <c r="AU10" i="7"/>
  <c r="AU11" i="7"/>
  <c r="AU15" i="7"/>
  <c r="AU9" i="7"/>
  <c r="AU6" i="7"/>
  <c r="AU14" i="7"/>
  <c r="AU8" i="7"/>
  <c r="AU4" i="7"/>
  <c r="AU13" i="7"/>
  <c r="AU3" i="7"/>
  <c r="AU7" i="7"/>
  <c r="AU16" i="7"/>
  <c r="AX7" i="7" l="1"/>
  <c r="AX2" i="7"/>
  <c r="AW11" i="7"/>
  <c r="AX11" i="7"/>
  <c r="AW4" i="7"/>
  <c r="AX4" i="7"/>
  <c r="AW10" i="7"/>
  <c r="AX10" i="7"/>
  <c r="AW5" i="7"/>
  <c r="AX5" i="7"/>
  <c r="AW3" i="7"/>
  <c r="AX3" i="7"/>
  <c r="AW13" i="7"/>
  <c r="AX13" i="7"/>
  <c r="AW8" i="7"/>
  <c r="AX8" i="7"/>
  <c r="AW14" i="7"/>
  <c r="AX14" i="7"/>
  <c r="AW16" i="7"/>
  <c r="AX16" i="7"/>
  <c r="AW6" i="7"/>
  <c r="AX6" i="7"/>
  <c r="AW9" i="7"/>
  <c r="AX9" i="7"/>
  <c r="AW15" i="7"/>
  <c r="AX15" i="7"/>
  <c r="AW2" i="7"/>
  <c r="AV7" i="7"/>
  <c r="AW7" i="7"/>
  <c r="AV2" i="7"/>
  <c r="AV14" i="7"/>
  <c r="AV16" i="7"/>
  <c r="AV6" i="7"/>
  <c r="AV15" i="7"/>
  <c r="AV3" i="7"/>
  <c r="AV13" i="7"/>
  <c r="AV11" i="7"/>
  <c r="AV9" i="7"/>
  <c r="AV4" i="7"/>
  <c r="AV10" i="7"/>
  <c r="AV8" i="7"/>
  <c r="AV5" i="7"/>
  <c r="AZ10" i="7" l="1"/>
  <c r="AZ16" i="7"/>
  <c r="AZ14" i="7"/>
  <c r="AZ5" i="7"/>
  <c r="AZ8" i="7"/>
  <c r="AZ13" i="7"/>
  <c r="AZ9" i="7"/>
  <c r="AZ6" i="7"/>
  <c r="AZ3" i="7"/>
  <c r="AZ7" i="7"/>
  <c r="AZ15" i="7"/>
  <c r="BR9" i="7"/>
  <c r="BU9" i="7" s="1"/>
  <c r="CJ9" i="7" s="1"/>
  <c r="CI9" i="7" s="1"/>
  <c r="BR14" i="7"/>
  <c r="BU14" i="7" s="1"/>
  <c r="CJ14" i="7" s="1"/>
  <c r="CI14" i="7" s="1"/>
  <c r="BR8" i="7"/>
  <c r="BR3" i="7"/>
  <c r="BS6" i="7"/>
  <c r="BU8" i="7" l="1"/>
  <c r="BS7" i="7"/>
  <c r="BR15" i="7"/>
  <c r="BU15" i="7" s="1"/>
  <c r="CJ15" i="7" s="1"/>
  <c r="CI15" i="7" s="1"/>
  <c r="BR7" i="7"/>
  <c r="BS9" i="7"/>
  <c r="BT9" i="7" s="1"/>
  <c r="BS5" i="7"/>
  <c r="BR10" i="7"/>
  <c r="BU10" i="7" s="1"/>
  <c r="CJ10" i="7" s="1"/>
  <c r="CI10" i="7" s="1"/>
  <c r="BR5" i="7"/>
  <c r="BU5" i="7" s="1"/>
  <c r="CJ5" i="7" s="1"/>
  <c r="CI5" i="7" s="1"/>
  <c r="BS10" i="7"/>
  <c r="BR6" i="7"/>
  <c r="BU6" i="7" s="1"/>
  <c r="CJ6" i="7" s="1"/>
  <c r="CI6" i="7" s="1"/>
  <c r="BS14" i="7"/>
  <c r="BR16" i="7"/>
  <c r="BU16" i="7" s="1"/>
  <c r="CJ16" i="7" s="1"/>
  <c r="CI16" i="7" s="1"/>
  <c r="BS16" i="7"/>
  <c r="BS15" i="7"/>
  <c r="BR13" i="7"/>
  <c r="BU13" i="7" s="1"/>
  <c r="CJ13" i="7" s="1"/>
  <c r="CI13" i="7" s="1"/>
  <c r="BS13" i="7"/>
  <c r="BS3" i="7"/>
  <c r="BU3" i="7"/>
  <c r="CJ3" i="7" s="1"/>
  <c r="CI3" i="7" s="1"/>
  <c r="BS8" i="7" l="1"/>
  <c r="CJ8" i="7"/>
  <c r="CI8" i="7" s="1"/>
  <c r="BU7" i="7"/>
  <c r="BT3" i="7"/>
  <c r="BT7" i="7"/>
  <c r="BT14" i="7"/>
  <c r="BT15" i="7"/>
  <c r="BT10" i="7"/>
  <c r="BT5" i="7"/>
  <c r="BT6" i="7"/>
  <c r="BT16" i="7"/>
  <c r="BT13" i="7"/>
  <c r="BT8" i="7" l="1"/>
  <c r="CJ7" i="7"/>
  <c r="CI7" i="7" s="1"/>
  <c r="AZ4" i="7" l="1"/>
  <c r="AZ11" i="7"/>
  <c r="BR4" i="7"/>
  <c r="BS4" i="7" l="1"/>
  <c r="BR11" i="7"/>
  <c r="BU4" i="7"/>
  <c r="CJ4" i="7" s="1"/>
  <c r="CI4" i="7" s="1"/>
  <c r="BS11" i="7" l="1"/>
  <c r="BU11" i="7"/>
  <c r="BT4" i="7"/>
  <c r="BT11" i="7" l="1"/>
  <c r="CJ11" i="7"/>
  <c r="CI11" i="7" s="1"/>
  <c r="AZ2" i="7" l="1"/>
  <c r="BR2" i="7" l="1"/>
  <c r="BS2" i="7" l="1"/>
  <c r="BU2" i="7"/>
  <c r="BT2" i="7" l="1"/>
  <c r="CJ2" i="7"/>
  <c r="CI2" i="7" s="1"/>
  <c r="CH15" i="7"/>
  <c r="CH6" i="7"/>
  <c r="CH7" i="7"/>
  <c r="CH4" i="7"/>
  <c r="CH9" i="7"/>
  <c r="CH8" i="7"/>
  <c r="CH10" i="7"/>
  <c r="CH16" i="7"/>
  <c r="CH5" i="7"/>
  <c r="CH3" i="7"/>
  <c r="CH11" i="7"/>
  <c r="CH13" i="7"/>
  <c r="CH14" i="7"/>
  <c r="CH2" i="7" l="1"/>
  <c r="AU12" i="7" l="1"/>
  <c r="AX12" i="7" l="1"/>
  <c r="AV12" i="7"/>
  <c r="AW12" i="7"/>
  <c r="AZ12" i="7" l="1"/>
  <c r="BR12" i="7" l="1"/>
  <c r="BS12" i="7" l="1"/>
  <c r="BU12" i="7"/>
  <c r="BT12" i="7" l="1"/>
  <c r="CJ12" i="7"/>
  <c r="CI12" i="7" s="1"/>
  <c r="CH12" i="7" l="1"/>
</calcChain>
</file>

<file path=xl/sharedStrings.xml><?xml version="1.0" encoding="utf-8"?>
<sst xmlns="http://schemas.openxmlformats.org/spreadsheetml/2006/main" count="230" uniqueCount="140">
  <si>
    <t>Étiquettes de lignes</t>
  </si>
  <si>
    <t>Nombre de contrat</t>
  </si>
  <si>
    <t>CDD</t>
  </si>
  <si>
    <t>CDI</t>
  </si>
  <si>
    <t>Total général</t>
  </si>
  <si>
    <t>MATRICULE</t>
  </si>
  <si>
    <t>PRENOM</t>
  </si>
  <si>
    <t>NOM</t>
  </si>
  <si>
    <t>date de Naissance</t>
  </si>
  <si>
    <t>age</t>
  </si>
  <si>
    <t>sexe</t>
  </si>
  <si>
    <t>adresse</t>
  </si>
  <si>
    <t>EMPLOI</t>
  </si>
  <si>
    <t>CATEGORIE</t>
  </si>
  <si>
    <t>STATUT</t>
  </si>
  <si>
    <t>contrat</t>
  </si>
  <si>
    <t>SITUATION
 CONTRAT</t>
  </si>
  <si>
    <t>Date d'entrée</t>
  </si>
  <si>
    <t>ancienneté</t>
  </si>
  <si>
    <t>Situation de famille</t>
  </si>
  <si>
    <t>ENFANTS</t>
  </si>
  <si>
    <t>PART TRIMF</t>
  </si>
  <si>
    <t xml:space="preserve"> PART
 IR</t>
  </si>
  <si>
    <t>Abs Maladie</t>
  </si>
  <si>
    <t>abs evenement familiaux</t>
  </si>
  <si>
    <t>taux maladie</t>
  </si>
  <si>
    <t>HS115%</t>
  </si>
  <si>
    <t>HS140%</t>
  </si>
  <si>
    <t>HS160%</t>
  </si>
  <si>
    <t>HS200%</t>
  </si>
  <si>
    <t>TH</t>
  </si>
  <si>
    <t>SALAIRE DE BASE</t>
  </si>
  <si>
    <t>SURSALAIRE</t>
  </si>
  <si>
    <t>Prime d'ancienneté</t>
  </si>
  <si>
    <t>Retenues Absences</t>
  </si>
  <si>
    <t>indemnite maladie</t>
  </si>
  <si>
    <t>montant abs evt de famille</t>
  </si>
  <si>
    <t>Rappel de salaire impossable</t>
  </si>
  <si>
    <t>Congé</t>
  </si>
  <si>
    <t>MT HS115%</t>
  </si>
  <si>
    <t>MT HS140%</t>
  </si>
  <si>
    <t>MT HS160%</t>
  </si>
  <si>
    <t>MT HS200%</t>
  </si>
  <si>
    <t>PRECARITE</t>
  </si>
  <si>
    <t>Impôt sur le revenu</t>
  </si>
  <si>
    <t>Retenue T.R.I.M.F</t>
  </si>
  <si>
    <t>C.F.C.E.</t>
  </si>
  <si>
    <t>BRS(5%)</t>
  </si>
  <si>
    <t>Total VRS</t>
  </si>
  <si>
    <t>BASE IPRES RG</t>
  </si>
  <si>
    <t>BASE IPRES RC</t>
  </si>
  <si>
    <t>I.P.R.E.S R.G part salarié</t>
  </si>
  <si>
    <t>I.P.R.E.S R.G. part patronale</t>
  </si>
  <si>
    <t>total
IPRES RG</t>
  </si>
  <si>
    <t>I.P.R.E.S R.C. part salarié</t>
  </si>
  <si>
    <t>I.P.R.E.S R.C. part patronale</t>
  </si>
  <si>
    <t>TOTAL
IPRES RC</t>
  </si>
  <si>
    <t>Total IPRES</t>
  </si>
  <si>
    <t>BASE CSS</t>
  </si>
  <si>
    <t>CSS A.F.</t>
  </si>
  <si>
    <t>CSS A.T.</t>
  </si>
  <si>
    <t>Total CSS</t>
  </si>
  <si>
    <t>Base IPM</t>
  </si>
  <si>
    <t>IPM PART SALARIALE</t>
  </si>
  <si>
    <t>IPM PAR PATRONALE</t>
  </si>
  <si>
    <t>TOTAL IPM</t>
  </si>
  <si>
    <t>TOTAL RETENUES</t>
  </si>
  <si>
    <t>CHARGES PATRONALES</t>
  </si>
  <si>
    <t>Total cotisation</t>
  </si>
  <si>
    <t>Remunération nette</t>
  </si>
  <si>
    <t>RETENUES téléphone</t>
  </si>
  <si>
    <t>Remboursement Frais médicaux</t>
  </si>
  <si>
    <t>FRAIS DE TELEPHONE</t>
  </si>
  <si>
    <t>INDEMEMNITE DE LICENCIEMENT</t>
  </si>
  <si>
    <t>INDEMNITE DE RETRAITE</t>
  </si>
  <si>
    <t>appoint m-1</t>
  </si>
  <si>
    <t>appoint m</t>
  </si>
  <si>
    <t>NET A 
PAYER</t>
  </si>
  <si>
    <t>F</t>
  </si>
  <si>
    <t>TRAVAIL</t>
  </si>
  <si>
    <t>Marié(e)</t>
  </si>
  <si>
    <t>M</t>
  </si>
  <si>
    <t>Célibataire</t>
  </si>
  <si>
    <t>DIRECTEUR GENERAL</t>
  </si>
  <si>
    <t>BRUT</t>
  </si>
  <si>
    <t>Absences</t>
  </si>
  <si>
    <t>Honnoraires 
prestataires</t>
  </si>
  <si>
    <t>indemnité de
transport</t>
  </si>
  <si>
    <t>indemnité de panier</t>
  </si>
  <si>
    <t>retenues AVANCE/SALAIRE</t>
  </si>
  <si>
    <t>retenues 
RESTAURANT</t>
  </si>
  <si>
    <t>retenues
FRAIS MEDICAUX</t>
  </si>
  <si>
    <t>nombre de panier</t>
  </si>
  <si>
    <t>le congé est il à payer?</t>
  </si>
  <si>
    <t>NON</t>
  </si>
  <si>
    <t>HLM grand Yoff n  208</t>
  </si>
  <si>
    <t>Usine Ben Tally Dakar</t>
  </si>
  <si>
    <t>Sacré-coeur</t>
  </si>
  <si>
    <t>Hlm grand Yoff villa n  48</t>
  </si>
  <si>
    <t>Ouest Foire lot n 4</t>
  </si>
  <si>
    <t>Cité Tawfeekh villa n 195 keur M</t>
  </si>
  <si>
    <t>Médina rue 23 x 4 bis</t>
  </si>
  <si>
    <t>Dalifort villa N 39</t>
  </si>
  <si>
    <t xml:space="preserve">Ouest foire cité Xandar villa N </t>
  </si>
  <si>
    <t>Parcelles Assainies U15 n  109</t>
  </si>
  <si>
    <t>Hann Mariste 1</t>
  </si>
  <si>
    <t>Parcelles Assainies U7</t>
  </si>
  <si>
    <t>Cité gendarmerie Dalifort Forail</t>
  </si>
  <si>
    <t>Sicap Liberté 6 LOGT 8030</t>
  </si>
  <si>
    <t>Hann Mariste I/F</t>
  </si>
  <si>
    <t>RESPONSABLE RH</t>
  </si>
  <si>
    <t>AGENT ADMINISTRATIF</t>
  </si>
  <si>
    <t>RESPONSABLE SI</t>
  </si>
  <si>
    <t>COMPTABLE</t>
  </si>
  <si>
    <t>JURISTE</t>
  </si>
  <si>
    <t>9_ème A</t>
  </si>
  <si>
    <t>7_ème B</t>
  </si>
  <si>
    <t>10_ème B</t>
  </si>
  <si>
    <t>Forfait HS</t>
  </si>
  <si>
    <t>Prime de transport imposable</t>
  </si>
  <si>
    <t>TVA</t>
  </si>
  <si>
    <t>conjoint</t>
  </si>
  <si>
    <t>,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</si>
  <si>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</si>
  <si>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</si>
  <si>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</si>
  <si>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</si>
  <si>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</si>
  <si>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</si>
  <si>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</si>
  <si>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</si>
  <si>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</si>
  <si>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</si>
  <si>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</si>
  <si>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</si>
  <si>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</si>
  <si>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</si>
  <si>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</si>
  <si>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net actuel</t>
  </si>
  <si>
    <t>net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</si>
</sst>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0_-;\-* #,##0.000_-;_-* &quot;-&quot;_-;_-@_-"/>
    <numFmt numFmtId="167" formatCode="#,###&quot; ans&quot;"/>
    <numFmt numFmtId="168" formatCode="#,###&quot; an(s)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left"/>
    </xf>
    <xf numFmtId="41" fontId="0" fillId="0" borderId="0" xfId="2" applyFont="1"/>
    <xf numFmtId="166" fontId="3" fillId="0" borderId="0" xfId="2" applyNumberFormat="1" applyFont="1"/>
    <xf numFmtId="41" fontId="3" fillId="0" borderId="0" xfId="2" applyFont="1"/>
    <xf numFmtId="167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2" fillId="3" borderId="0" xfId="0" applyFont="1" applyFill="1" applyAlignment="1">
      <alignment wrapText="1"/>
    </xf>
    <xf numFmtId="41" fontId="2" fillId="3" borderId="0" xfId="2" applyFont="1" applyFill="1" applyAlignment="1">
      <alignment wrapText="1"/>
    </xf>
    <xf numFmtId="0" fontId="2" fillId="4" borderId="0" xfId="0" applyFont="1" applyFill="1" applyAlignment="1">
      <alignment wrapText="1"/>
    </xf>
    <xf numFmtId="0" fontId="2" fillId="0" borderId="0" xfId="0" applyFont="1" applyAlignment="1">
      <alignment vertical="center"/>
    </xf>
    <xf numFmtId="14" fontId="2" fillId="0" borderId="0" xfId="0" applyNumberFormat="1" applyFont="1"/>
    <xf numFmtId="41" fontId="2" fillId="0" borderId="0" xfId="2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9" fontId="2" fillId="0" borderId="0" xfId="0" applyNumberFormat="1" applyFont="1" applyAlignment="1">
      <alignment horizontal="right" vertical="center"/>
    </xf>
    <xf numFmtId="165" fontId="2" fillId="3" borderId="0" xfId="1" applyNumberFormat="1" applyFont="1" applyFill="1" applyAlignment="1">
      <alignment horizontal="right" vertical="center"/>
    </xf>
    <xf numFmtId="41" fontId="2" fillId="3" borderId="0" xfId="2" applyFont="1" applyFill="1" applyAlignment="1">
      <alignment horizontal="right" vertical="center"/>
    </xf>
    <xf numFmtId="165" fontId="2" fillId="4" borderId="0" xfId="1" applyNumberFormat="1" applyFont="1" applyFill="1" applyAlignment="1">
      <alignment horizontal="right" vertical="center"/>
    </xf>
    <xf numFmtId="165" fontId="2" fillId="2" borderId="0" xfId="1" applyNumberFormat="1" applyFont="1" applyFill="1" applyAlignment="1">
      <alignment horizontal="right" vertical="center"/>
    </xf>
    <xf numFmtId="14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wrapText="1"/>
    </xf>
    <xf numFmtId="167" fontId="2" fillId="0" borderId="0" xfId="0" applyNumberFormat="1" applyFont="1" applyAlignment="1">
      <alignment vertical="center"/>
    </xf>
    <xf numFmtId="0" fontId="0" fillId="0" borderId="0" xfId="0" pivotButton="1"/>
    <xf numFmtId="165" fontId="2" fillId="4" borderId="0" xfId="1" applyNumberFormat="1" applyFont="1" applyFill="1" applyAlignment="1">
      <alignment horizontal="right" vertical="center" wrapText="1"/>
    </xf>
    <xf numFmtId="0" fontId="2" fillId="0" borderId="0" xfId="2" applyNumberFormat="1" applyFont="1" applyAlignment="1">
      <alignment wrapText="1"/>
    </xf>
    <xf numFmtId="0" fontId="2" fillId="0" borderId="0" xfId="2" applyNumberFormat="1" applyFont="1" applyAlignment="1">
      <alignment horizontal="right" vertical="center"/>
    </xf>
    <xf numFmtId="0" fontId="0" fillId="0" borderId="0" xfId="2" applyNumberFormat="1" applyFont="1"/>
    <xf numFmtId="0" fontId="2" fillId="2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165" fontId="2" fillId="5" borderId="0" xfId="1" applyNumberFormat="1" applyFont="1" applyFill="1" applyAlignment="1">
      <alignment horizontal="right" vertical="center"/>
    </xf>
    <xf numFmtId="0" fontId="2" fillId="4" borderId="0" xfId="0" applyFont="1" applyFill="1"/>
    <xf numFmtId="41" fontId="2" fillId="4" borderId="0" xfId="2" applyFont="1" applyFill="1" applyAlignment="1">
      <alignment wrapText="1"/>
    </xf>
    <xf numFmtId="168" fontId="2" fillId="4" borderId="0" xfId="2" applyNumberFormat="1" applyFont="1" applyFill="1" applyAlignment="1">
      <alignment horizontal="right" vertical="center"/>
    </xf>
    <xf numFmtId="41" fontId="2" fillId="4" borderId="0" xfId="2" applyFont="1" applyFill="1" applyAlignment="1">
      <alignment horizontal="right" vertical="center"/>
    </xf>
    <xf numFmtId="165" fontId="2" fillId="4" borderId="0" xfId="0" quotePrefix="1" applyNumberFormat="1" applyFont="1" applyFill="1" applyAlignment="1">
      <alignment horizontal="right" vertical="center"/>
    </xf>
    <xf numFmtId="41" fontId="2" fillId="4" borderId="0" xfId="2" applyFont="1" applyFill="1"/>
    <xf numFmtId="0" fontId="2" fillId="2" borderId="0" xfId="0" applyFont="1" applyFill="1" applyAlignment="1">
      <alignment horizontal="center" vertical="center" wrapText="1"/>
    </xf>
    <xf numFmtId="41" fontId="2" fillId="4" borderId="0" xfId="2" applyFont="1" applyFill="1" applyAlignment="1">
      <alignment horizontal="right" vertical="center" wrapText="1"/>
    </xf>
    <xf numFmtId="0" fontId="2" fillId="6" borderId="0" xfId="0" applyFont="1" applyFill="1" applyAlignment="1">
      <alignment wrapText="1"/>
    </xf>
    <xf numFmtId="165" fontId="2" fillId="6" borderId="0" xfId="1" applyNumberFormat="1" applyFont="1" applyFill="1" applyAlignment="1">
      <alignment horizontal="right" vertical="center"/>
    </xf>
    <xf numFmtId="0" fontId="0" fillId="5" borderId="0" xfId="0" applyFill="1"/>
    <xf numFmtId="0" fontId="0" fillId="0" borderId="0" xfId="0" applyNumberFormat="1"/>
  </cellXfs>
  <cellStyles count="3">
    <cellStyle name="Milliers" xfId="1" builtinId="3"/>
    <cellStyle name="Milliers [0]" xfId="2" builtinId="6"/>
    <cellStyle name="Normal" xfId="0" builtinId="0"/>
  </cellStyles>
  <dxfs count="18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0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FF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00B0F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fill>
        <patternFill patternType="solid">
          <fgColor indexed="64"/>
          <bgColor rgb="FF92D05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_-* #,##0\ _€_-;\-* #,##0\ _€_-;_-* &quot;-&quot;??\ _€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#,###&quot; an(s)&quot;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#,###&quot; an(s)&quot;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7" formatCode="#,###&quot; ans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7" formatCode="#,###&quot; ans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textRotation="0" wrapText="1" indent="0" justifyLastLine="0" shrinkToFit="0" readingOrder="0"/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>
          <fgColor theme="4" tint="0.59996337778862885"/>
        </patternFill>
      </fill>
    </dxf>
    <dxf>
      <fill>
        <patternFill>
          <fgColor theme="4"/>
        </patternFill>
      </fill>
    </dxf>
    <dxf>
      <font>
        <color theme="0"/>
      </font>
      <fill>
        <patternFill>
          <fgColor theme="4" tint="-0.499984740745262"/>
        </patternFill>
      </fill>
    </dxf>
    <dxf>
      <font>
        <color theme="0"/>
      </font>
      <fill>
        <patternFill>
          <fgColor theme="4" tint="-0.499984740745262"/>
        </patternFill>
      </fill>
    </dxf>
  </dxfs>
  <tableStyles count="2" defaultTableStyle="TableStyleMedium2" defaultPivotStyle="PivotStyleLight16">
    <tableStyle name="Style de tableau 1" pivot="0" count="4" xr9:uid="{00000000-0011-0000-FFFF-FFFF00000000}">
      <tableStyleElement type="headerRow" dxfId="186"/>
      <tableStyleElement type="totalRow" dxfId="185"/>
      <tableStyleElement type="firstColumnStripe" dxfId="184"/>
      <tableStyleElement type="secondColumnStripe" dxfId="183"/>
    </tableStyle>
    <tableStyle name="Style de tableau croisé dynamique 1" table="0" count="2" xr9:uid="{B2841377-684E-4A3F-937C-DBD9D187E8B4}">
      <tableStyleElement type="wholeTable" dxfId="182"/>
      <tableStyleElement type="headerRow" dxfId="181"/>
    </tableStyle>
  </tableStyles>
  <colors>
    <mruColors>
      <color rgb="FF9BC2E6"/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[testvaleurcible.xlsm]Feuil1!Tableau croisé dynamique1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Feuil1!$B$3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934-47BC-925A-424980C2F2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C934-47BC-925A-424980C2F2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C934-47BC-925A-424980C2F2CD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934-47BC-925A-424980C2F2CD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34-47BC-925A-424980C2F2C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Feuil1!$A$4:$A$6</c:f>
              <c:strCache>
                <c:ptCount val="2"/>
                <c:pt idx="0">
                  <c:v>CDD</c:v>
                </c:pt>
                <c:pt idx="1">
                  <c:v>CDI</c:v>
                </c:pt>
              </c:strCache>
            </c:strRef>
          </c:cat>
          <c:val>
            <c:numRef>
              <c:f>Feuil1!$B$4:$B$6</c:f>
              <c:numCache>
                <c:formatCode>General</c:formatCode>
                <c:ptCount val="2"/>
                <c:pt idx="0">
                  <c:v>1</c:v>
                </c:pt>
                <c:pt idx="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34-47BC-925A-424980C2F2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297180</xdr:colOff>
      <xdr:row>0</xdr:row>
      <xdr:rowOff>0</xdr:rowOff>
    </xdr:from>
    <xdr:to>
      <xdr:col>6</xdr:col>
      <xdr:colOff>53340</xdr:colOff>
      <xdr:row>9</xdr:row>
      <xdr:rowOff>7620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ibrahimafall481@gmail.com" refreshedDate="44879.495137615741" createdVersion="5" refreshedVersion="8" minRefreshableVersion="3" recordCount="15" xr:uid="{00000000-000A-0000-FFFF-FFFFBE000000}">
  <cacheSource type="worksheet">
    <worksheetSource name="IF"/>
  </cacheSource>
  <cacheFields count="89">
    <cacheField name="MATRICULE" numFmtId="0">
      <sharedItems containsSemiMixedTypes="0" containsString="0" containsNumber="1" containsInteger="1" minValue="10000" maxValue="10014"/>
    </cacheField>
    <cacheField name="PRENOM" numFmtId="0">
      <sharedItems/>
    </cacheField>
    <cacheField name="NOM" numFmtId="0">
      <sharedItems containsNonDate="0" containsString="0" containsBlank="1"/>
    </cacheField>
    <cacheField name="date de Naissance" numFmtId="14">
      <sharedItems containsSemiMixedTypes="0" containsNonDate="0" containsDate="1" containsString="0" minDate="1966-12-01T00:00:00" maxDate="1994-08-08T00:00:00"/>
    </cacheField>
    <cacheField name="age" numFmtId="167">
      <sharedItems/>
    </cacheField>
    <cacheField name="sexe" numFmtId="14">
      <sharedItems/>
    </cacheField>
    <cacheField name="adresse" numFmtId="14">
      <sharedItems/>
    </cacheField>
    <cacheField name="EMPLOI" numFmtId="0">
      <sharedItems/>
    </cacheField>
    <cacheField name="CATEGORIE" numFmtId="0">
      <sharedItems/>
    </cacheField>
    <cacheField name="STATUT" numFmtId="0">
      <sharedItems/>
    </cacheField>
    <cacheField name="contrat" numFmtId="0">
      <sharedItems count="4">
        <s v="CDI"/>
        <s v="CDD"/>
        <s v="Prestation de services" u="1"/>
        <s v="PRESTATION" u="1"/>
      </sharedItems>
    </cacheField>
    <cacheField name="SITUATION_x000a_ CONTRAT" numFmtId="0">
      <sharedItems/>
    </cacheField>
    <cacheField name="Date d'entrée" numFmtId="14">
      <sharedItems containsSemiMixedTypes="0" containsNonDate="0" containsDate="1" containsString="0" minDate="2013-03-01T00:00:00" maxDate="2019-10-02T00:00:00"/>
    </cacheField>
    <cacheField name="ancienneté" numFmtId="168">
      <sharedItems/>
    </cacheField>
    <cacheField name="Situation de famille" numFmtId="0">
      <sharedItems/>
    </cacheField>
    <cacheField name="conjoint" numFmtId="0">
      <sharedItems containsSemiMixedTypes="0" containsString="0" containsNumber="1" containsInteger="1" minValue="0" maxValue="2"/>
    </cacheField>
    <cacheField name="ENFANTS" numFmtId="0">
      <sharedItems containsSemiMixedTypes="0" containsString="0" containsNumber="1" containsInteger="1" minValue="0" maxValue="6"/>
    </cacheField>
    <cacheField name="PART TRIMF" numFmtId="0">
      <sharedItems containsSemiMixedTypes="0" containsString="0" containsNumber="1" containsInteger="1" minValue="1" maxValue="3"/>
    </cacheField>
    <cacheField name=" PART_x000a_ IR" numFmtId="0">
      <sharedItems containsSemiMixedTypes="0" containsString="0" containsNumber="1" minValue="1" maxValue="5"/>
    </cacheField>
    <cacheField name="le congé est il à payer?" numFmtId="0">
      <sharedItems/>
    </cacheField>
    <cacheField name="Absences" numFmtId="41">
      <sharedItems containsNonDate="0" containsString="0" containsBlank="1"/>
    </cacheField>
    <cacheField name="Abs Maladie" numFmtId="41">
      <sharedItems containsSemiMixedTypes="0" containsString="0" containsNumber="1" containsInteger="1" minValue="0" maxValue="0"/>
    </cacheField>
    <cacheField name="abs evenement familiaux" numFmtId="41">
      <sharedItems containsSemiMixedTypes="0" containsString="0" containsNumber="1" containsInteger="1" minValue="0" maxValue="0"/>
    </cacheField>
    <cacheField name="taux maladie" numFmtId="9">
      <sharedItems containsSemiMixedTypes="0" containsString="0" containsNumber="1" containsInteger="1" minValue="1" maxValue="1"/>
    </cacheField>
    <cacheField name="nombre de panier" numFmtId="41">
      <sharedItems containsNonDate="0" containsString="0" containsBlank="1"/>
    </cacheField>
    <cacheField name="HS115%" numFmtId="41">
      <sharedItems containsSemiMixedTypes="0" containsString="0" containsNumber="1" containsInteger="1" minValue="0" maxValue="0"/>
    </cacheField>
    <cacheField name="HS140%" numFmtId="41">
      <sharedItems containsSemiMixedTypes="0" containsString="0" containsNumber="1" containsInteger="1" minValue="0" maxValue="0"/>
    </cacheField>
    <cacheField name="HS160%" numFmtId="41">
      <sharedItems containsSemiMixedTypes="0" containsString="0" containsNumber="1" containsInteger="1" minValue="0" maxValue="0"/>
    </cacheField>
    <cacheField name="HS200%" numFmtId="41">
      <sharedItems containsSemiMixedTypes="0" containsString="0" containsNumber="1" containsInteger="1" minValue="0" maxValue="0"/>
    </cacheField>
    <cacheField name="TH" numFmtId="41">
      <sharedItems containsSemiMixedTypes="0" containsString="0" containsNumber="1" containsInteger="1" minValue="0" maxValue="0"/>
    </cacheField>
    <cacheField name="SALAIRE DE BASE" numFmtId="165">
      <sharedItems containsSemiMixedTypes="0" containsString="0" containsNumber="1" containsInteger="1" minValue="0" maxValue="0"/>
    </cacheField>
    <cacheField name="SURSALAIRE" numFmtId="41">
      <sharedItems containsNonDate="0" containsString="0" containsBlank="1"/>
    </cacheField>
    <cacheField name="Honnoraires _x000a_prestataires" numFmtId="165">
      <sharedItems containsSemiMixedTypes="0" containsString="0" containsNumber="1" containsInteger="1" minValue="0" maxValue="0"/>
    </cacheField>
    <cacheField name="Forfait HS" numFmtId="165">
      <sharedItems containsSemiMixedTypes="0" containsString="0" containsNumber="1" containsInteger="1" minValue="102054" maxValue="191007"/>
    </cacheField>
    <cacheField name="Prime de transport imposable" numFmtId="165">
      <sharedItems containsSemiMixedTypes="0" containsString="0" containsNumber="1" containsInteger="1" minValue="100000" maxValue="100000"/>
    </cacheField>
    <cacheField name="Prime d'ancienneté" numFmtId="165">
      <sharedItems containsSemiMixedTypes="0" containsString="0" containsNumber="1" containsInteger="1" minValue="0" maxValue="0"/>
    </cacheField>
    <cacheField name="Retenues Absences" numFmtId="165">
      <sharedItems containsSemiMixedTypes="0" containsString="0" containsNumber="1" containsInteger="1" minValue="0" maxValue="0"/>
    </cacheField>
    <cacheField name="indemnite maladie" numFmtId="165">
      <sharedItems containsSemiMixedTypes="0" containsString="0" containsNumber="1" containsInteger="1" minValue="0" maxValue="0"/>
    </cacheField>
    <cacheField name="montant abs evt de famille" numFmtId="165">
      <sharedItems containsSemiMixedTypes="0" containsString="0" containsNumber="1" containsInteger="1" minValue="0" maxValue="0"/>
    </cacheField>
    <cacheField name="Rappel de salaire impossable" numFmtId="165">
      <sharedItems containsBlank="1" containsMixedTypes="1" containsNumber="1" containsInteger="1" minValue="0" maxValue="0"/>
    </cacheField>
    <cacheField name="Congé" numFmtId="165">
      <sharedItems containsSemiMixedTypes="0" containsString="0" containsNumber="1" containsInteger="1" minValue="0" maxValue="0"/>
    </cacheField>
    <cacheField name="PRECARITE" numFmtId="165">
      <sharedItems containsSemiMixedTypes="0" containsString="0" containsNumber="1" containsInteger="1" minValue="0" maxValue="0"/>
    </cacheField>
    <cacheField name="MT HS115%" numFmtId="165">
      <sharedItems containsSemiMixedTypes="0" containsString="0" containsNumber="1" containsInteger="1" minValue="0" maxValue="0"/>
    </cacheField>
    <cacheField name="MT HS140%" numFmtId="165">
      <sharedItems containsSemiMixedTypes="0" containsString="0" containsNumber="1" containsInteger="1" minValue="0" maxValue="0"/>
    </cacheField>
    <cacheField name="MT HS160%" numFmtId="165">
      <sharedItems containsSemiMixedTypes="0" containsString="0" containsNumber="1" containsInteger="1" minValue="0" maxValue="0"/>
    </cacheField>
    <cacheField name="MT HS200%" numFmtId="165">
      <sharedItems containsSemiMixedTypes="0" containsString="0" containsNumber="1" containsInteger="1" minValue="0" maxValue="0"/>
    </cacheField>
    <cacheField name="BRUT" numFmtId="165">
      <sharedItems containsSemiMixedTypes="0" containsString="0" containsNumber="1" containsInteger="1" minValue="202054" maxValue="291007"/>
    </cacheField>
    <cacheField name="Impôt sur le revenu" numFmtId="165">
      <sharedItems containsSemiMixedTypes="0" containsString="0" containsNumber="1" minValue="0" maxValue="36675"/>
    </cacheField>
    <cacheField name="Retenue T.R.I.M.F" numFmtId="165">
      <sharedItems containsSemiMixedTypes="0" containsString="0" containsNumber="1" containsInteger="1" minValue="1000" maxValue="3000"/>
    </cacheField>
    <cacheField name="C.F.C.E." numFmtId="165">
      <sharedItems containsSemiMixedTypes="0" containsString="0" containsNumber="1" minValue="6061.62" maxValue="8730.2099999999991"/>
    </cacheField>
    <cacheField name="BRS(5%)" numFmtId="165">
      <sharedItems containsSemiMixedTypes="0" containsString="0" containsNumber="1" containsInteger="1" minValue="0" maxValue="0"/>
    </cacheField>
    <cacheField name="Total VRS" numFmtId="165">
      <sharedItems containsSemiMixedTypes="0" containsString="0" containsNumber="1" minValue="7061.62" maxValue="45894.97"/>
    </cacheField>
    <cacheField name="BASE IPRES RG" numFmtId="165">
      <sharedItems containsSemiMixedTypes="0" containsString="0" containsNumber="1" containsInteger="1" minValue="0" maxValue="0"/>
    </cacheField>
    <cacheField name="I.P.R.E.S R.G part salarié" numFmtId="165">
      <sharedItems containsSemiMixedTypes="0" containsString="0" containsNumber="1" containsInteger="1" minValue="0" maxValue="0"/>
    </cacheField>
    <cacheField name="I.P.R.E.S R.G. part patronale" numFmtId="165">
      <sharedItems containsSemiMixedTypes="0" containsString="0" containsNumber="1" containsInteger="1" minValue="0" maxValue="0"/>
    </cacheField>
    <cacheField name="total_x000a_IPRES RG" numFmtId="165">
      <sharedItems containsSemiMixedTypes="0" containsString="0" containsNumber="1" containsInteger="1" minValue="0" maxValue="0"/>
    </cacheField>
    <cacheField name="BASE IPRES RC" numFmtId="165">
      <sharedItems containsSemiMixedTypes="0" containsString="0" containsNumber="1" containsInteger="1" minValue="0" maxValue="0"/>
    </cacheField>
    <cacheField name="I.P.R.E.S R.C. part salarié" numFmtId="165">
      <sharedItems containsSemiMixedTypes="0" containsString="0" containsNumber="1" containsInteger="1" minValue="0" maxValue="0"/>
    </cacheField>
    <cacheField name="I.P.R.E.S R.C. part patronale" numFmtId="165">
      <sharedItems containsSemiMixedTypes="0" containsString="0" containsNumber="1" containsInteger="1" minValue="0" maxValue="0"/>
    </cacheField>
    <cacheField name="TOTAL_x000a_IPRES RC" numFmtId="165">
      <sharedItems containsSemiMixedTypes="0" containsString="0" containsNumber="1" containsInteger="1" minValue="0" maxValue="0"/>
    </cacheField>
    <cacheField name="Total IPRES" numFmtId="165">
      <sharedItems containsSemiMixedTypes="0" containsString="0" containsNumber="1" containsInteger="1" minValue="0" maxValue="0"/>
    </cacheField>
    <cacheField name="BASE CSS" numFmtId="165">
      <sharedItems containsSemiMixedTypes="0" containsString="0" containsNumber="1" containsInteger="1" minValue="0" maxValue="0"/>
    </cacheField>
    <cacheField name="CSS A.F." numFmtId="165">
      <sharedItems containsSemiMixedTypes="0" containsString="0" containsNumber="1" containsInteger="1" minValue="0" maxValue="0"/>
    </cacheField>
    <cacheField name="CSS A.T." numFmtId="165">
      <sharedItems containsSemiMixedTypes="0" containsString="0" containsNumber="1" containsInteger="1" minValue="0" maxValue="0"/>
    </cacheField>
    <cacheField name="Total CSS" numFmtId="165">
      <sharedItems containsSemiMixedTypes="0" containsString="0" containsNumber="1" containsInteger="1" minValue="0" maxValue="0"/>
    </cacheField>
    <cacheField name="Base IPM" numFmtId="41">
      <sharedItems containsSemiMixedTypes="0" containsString="0" containsNumber="1" containsInteger="1" minValue="0" maxValue="0"/>
    </cacheField>
    <cacheField name="IPM PART SALARIALE" numFmtId="41">
      <sharedItems containsSemiMixedTypes="0" containsString="0" containsNumber="1" containsInteger="1" minValue="0" maxValue="0"/>
    </cacheField>
    <cacheField name="IPM PAR PATRONALE" numFmtId="41">
      <sharedItems containsSemiMixedTypes="0" containsString="0" containsNumber="1" containsInteger="1" minValue="0" maxValue="0"/>
    </cacheField>
    <cacheField name="TOTAL IPM" numFmtId="41">
      <sharedItems containsSemiMixedTypes="0" containsString="0" containsNumber="1" containsInteger="1" minValue="0" maxValue="0"/>
    </cacheField>
    <cacheField name="TOTAL RETENUES" numFmtId="165">
      <sharedItems containsSemiMixedTypes="0" containsString="0" containsNumber="1" minValue="1000" maxValue="37675"/>
    </cacheField>
    <cacheField name="CHARGES PATRONALES" numFmtId="165">
      <sharedItems containsSemiMixedTypes="0" containsString="0" containsNumber="1" minValue="6061.62" maxValue="8730.2099999999991"/>
    </cacheField>
    <cacheField name="Total cotisation" numFmtId="165">
      <sharedItems containsSemiMixedTypes="0" containsString="0" containsNumber="1" minValue="7061.62" maxValue="45894.97"/>
    </cacheField>
    <cacheField name="Remunération nette" numFmtId="165">
      <sharedItems containsSemiMixedTypes="0" containsString="0" containsNumber="1" minValue="187703" maxValue="289007"/>
    </cacheField>
    <cacheField name="indemnité de_x000a_transport" numFmtId="165">
      <sharedItems containsSemiMixedTypes="0" containsString="0" containsNumber="1" containsInteger="1" minValue="20800" maxValue="20800"/>
    </cacheField>
    <cacheField name="indemnité de panier" numFmtId="41">
      <sharedItems containsSemiMixedTypes="0" containsString="0" containsNumber="1" containsInteger="1" minValue="0" maxValue="0"/>
    </cacheField>
    <cacheField name="TVA" numFmtId="165">
      <sharedItems containsSemiMixedTypes="0" containsString="0" containsNumber="1" containsInteger="1" minValue="0" maxValue="0"/>
    </cacheField>
    <cacheField name="INDEMEMNITE DE LICENCIEMENT" numFmtId="165">
      <sharedItems containsSemiMixedTypes="0" containsString="0" containsNumber="1" containsInteger="1" minValue="0" maxValue="0"/>
    </cacheField>
    <cacheField name="INDEMNITE DE RETRAITE" numFmtId="165">
      <sharedItems containsSemiMixedTypes="0" containsString="0" containsNumber="1" containsInteger="1" minValue="0" maxValue="0"/>
    </cacheField>
    <cacheField name="FRAIS DE TELEPHONE" numFmtId="165">
      <sharedItems containsSemiMixedTypes="0" containsString="0" containsNumber="1" containsInteger="1" minValue="10000" maxValue="10000"/>
    </cacheField>
    <cacheField name="retenues AVANCE/SALAIRE" numFmtId="165">
      <sharedItems containsSemiMixedTypes="0" containsString="0" containsNumber="1" containsInteger="1" minValue="0" maxValue="0"/>
    </cacheField>
    <cacheField name="RETENUES téléphone" numFmtId="165">
      <sharedItems containsString="0" containsBlank="1" containsNumber="1" containsInteger="1" minValue="0" maxValue="0"/>
    </cacheField>
    <cacheField name="retenues _x000a_RESTAURANT" numFmtId="165">
      <sharedItems containsNonDate="0" containsString="0" containsBlank="1"/>
    </cacheField>
    <cacheField name="retenues_x000a_FRAIS MEDICAUX" numFmtId="165">
      <sharedItems containsSemiMixedTypes="0" containsString="0" containsNumber="1" containsInteger="1" minValue="0" maxValue="0"/>
    </cacheField>
    <cacheField name="Remboursement Frais médicaux" numFmtId="165">
      <sharedItems containsNonDate="0" containsString="0" containsBlank="1"/>
    </cacheField>
    <cacheField name="appoint m-1" numFmtId="165">
      <sharedItems containsSemiMixedTypes="0" containsString="0" containsNumber="1" minValue="-247.37999999988824" maxValue="143.68372266663937"/>
    </cacheField>
    <cacheField name="appoint m" numFmtId="165">
      <sharedItems containsSemiMixedTypes="0" containsString="0" containsNumber="1" minValue="-209.63333333356422" maxValue="220.72166666644625"/>
    </cacheField>
    <cacheField name="NET A _x000a_PAYER" numFmtId="165">
      <sharedItems containsSemiMixedTypes="0" containsString="0" containsNumber="1" containsInteger="1" minValue="218500" maxValue="319500"/>
    </cacheField>
    <cacheField name="net actuel" numFmtId="165">
      <sharedItems containsSemiMixedTypes="0" containsString="0" containsNumber="1" minValue="218279.27833333355" maxValue="319566.39333333354"/>
    </cacheField>
    <cacheField name="net que je veux" numFmtId="165">
      <sharedItems containsSemiMixedTypes="0" containsString="0" containsNumber="1" containsInteger="1" minValue="20000" maxValue="5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0000"/>
    <s v="salarié 1"/>
    <m/>
    <d v="1982-12-31T00:00:00"/>
    <e v="#REF!"/>
    <s v="F"/>
    <s v="HLM grand Yoff n  208"/>
    <s v="RESPONSABLE RH"/>
    <s v="9_ème A"/>
    <e v="#REF!"/>
    <x v="0"/>
    <s v="TRAVAIL"/>
    <d v="2015-08-01T00:00:00"/>
    <e v="#REF!"/>
    <s v="Marié(e)"/>
    <n v="1"/>
    <n v="2"/>
    <n v="1"/>
    <n v="2.5"/>
    <s v="NON"/>
    <m/>
    <n v="0"/>
    <n v="0"/>
    <n v="1"/>
    <m/>
    <n v="0"/>
    <n v="0"/>
    <n v="0"/>
    <n v="0"/>
    <n v="0"/>
    <n v="0"/>
    <m/>
    <n v="0"/>
    <n v="187377"/>
    <n v="100000"/>
    <n v="0"/>
    <n v="0"/>
    <n v="0"/>
    <n v="0"/>
    <n v="0"/>
    <n v="0"/>
    <n v="0"/>
    <n v="0"/>
    <n v="0"/>
    <n v="0"/>
    <n v="0"/>
    <n v="287377"/>
    <n v="15700"/>
    <n v="1000"/>
    <n v="8621.31"/>
    <n v="0"/>
    <n v="25321.309999999998"/>
    <n v="0"/>
    <n v="0"/>
    <n v="0"/>
    <n v="0"/>
    <n v="0"/>
    <n v="0"/>
    <n v="0"/>
    <n v="0"/>
    <n v="0"/>
    <n v="0"/>
    <n v="0"/>
    <n v="0"/>
    <n v="0"/>
    <n v="0"/>
    <n v="0"/>
    <n v="0"/>
    <n v="0"/>
    <n v="16700"/>
    <n v="8621.31"/>
    <n v="25321.309999999998"/>
    <n v="270677"/>
    <n v="20800"/>
    <n v="0"/>
    <n v="0"/>
    <n v="0"/>
    <n v="0"/>
    <n v="10000"/>
    <n v="0"/>
    <m/>
    <m/>
    <n v="0"/>
    <m/>
    <n v="-105.06333333277144"/>
    <n v="128.06333333277144"/>
    <n v="301500"/>
    <n v="301371.93666666723"/>
    <n v="100000"/>
  </r>
  <r>
    <n v="10001"/>
    <s v="salarié 2"/>
    <m/>
    <d v="1966-12-01T00:00:00"/>
    <e v="#REF!"/>
    <s v="F"/>
    <s v="Usine Ben Tally Dakar"/>
    <s v="RESPONSABLE SI"/>
    <s v="7_ème B"/>
    <e v="#REF!"/>
    <x v="0"/>
    <s v="TRAVAIL"/>
    <d v="2013-03-01T00:00:00"/>
    <e v="#REF!"/>
    <s v="Marié(e)"/>
    <n v="1"/>
    <n v="5"/>
    <n v="2"/>
    <n v="4"/>
    <s v="NON"/>
    <m/>
    <n v="0"/>
    <n v="0"/>
    <n v="1"/>
    <m/>
    <n v="0"/>
    <n v="0"/>
    <n v="0"/>
    <n v="0"/>
    <n v="0"/>
    <n v="0"/>
    <m/>
    <n v="0"/>
    <n v="191007"/>
    <n v="100000"/>
    <n v="0"/>
    <n v="0"/>
    <n v="0"/>
    <n v="0"/>
    <s v=","/>
    <n v="0"/>
    <n v="0"/>
    <n v="0"/>
    <n v="0"/>
    <n v="0"/>
    <n v="0"/>
    <n v="291007"/>
    <n v="0"/>
    <n v="2000"/>
    <n v="8730.2099999999991"/>
    <n v="0"/>
    <n v="10730.21"/>
    <n v="0"/>
    <n v="0"/>
    <n v="0"/>
    <n v="0"/>
    <n v="0"/>
    <n v="0"/>
    <n v="0"/>
    <n v="0"/>
    <n v="0"/>
    <n v="0"/>
    <n v="0"/>
    <n v="0"/>
    <n v="0"/>
    <n v="0"/>
    <n v="0"/>
    <n v="0"/>
    <n v="0"/>
    <n v="2000"/>
    <n v="8730.2099999999991"/>
    <n v="10730.21"/>
    <n v="289007"/>
    <n v="20800"/>
    <n v="0"/>
    <n v="0"/>
    <n v="0"/>
    <n v="0"/>
    <n v="10000"/>
    <n v="0"/>
    <n v="0"/>
    <m/>
    <n v="0"/>
    <m/>
    <n v="-240.60666666645557"/>
    <n v="-66.393333333544433"/>
    <n v="319500"/>
    <n v="319566.39333333354"/>
    <n v="200000"/>
  </r>
  <r>
    <n v="10002"/>
    <s v="salarié 3"/>
    <m/>
    <d v="1990-09-01T00:00:00"/>
    <e v="#REF!"/>
    <s v="F"/>
    <s v="Sacré-coeur"/>
    <s v="COMPTABLE"/>
    <s v="7_ème B"/>
    <e v="#REF!"/>
    <x v="0"/>
    <s v="TRAVAIL"/>
    <d v="2017-03-13T00:00:00"/>
    <e v="#REF!"/>
    <s v="Marié(e)"/>
    <n v="0"/>
    <n v="1"/>
    <n v="1"/>
    <n v="2"/>
    <s v="NON"/>
    <m/>
    <n v="0"/>
    <n v="0"/>
    <n v="1"/>
    <m/>
    <n v="0"/>
    <n v="0"/>
    <n v="0"/>
    <n v="0"/>
    <n v="0"/>
    <n v="0"/>
    <m/>
    <n v="0"/>
    <n v="111427"/>
    <n v="100000"/>
    <n v="0"/>
    <n v="0"/>
    <n v="0"/>
    <n v="0"/>
    <n v="0"/>
    <n v="0"/>
    <n v="0"/>
    <n v="0"/>
    <n v="0"/>
    <n v="0"/>
    <n v="0"/>
    <n v="211427"/>
    <n v="4708.333333333333"/>
    <n v="1000"/>
    <n v="6342.8099999999995"/>
    <n v="0"/>
    <n v="12051.143333333333"/>
    <n v="0"/>
    <n v="0"/>
    <n v="0"/>
    <n v="0"/>
    <n v="0"/>
    <n v="0"/>
    <n v="0"/>
    <n v="0"/>
    <n v="0"/>
    <n v="0"/>
    <n v="0"/>
    <n v="0"/>
    <n v="0"/>
    <n v="0"/>
    <n v="0"/>
    <n v="0"/>
    <n v="0"/>
    <n v="5708.333333333333"/>
    <n v="6342.8099999999995"/>
    <n v="12051.143333333333"/>
    <n v="205718.66666666666"/>
    <n v="20800"/>
    <n v="0"/>
    <n v="0"/>
    <n v="0"/>
    <n v="0"/>
    <n v="10000"/>
    <n v="0"/>
    <n v="0"/>
    <m/>
    <n v="0"/>
    <m/>
    <n v="-116.62999999988824"/>
    <n v="97.963333333231276"/>
    <n v="236500"/>
    <n v="236402.03666666677"/>
    <n v="500000"/>
  </r>
  <r>
    <n v="10003"/>
    <s v="salarié 4"/>
    <m/>
    <d v="1994-08-07T00:00:00"/>
    <e v="#REF!"/>
    <s v="M"/>
    <s v="Hlm grand Yoff villa n  48"/>
    <s v="COMPTABLE"/>
    <s v="7_ème B"/>
    <e v="#REF!"/>
    <x v="0"/>
    <s v="TRAVAIL"/>
    <d v="2017-03-13T00:00:00"/>
    <e v="#REF!"/>
    <s v="Célibataire"/>
    <n v="0"/>
    <n v="0"/>
    <n v="1"/>
    <n v="1"/>
    <s v="NON"/>
    <m/>
    <n v="0"/>
    <n v="0"/>
    <n v="1"/>
    <m/>
    <n v="0"/>
    <n v="0"/>
    <n v="0"/>
    <n v="0"/>
    <n v="0"/>
    <n v="0"/>
    <m/>
    <n v="0"/>
    <n v="132101"/>
    <n v="100000"/>
    <n v="0"/>
    <n v="0"/>
    <n v="0"/>
    <n v="0"/>
    <n v="0"/>
    <n v="0"/>
    <n v="0"/>
    <n v="0"/>
    <n v="0"/>
    <n v="0"/>
    <n v="0"/>
    <n v="232101"/>
    <n v="25725"/>
    <n v="1000"/>
    <n v="6963.03"/>
    <n v="0"/>
    <n v="33688.03"/>
    <n v="0"/>
    <n v="0"/>
    <n v="0"/>
    <n v="0"/>
    <n v="0"/>
    <n v="0"/>
    <n v="0"/>
    <n v="0"/>
    <n v="0"/>
    <n v="0"/>
    <n v="0"/>
    <n v="0"/>
    <n v="0"/>
    <n v="0"/>
    <n v="0"/>
    <n v="0"/>
    <n v="0"/>
    <n v="26725"/>
    <n v="6963.03"/>
    <n v="33688.03"/>
    <n v="205376"/>
    <n v="20800"/>
    <n v="0"/>
    <n v="0"/>
    <n v="0"/>
    <n v="0"/>
    <n v="10000"/>
    <n v="0"/>
    <n v="0"/>
    <m/>
    <n v="0"/>
    <m/>
    <n v="-247.37999999988824"/>
    <n v="71.379999999888241"/>
    <n v="236000"/>
    <n v="235928.62000000011"/>
    <n v="4000000"/>
  </r>
  <r>
    <n v="10004"/>
    <s v="salarié 5"/>
    <m/>
    <d v="1989-11-04T00:00:00"/>
    <e v="#REF!"/>
    <s v="F"/>
    <s v="Ouest Foire lot n 4"/>
    <s v="COMPTABLE"/>
    <s v="7_ème B"/>
    <e v="#REF!"/>
    <x v="0"/>
    <s v="TRAVAIL"/>
    <d v="2017-03-13T00:00:00"/>
    <e v="#REF!"/>
    <s v="Célibataire"/>
    <n v="0"/>
    <n v="0"/>
    <n v="1"/>
    <n v="1"/>
    <s v="NON"/>
    <m/>
    <n v="0"/>
    <n v="0"/>
    <n v="1"/>
    <m/>
    <n v="0"/>
    <n v="0"/>
    <n v="0"/>
    <n v="0"/>
    <n v="0"/>
    <n v="0"/>
    <m/>
    <n v="0"/>
    <n v="173999"/>
    <n v="100000"/>
    <n v="0"/>
    <n v="0"/>
    <n v="0"/>
    <n v="0"/>
    <n v="0"/>
    <n v="0"/>
    <n v="0"/>
    <n v="0"/>
    <n v="0"/>
    <n v="0"/>
    <n v="0"/>
    <n v="273999"/>
    <n v="36675"/>
    <n v="1000"/>
    <n v="8219.9699999999993"/>
    <n v="0"/>
    <n v="45894.97"/>
    <n v="0"/>
    <n v="0"/>
    <n v="0"/>
    <n v="0"/>
    <n v="0"/>
    <n v="0"/>
    <n v="0"/>
    <n v="0"/>
    <n v="0"/>
    <n v="0"/>
    <n v="0"/>
    <n v="0"/>
    <n v="0"/>
    <n v="0"/>
    <n v="0"/>
    <n v="0"/>
    <n v="0"/>
    <n v="37675"/>
    <n v="8219.9699999999993"/>
    <n v="45894.97"/>
    <n v="236324"/>
    <n v="20800"/>
    <n v="0"/>
    <n v="0"/>
    <n v="0"/>
    <n v="0"/>
    <n v="10000"/>
    <n v="0"/>
    <n v="0"/>
    <m/>
    <n v="0"/>
    <m/>
    <n v="-22.379999999888241"/>
    <n v="-101.62000000011176"/>
    <n v="267000"/>
    <n v="267101.62000000011"/>
    <n v="5000000"/>
  </r>
  <r>
    <n v="10005"/>
    <s v="salarié 6"/>
    <m/>
    <d v="1993-01-03T00:00:00"/>
    <e v="#REF!"/>
    <s v="M"/>
    <s v="Cité Tawfeekh villa n 195 keur M"/>
    <s v="COMPTABLE"/>
    <s v="7_ème B"/>
    <e v="#REF!"/>
    <x v="0"/>
    <s v="TRAVAIL"/>
    <d v="2017-03-13T00:00:00"/>
    <e v="#REF!"/>
    <s v="Marié(e)"/>
    <n v="1"/>
    <n v="1"/>
    <n v="2"/>
    <n v="2"/>
    <s v="NON"/>
    <m/>
    <n v="0"/>
    <n v="0"/>
    <n v="1"/>
    <m/>
    <n v="0"/>
    <n v="0"/>
    <n v="0"/>
    <n v="0"/>
    <n v="0"/>
    <n v="0"/>
    <m/>
    <n v="0"/>
    <n v="152425"/>
    <n v="100000"/>
    <n v="0"/>
    <n v="0"/>
    <n v="0"/>
    <n v="0"/>
    <n v="0"/>
    <n v="0"/>
    <n v="0"/>
    <n v="0"/>
    <n v="0"/>
    <n v="0"/>
    <n v="0"/>
    <n v="252425"/>
    <n v="13558.333333333334"/>
    <n v="2000"/>
    <n v="7572.75"/>
    <n v="0"/>
    <n v="23131.083333333336"/>
    <n v="0"/>
    <n v="0"/>
    <n v="0"/>
    <n v="0"/>
    <n v="0"/>
    <n v="0"/>
    <n v="0"/>
    <n v="0"/>
    <n v="0"/>
    <n v="0"/>
    <n v="0"/>
    <n v="0"/>
    <n v="0"/>
    <n v="0"/>
    <n v="0"/>
    <n v="0"/>
    <n v="0"/>
    <n v="15558.333333333334"/>
    <n v="7572.75"/>
    <n v="23131.083333333336"/>
    <n v="236866.66666666666"/>
    <n v="20800"/>
    <n v="0"/>
    <n v="0"/>
    <n v="0"/>
    <n v="0"/>
    <n v="10000"/>
    <n v="0"/>
    <n v="0"/>
    <m/>
    <n v="0"/>
    <m/>
    <n v="-63.629999999888241"/>
    <n v="-103.03666666673962"/>
    <n v="267500"/>
    <n v="267603.03666666674"/>
    <n v="2000000"/>
  </r>
  <r>
    <n v="10006"/>
    <s v="salarié 7"/>
    <m/>
    <d v="1992-09-11T00:00:00"/>
    <e v="#REF!"/>
    <s v="F"/>
    <s v="Médina rue 23 x 4 bis"/>
    <s v="COMPTABLE"/>
    <s v="7_ème B"/>
    <e v="#REF!"/>
    <x v="0"/>
    <s v="TRAVAIL"/>
    <d v="2017-03-13T00:00:00"/>
    <e v="#REF!"/>
    <s v="Célibataire"/>
    <n v="0"/>
    <n v="0"/>
    <n v="1"/>
    <n v="1"/>
    <s v="NON"/>
    <m/>
    <n v="0"/>
    <n v="0"/>
    <n v="1"/>
    <m/>
    <n v="0"/>
    <n v="0"/>
    <n v="0"/>
    <n v="0"/>
    <n v="0"/>
    <n v="0"/>
    <m/>
    <n v="0"/>
    <n v="109728"/>
    <n v="100000"/>
    <n v="0"/>
    <n v="0"/>
    <n v="0"/>
    <n v="0"/>
    <m/>
    <n v="0"/>
    <n v="0"/>
    <n v="0"/>
    <n v="0"/>
    <n v="0"/>
    <n v="0"/>
    <n v="209728"/>
    <n v="21025"/>
    <n v="1000"/>
    <n v="6291.84"/>
    <n v="0"/>
    <n v="28316.84"/>
    <n v="0"/>
    <n v="0"/>
    <n v="0"/>
    <n v="0"/>
    <n v="0"/>
    <n v="0"/>
    <n v="0"/>
    <n v="0"/>
    <n v="0"/>
    <n v="0"/>
    <n v="0"/>
    <n v="0"/>
    <n v="0"/>
    <n v="0"/>
    <n v="0"/>
    <n v="0"/>
    <n v="0"/>
    <n v="22025"/>
    <n v="6291.84"/>
    <n v="28316.84"/>
    <n v="187703"/>
    <n v="20800"/>
    <n v="0"/>
    <n v="0"/>
    <n v="0"/>
    <n v="0"/>
    <n v="10000"/>
    <n v="0"/>
    <n v="0"/>
    <m/>
    <n v="0"/>
    <m/>
    <n v="-223.72166666644625"/>
    <n v="220.72166666644625"/>
    <n v="218500"/>
    <n v="218279.27833333355"/>
    <n v="2650000"/>
  </r>
  <r>
    <n v="10007"/>
    <s v="salarié 8"/>
    <m/>
    <d v="1993-10-14T00:00:00"/>
    <e v="#REF!"/>
    <s v="F"/>
    <s v="Dalifort villa N 39"/>
    <s v="COMPTABLE"/>
    <s v="7_ème B"/>
    <e v="#REF!"/>
    <x v="0"/>
    <s v="TRAVAIL"/>
    <d v="2017-05-08T00:00:00"/>
    <e v="#REF!"/>
    <s v="Marié(e)"/>
    <n v="0"/>
    <n v="1"/>
    <n v="1"/>
    <n v="2"/>
    <s v="NON"/>
    <m/>
    <n v="0"/>
    <n v="0"/>
    <n v="1"/>
    <m/>
    <n v="0"/>
    <n v="0"/>
    <n v="0"/>
    <n v="0"/>
    <n v="0"/>
    <n v="0"/>
    <m/>
    <n v="0"/>
    <n v="166450"/>
    <n v="100000"/>
    <n v="0"/>
    <n v="0"/>
    <n v="0"/>
    <n v="0"/>
    <n v="0"/>
    <n v="0"/>
    <n v="0"/>
    <n v="0"/>
    <n v="0"/>
    <n v="0"/>
    <n v="0"/>
    <n v="266450"/>
    <n v="17758.333333333332"/>
    <n v="1000"/>
    <n v="7993.5"/>
    <n v="0"/>
    <n v="26751.833333333332"/>
    <n v="0"/>
    <n v="0"/>
    <n v="0"/>
    <n v="0"/>
    <n v="0"/>
    <n v="0"/>
    <n v="0"/>
    <n v="0"/>
    <n v="0"/>
    <n v="0"/>
    <n v="0"/>
    <n v="0"/>
    <n v="0"/>
    <n v="0"/>
    <n v="0"/>
    <n v="0"/>
    <n v="0"/>
    <n v="18758.333333333332"/>
    <n v="7993.5"/>
    <n v="26751.833333333332"/>
    <n v="247691.66666666666"/>
    <n v="20800"/>
    <n v="0"/>
    <n v="0"/>
    <n v="0"/>
    <n v="0"/>
    <n v="10000"/>
    <n v="0"/>
    <n v="0"/>
    <m/>
    <n v="0"/>
    <m/>
    <n v="-145.8905555550009"/>
    <n v="154.22388888837304"/>
    <n v="278500"/>
    <n v="278345.77611111163"/>
    <n v="100000"/>
  </r>
  <r>
    <n v="10008"/>
    <s v="salarié 9"/>
    <m/>
    <d v="1991-07-26T00:00:00"/>
    <e v="#REF!"/>
    <s v="M"/>
    <s v="Ouest foire cité Xandar villa N "/>
    <s v="COMPTABLE"/>
    <s v="7_ème B"/>
    <e v="#REF!"/>
    <x v="0"/>
    <s v="TRAVAIL"/>
    <d v="2017-05-08T00:00:00"/>
    <e v="#REF!"/>
    <s v="Marié(e)"/>
    <n v="1"/>
    <n v="1"/>
    <n v="2"/>
    <n v="2"/>
    <s v="NON"/>
    <m/>
    <n v="0"/>
    <n v="0"/>
    <n v="1"/>
    <m/>
    <n v="0"/>
    <n v="0"/>
    <n v="0"/>
    <n v="0"/>
    <n v="0"/>
    <n v="0"/>
    <m/>
    <n v="0"/>
    <n v="154050"/>
    <n v="100000"/>
    <n v="0"/>
    <n v="0"/>
    <n v="0"/>
    <n v="0"/>
    <n v="0"/>
    <n v="0"/>
    <n v="0"/>
    <n v="0"/>
    <n v="0"/>
    <n v="0"/>
    <n v="0"/>
    <n v="254050"/>
    <n v="14033.333333333334"/>
    <n v="2000"/>
    <n v="7621.5"/>
    <n v="0"/>
    <n v="23654.833333333336"/>
    <n v="0"/>
    <n v="0"/>
    <n v="0"/>
    <n v="0"/>
    <n v="0"/>
    <n v="0"/>
    <n v="0"/>
    <n v="0"/>
    <n v="0"/>
    <n v="0"/>
    <n v="0"/>
    <n v="0"/>
    <n v="0"/>
    <n v="0"/>
    <n v="0"/>
    <n v="0"/>
    <n v="0"/>
    <n v="16033.333333333334"/>
    <n v="7621.5"/>
    <n v="23654.833333333336"/>
    <n v="238016.66666666666"/>
    <n v="20800"/>
    <n v="0"/>
    <n v="0"/>
    <n v="0"/>
    <n v="0"/>
    <n v="10000"/>
    <n v="0"/>
    <n v="0"/>
    <m/>
    <n v="0"/>
    <m/>
    <n v="-222.53097222256474"/>
    <n v="-94.13569444406312"/>
    <n v="268500"/>
    <n v="268594.13569444406"/>
    <n v="20000"/>
  </r>
  <r>
    <n v="10009"/>
    <s v="salarié 10"/>
    <m/>
    <d v="1994-04-27T00:00:00"/>
    <e v="#REF!"/>
    <s v="M"/>
    <s v="Parcelles Assainies U15 n  109"/>
    <s v="COMPTABLE"/>
    <s v="7_ème B"/>
    <e v="#REF!"/>
    <x v="0"/>
    <s v="TRAVAIL"/>
    <d v="2017-07-01T00:00:00"/>
    <e v="#REF!"/>
    <s v="Marié(e)"/>
    <n v="1"/>
    <n v="0"/>
    <n v="2"/>
    <n v="2.5"/>
    <s v="NON"/>
    <m/>
    <n v="0"/>
    <n v="0"/>
    <n v="1"/>
    <m/>
    <n v="0"/>
    <n v="0"/>
    <n v="0"/>
    <n v="0"/>
    <n v="0"/>
    <n v="0"/>
    <m/>
    <n v="0"/>
    <n v="124314"/>
    <n v="100000"/>
    <n v="0"/>
    <n v="0"/>
    <n v="0"/>
    <n v="0"/>
    <n v="0"/>
    <n v="0"/>
    <n v="0"/>
    <n v="0"/>
    <n v="0"/>
    <n v="0"/>
    <n v="0"/>
    <n v="224314"/>
    <n v="0"/>
    <n v="2000"/>
    <n v="6729.42"/>
    <n v="0"/>
    <n v="8729.42"/>
    <n v="0"/>
    <n v="0"/>
    <n v="0"/>
    <n v="0"/>
    <n v="0"/>
    <n v="0"/>
    <n v="0"/>
    <n v="0"/>
    <n v="0"/>
    <n v="0"/>
    <n v="0"/>
    <n v="0"/>
    <n v="0"/>
    <n v="0"/>
    <n v="0"/>
    <n v="0"/>
    <n v="0"/>
    <n v="2000"/>
    <n v="6729.42"/>
    <n v="8729.42"/>
    <n v="222314"/>
    <n v="20800"/>
    <n v="0"/>
    <n v="0"/>
    <n v="0"/>
    <n v="0"/>
    <n v="10000"/>
    <n v="0"/>
    <n v="0"/>
    <m/>
    <n v="0"/>
    <m/>
    <n v="-210.14999999909196"/>
    <n v="96.14999999909196"/>
    <n v="253000"/>
    <n v="252903.85000000091"/>
    <n v="250000"/>
  </r>
  <r>
    <n v="10010"/>
    <s v="salarié 11"/>
    <m/>
    <d v="1990-10-19T00:00:00"/>
    <e v="#REF!"/>
    <s v="M"/>
    <s v="Hann Mariste 1"/>
    <s v="JURISTE"/>
    <s v="9_ème A"/>
    <e v="#REF!"/>
    <x v="0"/>
    <s v="TRAVAIL"/>
    <d v="2017-09-01T00:00:00"/>
    <e v="#REF!"/>
    <s v="Marié(e)"/>
    <n v="0"/>
    <n v="2"/>
    <n v="1"/>
    <n v="2.5"/>
    <s v="NON"/>
    <m/>
    <n v="0"/>
    <n v="0"/>
    <n v="1"/>
    <m/>
    <n v="0"/>
    <n v="0"/>
    <n v="0"/>
    <n v="0"/>
    <n v="0"/>
    <n v="0"/>
    <m/>
    <n v="0"/>
    <n v="102054"/>
    <n v="100000"/>
    <n v="0"/>
    <n v="0"/>
    <n v="0"/>
    <n v="0"/>
    <n v="0"/>
    <n v="0"/>
    <n v="0"/>
    <n v="0"/>
    <n v="0"/>
    <n v="0"/>
    <n v="0"/>
    <n v="202054"/>
    <n v="0"/>
    <n v="1000"/>
    <n v="6061.62"/>
    <n v="0"/>
    <n v="7061.62"/>
    <n v="0"/>
    <n v="0"/>
    <n v="0"/>
    <n v="0"/>
    <n v="0"/>
    <n v="0"/>
    <n v="0"/>
    <n v="0"/>
    <n v="0"/>
    <n v="0"/>
    <n v="0"/>
    <n v="0"/>
    <n v="0"/>
    <n v="0"/>
    <n v="0"/>
    <n v="0"/>
    <n v="0"/>
    <n v="1000"/>
    <n v="6061.62"/>
    <n v="7061.62"/>
    <n v="201054"/>
    <n v="20800"/>
    <n v="0"/>
    <n v="0"/>
    <n v="0"/>
    <n v="0"/>
    <n v="10000"/>
    <n v="0"/>
    <n v="0"/>
    <m/>
    <n v="0"/>
    <m/>
    <n v="-21.459199999691918"/>
    <n v="167.45919999969192"/>
    <n v="232000"/>
    <n v="231832.54080000031"/>
    <n v="2548000"/>
  </r>
  <r>
    <n v="10011"/>
    <s v="salarié 12"/>
    <m/>
    <d v="1990-11-13T00:00:00"/>
    <e v="#REF!"/>
    <s v="F"/>
    <s v="Parcelles Assainies U7"/>
    <s v="AGENT ADMINISTRATIF"/>
    <s v="7_ème B"/>
    <e v="#REF!"/>
    <x v="0"/>
    <s v="TRAVAIL"/>
    <d v="2017-09-15T00:00:00"/>
    <e v="#REF!"/>
    <s v="Célibataire"/>
    <n v="0"/>
    <n v="0"/>
    <n v="1"/>
    <n v="1"/>
    <s v="NON"/>
    <m/>
    <n v="0"/>
    <n v="0"/>
    <n v="1"/>
    <m/>
    <n v="0"/>
    <n v="0"/>
    <n v="0"/>
    <n v="0"/>
    <n v="0"/>
    <n v="0"/>
    <m/>
    <n v="0"/>
    <n v="168523"/>
    <n v="100000"/>
    <n v="0"/>
    <n v="0"/>
    <n v="0"/>
    <n v="0"/>
    <n v="0"/>
    <n v="0"/>
    <n v="0"/>
    <n v="0"/>
    <n v="0"/>
    <n v="0"/>
    <n v="0"/>
    <n v="268523"/>
    <n v="35050"/>
    <n v="1000"/>
    <n v="8055.69"/>
    <n v="0"/>
    <n v="44105.69"/>
    <n v="0"/>
    <n v="0"/>
    <n v="0"/>
    <n v="0"/>
    <n v="0"/>
    <n v="0"/>
    <n v="0"/>
    <n v="0"/>
    <n v="0"/>
    <n v="0"/>
    <n v="0"/>
    <n v="0"/>
    <n v="0"/>
    <n v="0"/>
    <n v="0"/>
    <n v="0"/>
    <n v="0"/>
    <n v="36050"/>
    <n v="8055.69"/>
    <n v="44105.69"/>
    <n v="232473"/>
    <n v="20800"/>
    <n v="0"/>
    <n v="0"/>
    <n v="0"/>
    <n v="0"/>
    <n v="10000"/>
    <n v="0"/>
    <n v="0"/>
    <m/>
    <n v="0"/>
    <m/>
    <n v="15.350000000093132"/>
    <n v="211.64999999990687"/>
    <n v="263500"/>
    <n v="263288.35000000009"/>
    <n v="2418000"/>
  </r>
  <r>
    <n v="10012"/>
    <s v="salarié 13"/>
    <m/>
    <d v="1990-02-05T00:00:00"/>
    <e v="#REF!"/>
    <s v="F"/>
    <s v="Cité gendarmerie Dalifort Forail"/>
    <s v="AGENT ADMINISTRATIF"/>
    <s v="7_ème B"/>
    <e v="#REF!"/>
    <x v="0"/>
    <s v="TRAVAIL"/>
    <d v="2017-09-15T00:00:00"/>
    <e v="#REF!"/>
    <s v="Marié(e)"/>
    <n v="1"/>
    <n v="0"/>
    <n v="2"/>
    <n v="2"/>
    <s v="NON"/>
    <m/>
    <n v="0"/>
    <n v="0"/>
    <n v="1"/>
    <m/>
    <n v="0"/>
    <n v="0"/>
    <n v="0"/>
    <n v="0"/>
    <n v="0"/>
    <n v="0"/>
    <m/>
    <n v="0"/>
    <n v="141084"/>
    <n v="100000"/>
    <n v="0"/>
    <n v="0"/>
    <n v="0"/>
    <n v="0"/>
    <n v="0"/>
    <n v="0"/>
    <n v="0"/>
    <n v="0"/>
    <n v="0"/>
    <n v="0"/>
    <n v="0"/>
    <n v="241084"/>
    <n v="10958.333333333334"/>
    <n v="2000"/>
    <n v="7232.5199999999995"/>
    <n v="0"/>
    <n v="20190.853333333333"/>
    <n v="0"/>
    <n v="0"/>
    <n v="0"/>
    <n v="0"/>
    <n v="0"/>
    <n v="0"/>
    <n v="0"/>
    <n v="0"/>
    <n v="0"/>
    <n v="0"/>
    <n v="0"/>
    <n v="0"/>
    <n v="0"/>
    <n v="0"/>
    <n v="0"/>
    <n v="0"/>
    <n v="0"/>
    <n v="12958.333333333334"/>
    <n v="7232.5199999999995"/>
    <n v="20190.853333333333"/>
    <n v="228125.66666666666"/>
    <n v="20800"/>
    <n v="0"/>
    <n v="0"/>
    <n v="0"/>
    <n v="0"/>
    <n v="10000"/>
    <n v="0"/>
    <n v="0"/>
    <m/>
    <n v="0"/>
    <m/>
    <n v="-216.03333333309274"/>
    <n v="-209.63333333356422"/>
    <n v="258500"/>
    <n v="258709.63333333356"/>
    <n v="21400"/>
  </r>
  <r>
    <n v="10013"/>
    <s v="salarié 14"/>
    <m/>
    <d v="1977-04-25T00:00:00"/>
    <e v="#REF!"/>
    <s v="M"/>
    <s v="Sicap Liberté 6 LOGT 8030"/>
    <s v="DIRECTEUR GENERAL"/>
    <s v="10_ème B"/>
    <e v="#REF!"/>
    <x v="0"/>
    <s v="TRAVAIL"/>
    <d v="2019-10-01T00:00:00"/>
    <e v="#REF!"/>
    <s v="Marié(e)"/>
    <n v="2"/>
    <n v="6"/>
    <n v="3"/>
    <n v="5"/>
    <s v="NON"/>
    <m/>
    <n v="0"/>
    <n v="0"/>
    <n v="1"/>
    <m/>
    <n v="0"/>
    <n v="0"/>
    <n v="0"/>
    <n v="0"/>
    <n v="0"/>
    <n v="0"/>
    <m/>
    <n v="0"/>
    <n v="189656"/>
    <n v="100000"/>
    <n v="0"/>
    <n v="0"/>
    <n v="0"/>
    <n v="0"/>
    <n v="0"/>
    <n v="0"/>
    <n v="0"/>
    <n v="0"/>
    <n v="0"/>
    <n v="0"/>
    <n v="0"/>
    <n v="289656"/>
    <n v="0"/>
    <n v="3000"/>
    <n v="8689.68"/>
    <n v="0"/>
    <n v="11689.68"/>
    <n v="0"/>
    <n v="0"/>
    <n v="0"/>
    <n v="0"/>
    <n v="0"/>
    <n v="0"/>
    <n v="0"/>
    <n v="0"/>
    <n v="0"/>
    <n v="0"/>
    <n v="0"/>
    <n v="0"/>
    <n v="0"/>
    <n v="0"/>
    <n v="0"/>
    <n v="0"/>
    <n v="0"/>
    <n v="3000"/>
    <n v="8689.68"/>
    <n v="11689.68"/>
    <n v="286656"/>
    <n v="20800"/>
    <n v="0"/>
    <n v="0"/>
    <n v="0"/>
    <n v="0"/>
    <n v="10000"/>
    <n v="0"/>
    <n v="0"/>
    <m/>
    <n v="0"/>
    <m/>
    <n v="0"/>
    <n v="44"/>
    <n v="317500"/>
    <n v="317456"/>
    <n v="21582"/>
  </r>
  <r>
    <n v="10014"/>
    <s v="salarié 15"/>
    <m/>
    <d v="1994-05-14T00:00:00"/>
    <e v="#REF!"/>
    <s v="M"/>
    <s v="Hann Mariste I/F"/>
    <s v="JURISTE"/>
    <s v="7_ème B"/>
    <e v="#REF!"/>
    <x v="1"/>
    <s v="TRAVAIL"/>
    <d v="2019-10-01T00:00:00"/>
    <e v="#REF!"/>
    <s v="Marié(e)"/>
    <n v="1"/>
    <n v="2"/>
    <n v="2"/>
    <n v="2.5"/>
    <s v="NON"/>
    <m/>
    <n v="0"/>
    <n v="0"/>
    <n v="1"/>
    <m/>
    <n v="0"/>
    <n v="0"/>
    <n v="0"/>
    <n v="0"/>
    <n v="0"/>
    <n v="0"/>
    <m/>
    <n v="0"/>
    <n v="174128"/>
    <n v="100000"/>
    <n v="0"/>
    <n v="0"/>
    <n v="0"/>
    <n v="0"/>
    <n v="0"/>
    <n v="0"/>
    <n v="0"/>
    <n v="0"/>
    <n v="0"/>
    <n v="0"/>
    <n v="0"/>
    <n v="274128"/>
    <n v="11725"/>
    <n v="2000"/>
    <n v="8223.84"/>
    <n v="0"/>
    <n v="21948.84"/>
    <n v="0"/>
    <n v="0"/>
    <n v="0"/>
    <n v="0"/>
    <n v="0"/>
    <n v="0"/>
    <n v="0"/>
    <n v="0"/>
    <n v="0"/>
    <n v="0"/>
    <n v="0"/>
    <n v="0"/>
    <n v="0"/>
    <n v="0"/>
    <n v="0"/>
    <n v="0"/>
    <n v="0"/>
    <n v="13725"/>
    <n v="8223.84"/>
    <n v="21948.84"/>
    <n v="260403"/>
    <n v="20800"/>
    <n v="0"/>
    <n v="0"/>
    <n v="0"/>
    <n v="0"/>
    <n v="10000"/>
    <n v="0"/>
    <n v="0"/>
    <m/>
    <n v="0"/>
    <m/>
    <n v="143.68372266663937"/>
    <n v="153.31627733336063"/>
    <n v="291500"/>
    <n v="291346.68372266664"/>
    <n v="2697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17BDDF-A724-4F29-9895-DEB3C9C4ECC1}" name="Tableau croisé dynamique1" cacheId="242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3">
  <location ref="A3:B6" firstHeaderRow="1" firstDataRow="1" firstDataCol="1"/>
  <pivotFields count="89">
    <pivotField showAll="0"/>
    <pivotField showAll="0"/>
    <pivotField showAll="0"/>
    <pivotField numFmtId="14" showAll="0"/>
    <pivotField numFmtId="167" showAll="0"/>
    <pivotField showAll="0"/>
    <pivotField showAll="0"/>
    <pivotField showAll="0"/>
    <pivotField showAll="0"/>
    <pivotField showAll="0"/>
    <pivotField axis="axisRow" dataField="1" showAll="0" sortType="ascending">
      <items count="5">
        <item x="1"/>
        <item x="0"/>
        <item m="1" x="3"/>
        <item m="1" x="2"/>
        <item t="default"/>
      </items>
    </pivotField>
    <pivotField showAll="0"/>
    <pivotField numFmtId="14" showAll="0"/>
    <pivotField numFmtId="168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41" showAll="0"/>
    <pivotField numFmtId="9" showAll="0"/>
    <pivotField showAll="0"/>
    <pivotField numFmtId="41" showAll="0"/>
    <pivotField numFmtId="41" showAll="0"/>
    <pivotField numFmtId="41" showAll="0"/>
    <pivotField numFmtId="41" showAll="0"/>
    <pivotField numFmtId="41" showAll="0"/>
    <pivotField numFmtId="165" showAll="0"/>
    <pivotField showAll="0"/>
    <pivotField showAll="0"/>
    <pivotField showAll="0"/>
    <pivotField showAll="0"/>
    <pivotField numFmtId="165" showAll="0"/>
    <pivotField numFmtId="165" showAll="0"/>
    <pivotField numFmtId="165" showAll="0"/>
    <pivotField numFmtId="165" showAll="0"/>
    <pivotField showAll="0"/>
    <pivotField numFmtId="165" showAll="0"/>
    <pivotField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numFmtId="41" showAll="0"/>
    <pivotField numFmtId="41" showAll="0"/>
    <pivotField numFmtId="41" showAll="0"/>
    <pivotField numFmtId="41" showAll="0"/>
    <pivotField numFmtId="165" showAll="0"/>
    <pivotField numFmtId="165" showAll="0"/>
    <pivotField numFmtId="165" showAll="0"/>
    <pivotField numFmtId="165"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numFmtId="165" showAll="0"/>
    <pivotField numFmtId="165" showAll="0"/>
    <pivotField numFmtId="165"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Nombre de contrat" fld="10" subtotal="count" baseField="0" baseItem="0"/>
  </dataFields>
  <chartFormats count="5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IF" displayName="IF" ref="A1:CK16" totalsRowShown="0" headerRowDxfId="180" dataDxfId="179" totalsRowDxfId="178">
  <autoFilter ref="A1:CK16" xr:uid="{00000000-0009-0000-0100-000003000000}"/>
  <sortState xmlns:xlrd2="http://schemas.microsoft.com/office/spreadsheetml/2017/richdata2" ref="A2:CK16">
    <sortCondition descending="1" ref="L1:L16"/>
  </sortState>
  <tableColumns count="89">
    <tableColumn id="1" xr3:uid="{00000000-0010-0000-0100-000001000000}" name="MATRICULE" dataDxfId="177" totalsRowDxfId="176"/>
    <tableColumn id="2" xr3:uid="{00000000-0010-0000-0100-000002000000}" name="PRENOM" dataDxfId="175" totalsRowDxfId="174"/>
    <tableColumn id="3" xr3:uid="{00000000-0010-0000-0100-000003000000}" name="NOM" dataDxfId="173" totalsRowDxfId="172"/>
    <tableColumn id="100" xr3:uid="{ACAB4D9A-230D-4CA3-817F-9DB6EDA718B6}" name="date de Naissance" dataDxfId="171" totalsRowDxfId="170"/>
    <tableColumn id="102" xr3:uid="{3B25EF3C-21A5-413F-88DF-21552CC6D9FB}" name="age" dataDxfId="169" totalsRowDxfId="168">
      <calculatedColumnFormula>DATEDIF(IF[[#This Row],[date de Naissance]],#REF!,"y")</calculatedColumnFormula>
    </tableColumn>
    <tableColumn id="101" xr3:uid="{465BFB5E-D3F1-4CBA-A158-D9FE02C4DDC3}" name="sexe" dataDxfId="167" totalsRowDxfId="166"/>
    <tableColumn id="103" xr3:uid="{0B30342B-328E-4607-AC51-BD5BCC8EB3A1}" name="adresse" dataDxfId="165" totalsRowDxfId="164"/>
    <tableColumn id="4" xr3:uid="{00000000-0010-0000-0100-000004000000}" name="EMPLOI" dataDxfId="163" totalsRowDxfId="162"/>
    <tableColumn id="5" xr3:uid="{00000000-0010-0000-0100-000005000000}" name="CATEGORIE" dataDxfId="161" totalsRowDxfId="160"/>
    <tableColumn id="20" xr3:uid="{00000000-0010-0000-0100-000014000000}" name="STATUT" dataDxfId="159" totalsRowDxfId="158">
      <calculatedColumnFormula>VLOOKUP(IF[[#This Row],[CATEGORIE]],#REF!,4,FALSE)</calculatedColumnFormula>
    </tableColumn>
    <tableColumn id="31" xr3:uid="{00000000-0010-0000-0100-00001F000000}" name="contrat" dataDxfId="157" totalsRowDxfId="156"/>
    <tableColumn id="84" xr3:uid="{20FFCD20-D0ED-4976-91B3-99A905B946A0}" name="SITUATION_x000a_ CONTRAT" dataDxfId="155" totalsRowDxfId="154"/>
    <tableColumn id="21" xr3:uid="{00000000-0010-0000-0100-000015000000}" name="Date d'entrée" dataDxfId="153" totalsRowDxfId="152"/>
    <tableColumn id="19" xr3:uid="{00000000-0010-0000-0100-000013000000}" name="ancienneté" dataDxfId="151" totalsRowDxfId="150" dataCellStyle="Milliers [0]">
      <calculatedColumnFormula>DATEDIF(IF[[#This Row],[Date d''entrée]],#REF!+1,"y")</calculatedColumnFormula>
    </tableColumn>
    <tableColumn id="22" xr3:uid="{D91C7527-6A66-4188-B041-EBBE48CCD76A}" name="Situation de famille" dataDxfId="149" totalsRowDxfId="148"/>
    <tableColumn id="6" xr3:uid="{00000000-0010-0000-0100-000006000000}" name="conjoint" dataDxfId="147" totalsRowDxfId="146"/>
    <tableColumn id="7" xr3:uid="{00000000-0010-0000-0100-000007000000}" name="ENFANTS" dataDxfId="145" totalsRowDxfId="144"/>
    <tableColumn id="8" xr3:uid="{00000000-0010-0000-0100-000008000000}" name="PART TRIMF" dataDxfId="143" totalsRowDxfId="142"/>
    <tableColumn id="9" xr3:uid="{00000000-0010-0000-0100-000009000000}" name=" PART_x000a_ IR" dataDxfId="141" totalsRowDxfId="140" dataCellStyle="Milliers [0]"/>
    <tableColumn id="86" xr3:uid="{3CCCBEE7-41AF-4A96-BB4D-011ACA176586}" name="le congé est il à payer?" dataDxfId="139" totalsRowDxfId="138"/>
    <tableColumn id="11" xr3:uid="{00000000-0010-0000-0100-00000B000000}" name="Absences" dataDxfId="137" totalsRowDxfId="136" dataCellStyle="Milliers [0]"/>
    <tableColumn id="90" xr3:uid="{D17656C7-3F8D-468F-A2B9-2BD0BDE0E1BE}" name="Abs Maladie" dataDxfId="135" totalsRowDxfId="134" dataCellStyle="Milliers [0]"/>
    <tableColumn id="93" xr3:uid="{8FE5E848-A0AB-4EF1-BEB0-3BED96AA84CD}" name="abs evenement familiaux" dataDxfId="133" totalsRowDxfId="132" dataCellStyle="Milliers [0]"/>
    <tableColumn id="92" xr3:uid="{446BB5B6-66C4-4970-896C-6FF197647610}" name="taux maladie" dataDxfId="131" totalsRowDxfId="130"/>
    <tableColumn id="94" xr3:uid="{6653FAD7-0397-4A57-A23C-EA3E8308F7D5}" name="nombre de panier" dataDxfId="129" totalsRowDxfId="128" dataCellStyle="Milliers [0]"/>
    <tableColumn id="67" xr3:uid="{11CD244D-A44F-45CA-8DF2-F03DE92D9D25}" name="HS115%" dataDxfId="127" totalsRowDxfId="126" dataCellStyle="Milliers [0]"/>
    <tableColumn id="66" xr3:uid="{770D0BEE-F0A3-4CC1-BFC2-FAA1B11633BE}" name="HS140%" dataDxfId="125" totalsRowDxfId="124" dataCellStyle="Milliers [0]"/>
    <tableColumn id="65" xr3:uid="{4C5053C9-FF47-4B00-A7C0-0DDBB95659AC}" name="HS160%" dataDxfId="123" totalsRowDxfId="122" dataCellStyle="Milliers [0]"/>
    <tableColumn id="68" xr3:uid="{F90A6B23-F9E5-4B0C-87A6-AB8674414A62}" name="HS200%" dataDxfId="121" totalsRowDxfId="120" dataCellStyle="Milliers [0]"/>
    <tableColumn id="72" xr3:uid="{8691D340-5303-414E-B119-404DC0EFEC2B}" name="TH" dataDxfId="119" totalsRowDxfId="118" dataCellStyle="Milliers [0]">
      <calculatedColumnFormula>+SUM(IF[[#This Row],[SALAIRE DE BASE]:[Honnoraires 
prestataires]])/(40*52/12)</calculatedColumnFormula>
    </tableColumn>
    <tableColumn id="10" xr3:uid="{00000000-0010-0000-0100-00000A000000}" name="SALAIRE DE BASE" dataDxfId="117" totalsRowDxfId="116" dataCellStyle="Milliers"/>
    <tableColumn id="30" xr3:uid="{148FE7D7-8A74-4DE7-B104-2AF92D349E0D}" name="SURSALAIRE" dataDxfId="115" totalsRowDxfId="114" dataCellStyle="Milliers [0]"/>
    <tableColumn id="87" xr3:uid="{1663F4A3-ADFC-4FD5-AA23-B4EFE69B188B}" name="Honnoraires _x000a_prestataires" dataDxfId="113" totalsRowDxfId="112" dataCellStyle="Milliers"/>
    <tableColumn id="99" xr3:uid="{91024AC1-E114-411D-B095-F7EC6AA1D39D}" name="Forfait HS" dataDxfId="111" totalsRowDxfId="110" dataCellStyle="Milliers"/>
    <tableColumn id="69" xr3:uid="{393988E8-E158-4C8A-A847-4C699E36931E}" name="Prime de transport imposable" dataDxfId="109" totalsRowDxfId="108" dataCellStyle="Milliers"/>
    <tableColumn id="14" xr3:uid="{00000000-0010-0000-0100-00000E000000}" name="Prime d'ancienneté" dataDxfId="107" totalsRowDxfId="106" dataCellStyle="Milliers"/>
    <tableColumn id="25" xr3:uid="{00000000-0010-0000-0100-000019000000}" name="Retenues Absences" dataDxfId="105" totalsRowDxfId="104" dataCellStyle="Milliers">
      <calculatedColumnFormula>-(SUM(IF[[#This Row],[SALAIRE DE BASE]:[Prime de transport imposable]],IF[[#This Row],[Prime d''ancienneté]])/30)*IF[[#This Row],[Absences]]</calculatedColumnFormula>
    </tableColumn>
    <tableColumn id="97" xr3:uid="{150BD78C-39F5-4371-AD20-DEB0401702C9}" name="indemnite maladie" dataDxfId="103" totalsRowDxfId="102" dataCellStyle="Milliers">
      <calculatedColumnFormula>(SUM(IF[[#This Row],[SALAIRE DE BASE]:[Honnoraires 
prestataires]],IF[[#This Row],[Prime d''ancienneté]])/30)*IF[[#This Row],[Abs Maladie]]</calculatedColumnFormula>
    </tableColumn>
    <tableColumn id="95" xr3:uid="{432A6219-7EC8-4A89-9871-E41C8D42DC2F}" name="montant abs evt de famille" dataDxfId="101" totalsRowDxfId="100" dataCellStyle="Milliers">
      <calculatedColumnFormula>(SUM(IF[[#This Row],[SALAIRE DE BASE]:[Honnoraires 
prestataires]],IF[[#This Row],[Prime d''ancienneté]])/30)*IF[[#This Row],[abs evenement familiaux]]</calculatedColumnFormula>
    </tableColumn>
    <tableColumn id="77" xr3:uid="{099330A4-4B70-4E94-BD34-CCA28BF4829F}" name="Rappel de salaire impossable" dataDxfId="99" totalsRowDxfId="98" dataCellStyle="Milliers"/>
    <tableColumn id="24" xr3:uid="{00000000-0010-0000-0100-000018000000}" name="Congé" dataDxfId="97" totalsRowDxfId="96" dataCellStyle="Milliers">
      <calculatedColumnFormula>IF[](IF[[#This Row],[le congé est il à payer?]]="OUI",#REF!,0)</calculatedColumnFormula>
    </tableColumn>
    <tableColumn id="15" xr3:uid="{00000000-0010-0000-0100-00000F000000}" name="PRECARITE" dataDxfId="95" totalsRowDxfId="94" dataCellStyle="Milliers"/>
    <tableColumn id="71" xr3:uid="{3D02E095-6747-4BFC-B285-374977C1ED3E}" name="MT HS115%" dataDxfId="93" totalsRowDxfId="92" dataCellStyle="Milliers">
      <calculatedColumnFormula>+IF[[#This Row],[HS115%]]*IF[[#This Row],[TH]]*115%</calculatedColumnFormula>
    </tableColumn>
    <tableColumn id="70" xr3:uid="{1D46E7DA-7EC4-4464-B807-E309E9812FC4}" name="MT HS140%" dataDxfId="91" totalsRowDxfId="90" dataCellStyle="Milliers">
      <calculatedColumnFormula>+IF[[#This Row],[HS140%]]*IF[[#This Row],[TH]]*140%</calculatedColumnFormula>
    </tableColumn>
    <tableColumn id="13" xr3:uid="{8CF3C63B-C72A-4371-868E-EC83BA3997A6}" name="MT HS160%" dataDxfId="89" totalsRowDxfId="88" dataCellStyle="Milliers">
      <calculatedColumnFormula>+IF[[#This Row],[HS160%]]*IF[[#This Row],[TH]]*160%</calculatedColumnFormula>
    </tableColumn>
    <tableColumn id="12" xr3:uid="{7FCD3333-1651-4C2C-906B-CBA90AE2B630}" name="MT HS200%" dataDxfId="87" totalsRowDxfId="86" dataCellStyle="Milliers">
      <calculatedColumnFormula>+IF[[#This Row],[HS200%]]*IF[[#This Row],[TH]]*200%</calculatedColumnFormula>
    </tableColumn>
    <tableColumn id="17" xr3:uid="{00000000-0010-0000-0100-000011000000}" name="BRUT" dataDxfId="85" totalsRowDxfId="84" dataCellStyle="Milliers">
      <calculatedColumnFormula>+SUM(IF[[#This Row],[SALAIRE DE BASE]:[MT HS200%]])</calculatedColumnFormula>
    </tableColumn>
    <tableColumn id="32" xr3:uid="{00000000-0010-0000-0100-000020000000}" name="Impôt sur le revenu" dataDxfId="83" totalsRowDxfId="82" dataCellStyle="Milliers">
      <calculatedColumnFormula>IF[](IF[[#This Row],[SITUATION
 CONTRAT]]&lt;&gt;"PRESTATION",(MAX(0,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-(IF[](S2=1.5,MIN(300000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10%,100000)),IF[](S2=2,MIN(650000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15%,200000)),IF[](S2=2.5,MIN(1100000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20%,300000)),IF[](S2=3,MIN(1650000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25%,400000)),IF[](S2=3.5,MIN(2030000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30%,500000)),IF[](S2=4,MIN(2490000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35%,600000)),IF[](S2=4.5,MIN(2755000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40%,700000)),IF[](S2=5,MIN(3180000,MAX((IF[](ROUNDDOWN((AU2*12-MIN(AU2*12*30%,900000)),-3)&gt;13500000,4359000+(ROUNDDOWN((AU2*12-MIN(AU2*12*30%,900000)),-3)-13500000)*40%,IF[](ROUNDDOWN((AU2*12-MIN(AU2*12*30%,900000)),-3)&gt;8000000,2324000+(ROUNDDOWN((AU2*12-MIN(AU2*12*30%,900000)),-3)-8000000)*37%,IF[](ROUNDDOWN((AU2*12-MIN(AU2*12*30%,900000)),-3)&gt;4000000,924000+(ROUNDDOWN((AU2*12-MIN(AU2*12*30%,900000)),-3)-4000000)*35%,IF[](ROUNDDOWN((AU2*12-MIN(AU2*12*30%,900000)),-3)&gt;1500000,174000+(ROUNDDOWN((AU2*12-MIN(AU2*12*30%,900000)),-3)-1500000)*30%,IF[](ROUNDDOWN((AU2*12-MIN(AU2*12*30%,900000)),-3)&gt;630000,(ROUNDDOWN((AU2*12-MIN(AU2*12*30%,900000)),-3)-630000)*20%,IF[](ROUNDDOWN((AU2*12-MIN(AU2*12*30%,900000)),-3)&lt;630000,ROUNDDOWN((AU2*12-MIN(AU2*12*30%,900000)),-3)*0%)))))))*45%,800000)),0))))))))))/12),0)</calculatedColumnFormula>
    </tableColumn>
    <tableColumn id="29" xr3:uid="{00000000-0010-0000-0100-00001D000000}" name="Retenue T.R.I.M.F" dataDxfId="81" totalsRowDxfId="80" dataCellStyle="Milliers">
      <calculatedColumnFormula>IF[](IF[[#This Row],[SITUATION
 CONTRAT]]&lt;&gt;"PRESTATION",(IF[](IF[[#This Row],[BRUT]]*12&gt;=12000000,IF[[#This Row],[PART TRIMF]]*36000,IF[](IF[[#This Row],[BRUT]]*12&gt;=7000000,IF[[#This Row],[PART TRIMF]]*18000,IF[](IF[[#This Row],[BRUT]]*12&gt;=2000000,IF[[#This Row],[PART TRIMF]]*12000,IF[](IF[[#This Row],[BRUT]]*12&gt;=1000000,IF[[#This Row],[PART TRIMF]]*4800,IF[](IF[[#This Row],[BRUT]]*12&gt;=600000,IF[[#This Row],[PART TRIMF]]*3600,900)))))/12),0)</calculatedColumnFormula>
    </tableColumn>
    <tableColumn id="50" xr3:uid="{00000000-0010-0000-0100-000032000000}" name="C.F.C.E." dataDxfId="79" totalsRowDxfId="78" dataCellStyle="Milliers">
      <calculatedColumnFormula>IF[](IF[[#This Row],[SITUATION
 CONTRAT]]&lt;&gt;"PRESTATION",IF[[#This Row],[BRUT]]*3%,0)</calculatedColumnFormula>
    </tableColumn>
    <tableColumn id="85" xr3:uid="{8C8C1EF2-7C2E-4502-9D90-886295B36E9C}" name="BRS(5%)" dataDxfId="77" totalsRowDxfId="76" dataCellStyle="Milliers">
      <calculatedColumnFormula>IF[](OR(A2&lt;&gt;"00015EA",IF[[#This Row],[SITUATION
 CONTRAT]]&lt;&gt;"PRESTATION"),0,IF[[#This Row],[BRUT]]*5%)</calculatedColumnFormula>
    </tableColumn>
    <tableColumn id="26" xr3:uid="{00000000-0010-0000-0100-00001A000000}" name="Total VRS" dataDxfId="75" totalsRowDxfId="74" dataCellStyle="Milliers">
      <calculatedColumnFormula>SUM(IF[[#This Row],[Impôt sur le revenu]:[BRS(5%)]])</calculatedColumnFormula>
    </tableColumn>
    <tableColumn id="58" xr3:uid="{00000000-0010-0000-0100-00003A000000}" name="BASE IPRES RG" dataDxfId="73" totalsRowDxfId="72" dataCellStyle="Milliers"/>
    <tableColumn id="28" xr3:uid="{00000000-0010-0000-0100-00001C000000}" name="I.P.R.E.S R.G part salarié" dataDxfId="71" totalsRowDxfId="70" dataCellStyle="Milliers"/>
    <tableColumn id="27" xr3:uid="{00000000-0010-0000-0100-00001B000000}" name="I.P.R.E.S R.G. part patronale" dataDxfId="69" totalsRowDxfId="68" dataCellStyle="Milliers"/>
    <tableColumn id="51" xr3:uid="{00000000-0010-0000-0100-000033000000}" name="total_x000a_IPRES RG" dataDxfId="67" totalsRowDxfId="66" dataCellStyle="Milliers"/>
    <tableColumn id="57" xr3:uid="{00000000-0010-0000-0100-000039000000}" name="BASE IPRES RC" dataDxfId="65" totalsRowDxfId="64" dataCellStyle="Milliers"/>
    <tableColumn id="36" xr3:uid="{00000000-0010-0000-0100-000024000000}" name="I.P.R.E.S R.C. part salarié" dataDxfId="63" totalsRowDxfId="62" dataCellStyle="Milliers"/>
    <tableColumn id="35" xr3:uid="{00000000-0010-0000-0100-000023000000}" name="I.P.R.E.S R.C. part patronale" dataDxfId="61" totalsRowDxfId="60" dataCellStyle="Milliers"/>
    <tableColumn id="34" xr3:uid="{00000000-0010-0000-0100-000022000000}" name="TOTAL_x000a_IPRES RC" dataDxfId="59" totalsRowDxfId="58" dataCellStyle="Milliers"/>
    <tableColumn id="52" xr3:uid="{00000000-0010-0000-0100-000034000000}" name="Total IPRES" dataDxfId="57" totalsRowDxfId="56" dataCellStyle="Milliers"/>
    <tableColumn id="56" xr3:uid="{00000000-0010-0000-0100-000038000000}" name="BASE CSS" dataDxfId="55" totalsRowDxfId="54" dataCellStyle="Milliers"/>
    <tableColumn id="38" xr3:uid="{00000000-0010-0000-0100-000026000000}" name="CSS A.F." dataDxfId="53" totalsRowDxfId="52" dataCellStyle="Milliers"/>
    <tableColumn id="37" xr3:uid="{00000000-0010-0000-0100-000025000000}" name="CSS A.T." dataDxfId="51" totalsRowDxfId="50" dataCellStyle="Milliers"/>
    <tableColumn id="53" xr3:uid="{00000000-0010-0000-0100-000035000000}" name="Total CSS" dataDxfId="49" totalsRowDxfId="48" dataCellStyle="Milliers"/>
    <tableColumn id="98" xr3:uid="{2DC0444B-A02C-4F70-8181-4D860CA19264}" name="Base IPM" dataDxfId="47" totalsRowDxfId="46" dataCellStyle="Milliers [0]"/>
    <tableColumn id="74" xr3:uid="{81DFE8FF-6CF3-47EF-AA57-BD64264B33FA}" name="IPM PART SALARIALE" dataDxfId="45" totalsRowDxfId="44" dataCellStyle="Milliers [0]"/>
    <tableColumn id="73" xr3:uid="{0CEAD72F-3989-4728-BBD5-84274C7B299C}" name="IPM PAR PATRONALE" dataDxfId="43" totalsRowDxfId="42" dataCellStyle="Milliers [0]"/>
    <tableColumn id="75" xr3:uid="{72E332A2-C15A-4139-A4B4-9DE23F0FA76B}" name="TOTAL IPM" dataDxfId="41" totalsRowDxfId="40" dataCellStyle="Milliers [0]"/>
    <tableColumn id="44" xr3:uid="{00000000-0010-0000-0100-00002C000000}" name="TOTAL RETENUES" dataDxfId="39" totalsRowDxfId="38" dataCellStyle="Milliers">
      <calculatedColumnFormula>SUM(IF[[#This Row],[Impôt sur le revenu]],IF[[#This Row],[Retenue T.R.I.M.F]],IF[[#This Row],[BRS(5%)]],IF[[#This Row],[I.P.R.E.S R.G part salarié]],IF[[#This Row],[I.P.R.E.S R.C. part salarié]],IF[[#This Row],[IPM PART SALARIALE]])</calculatedColumnFormula>
    </tableColumn>
    <tableColumn id="43" xr3:uid="{00000000-0010-0000-0100-00002B000000}" name="CHARGES PATRONALES" dataDxfId="37" totalsRowDxfId="36" dataCellStyle="Milliers">
      <calculatedColumnFormula>SUM(IF[[#This Row],[C.F.C.E.]],IF[[#This Row],[I.P.R.E.S R.G. part patronale]],IF[[#This Row],[I.P.R.E.S R.C. part patronale]],IF[[#This Row],[Total CSS]],IF[[#This Row],[IPM PAR PATRONALE]])</calculatedColumnFormula>
    </tableColumn>
    <tableColumn id="55" xr3:uid="{00000000-0010-0000-0100-000037000000}" name="Total cotisation" dataDxfId="35" totalsRowDxfId="34" dataCellStyle="Milliers">
      <calculatedColumnFormula>+SUM(IF[[#This Row],[TOTAL RETENUES]:[CHARGES PATRONALES]])</calculatedColumnFormula>
    </tableColumn>
    <tableColumn id="39" xr3:uid="{00000000-0010-0000-0100-000027000000}" name="Remunération nette" dataDxfId="33" totalsRowDxfId="32" dataCellStyle="Milliers">
      <calculatedColumnFormula>IF[[#This Row],[BRUT]]-IF[[#This Row],[TOTAL RETENUES]]</calculatedColumnFormula>
    </tableColumn>
    <tableColumn id="18" xr3:uid="{00000000-0010-0000-0100-000012000000}" name="indemnité de_x000a_transport" dataDxfId="31" totalsRowDxfId="30" dataCellStyle="Milliers">
      <calculatedColumnFormula>IF[](IF[[#This Row],[SITUATION
 CONTRAT]]&lt;&gt;"PRESTATION",(#REF!/30)*(30-IF[[#This Row],[Absences]]),0)</calculatedColumnFormula>
    </tableColumn>
    <tableColumn id="96" xr3:uid="{96DB07B2-5706-4B87-A652-5ADF06B2CE37}" name="indemnité de panier" dataDxfId="29" totalsRowDxfId="28" dataCellStyle="Milliers [0]"/>
    <tableColumn id="78" xr3:uid="{B33BA845-B3CA-4193-9A44-164DD907213C}" name="TVA" dataDxfId="27" totalsRowDxfId="26" dataCellStyle="Milliers"/>
    <tableColumn id="59" xr3:uid="{8BC11C88-2118-4953-812A-BC63A3B85473}" name="INDEMEMNITE DE LICENCIEMENT" dataDxfId="25" totalsRowDxfId="24" dataCellStyle="Milliers"/>
    <tableColumn id="76" xr3:uid="{4F8D3B27-6C2F-431A-8281-89719D6CE5A6}" name="INDEMNITE DE RETRAITE" dataDxfId="23" totalsRowDxfId="22" dataCellStyle="Milliers"/>
    <tableColumn id="23" xr3:uid="{817527C1-AD7B-4BA3-8EB7-EE1B9F50B6CF}" name="FRAIS DE TELEPHONE" dataDxfId="21" totalsRowDxfId="20" dataCellStyle="Milliers"/>
    <tableColumn id="40" xr3:uid="{00000000-0010-0000-0100-000028000000}" name="retenues AVANCE/SALAIRE" dataDxfId="19" totalsRowDxfId="18" dataCellStyle="Milliers"/>
    <tableColumn id="16" xr3:uid="{00000000-0010-0000-0100-000010000000}" name="RETENUES téléphone" dataDxfId="17" totalsRowDxfId="16" dataCellStyle="Milliers"/>
    <tableColumn id="61" xr3:uid="{30791C1E-BDB9-4C80-B8AD-9207A0BB2C24}" name="retenues _x000a_RESTAURANT" dataDxfId="15" totalsRowDxfId="14" dataCellStyle="Milliers"/>
    <tableColumn id="60" xr3:uid="{75E8E92D-CE51-446F-B466-625632206747}" name="retenues_x000a_FRAIS MEDICAUX" dataDxfId="13" totalsRowDxfId="12" dataCellStyle="Milliers"/>
    <tableColumn id="91" xr3:uid="{05089338-0328-466E-91BD-B9A3BCA05E09}" name="Remboursement Frais médicaux" dataDxfId="11" totalsRowDxfId="10" dataCellStyle="Milliers"/>
    <tableColumn id="64" xr3:uid="{966BF372-958F-4C9F-8AF7-F26131E2AB68}" name="appoint m-1" dataDxfId="9" totalsRowDxfId="8" dataCellStyle="Milliers"/>
    <tableColumn id="63" xr3:uid="{A654E2AC-8806-4BD8-8140-90F8315894DB}" name="appoint m" dataDxfId="7" totalsRowDxfId="6" dataCellStyle="Milliers">
      <calculatedColumnFormula>+IF[[#This Row],[NET A 
PAYER]]-IF[[#This Row],[net actuel]]</calculatedColumnFormula>
    </tableColumn>
    <tableColumn id="41" xr3:uid="{00000000-0010-0000-0100-000029000000}" name="NET A _x000a_PAYER" dataDxfId="5" totalsRowDxfId="4" dataCellStyle="Milliers">
      <calculatedColumnFormula>IF[](IF[[#This Row],[net actuel]]&gt;0,MROUND(IF[[#This Row],[net actuel]],500),MROUND(IF[[#This Row],[net actuel]],-500))</calculatedColumnFormula>
    </tableColumn>
    <tableColumn id="62" xr3:uid="{F0D6EA88-0234-4595-A520-3BDA163F5298}" name="net actuel" dataDxfId="3" totalsRowDxfId="2" dataCellStyle="Milliers">
      <calculatedColumnFormula>+IF[[#This Row],[Remunération nette]]+SUM(IF[[#This Row],[indemnité de
transport]:[appoint m-1]])</calculatedColumnFormula>
    </tableColumn>
    <tableColumn id="106" xr3:uid="{EFA583E5-0C2B-4A0D-BA73-F1AEE763F910}" name="net que je veux" dataDxfId="1" totalsRowDxfId="0" dataCellStyle="Millier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F1A53-E4D6-4F55-B235-DB6E19B27E5F}">
  <sheetPr codeName="Feuil2"/>
  <dimension ref="A3:B6"/>
  <sheetViews>
    <sheetView workbookViewId="0">
      <selection activeCell="H17" sqref="H17"/>
    </sheetView>
  </sheetViews>
  <sheetFormatPr baseColWidth="10" defaultColWidth="11.44140625" defaultRowHeight="14.4" x14ac:dyDescent="0.3"/>
  <cols>
    <col min="1" max="1" width="19.5546875" bestFit="1" customWidth="1"/>
    <col min="2" max="2" width="17.109375" bestFit="1" customWidth="1"/>
  </cols>
  <sheetData>
    <row r="3" spans="1:2" x14ac:dyDescent="0.3">
      <c r="A3" s="27" t="s">
        <v>0</v>
      </c>
      <c r="B3" t="s">
        <v>1</v>
      </c>
    </row>
    <row r="4" spans="1:2" x14ac:dyDescent="0.3">
      <c r="A4" s="5" t="s">
        <v>2</v>
      </c>
      <c r="B4" s="46">
        <v>1</v>
      </c>
    </row>
    <row r="5" spans="1:2" x14ac:dyDescent="0.3">
      <c r="A5" s="5" t="s">
        <v>3</v>
      </c>
      <c r="B5" s="46">
        <v>14</v>
      </c>
    </row>
    <row r="6" spans="1:2" x14ac:dyDescent="0.3">
      <c r="A6" s="5" t="s">
        <v>4</v>
      </c>
      <c r="B6" s="46">
        <v>15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00B050"/>
  </sheetPr>
  <dimension ref="A1:CK21"/>
  <sheetViews>
    <sheetView showGridLines="0" tabSelected="1" zoomScale="70" zoomScaleNormal="70" workbookViewId="0">
      <pane xSplit="3" ySplit="1" topLeftCell="U2" activePane="bottomRight" state="frozen"/>
      <selection pane="topRight" activeCell="D1" sqref="D1"/>
      <selection pane="bottomLeft" activeCell="A2" sqref="A2"/>
      <selection pane="bottomRight" activeCell="AH12" sqref="AH12"/>
    </sheetView>
  </sheetViews>
  <sheetFormatPr baseColWidth="10" defaultColWidth="11.44140625" defaultRowHeight="14.4" outlineLevelCol="1" x14ac:dyDescent="0.3"/>
  <cols>
    <col min="1" max="1" width="12.44140625" customWidth="1"/>
    <col min="2" max="2" width="14.5546875" customWidth="1"/>
    <col min="3" max="3" width="8.77734375" customWidth="1"/>
    <col min="4" max="4" width="11.109375" hidden="1" customWidth="1" outlineLevel="1"/>
    <col min="5" max="5" width="7.109375" style="9" hidden="1" customWidth="1" outlineLevel="1"/>
    <col min="6" max="6" width="7.21875" hidden="1" customWidth="1" outlineLevel="1"/>
    <col min="7" max="7" width="23" hidden="1" customWidth="1" outlineLevel="1"/>
    <col min="8" max="8" width="22.44140625" hidden="1" customWidth="1" outlineLevel="1"/>
    <col min="9" max="9" width="12.21875" hidden="1" customWidth="1" outlineLevel="1"/>
    <col min="10" max="10" width="15.44140625" hidden="1" customWidth="1" outlineLevel="1"/>
    <col min="11" max="11" width="18" hidden="1" customWidth="1" outlineLevel="1"/>
    <col min="12" max="12" width="11.88671875" hidden="1" customWidth="1" outlineLevel="1"/>
    <col min="13" max="13" width="14.44140625" hidden="1" customWidth="1" outlineLevel="1"/>
    <col min="14" max="14" width="12.6640625" style="4" hidden="1" customWidth="1" outlineLevel="1"/>
    <col min="15" max="15" width="12.88671875" style="6" hidden="1" customWidth="1" outlineLevel="1"/>
    <col min="16" max="16" width="10.109375" hidden="1" customWidth="1" outlineLevel="1"/>
    <col min="17" max="17" width="10.6640625" hidden="1" customWidth="1" outlineLevel="1"/>
    <col min="18" max="18" width="12.6640625" hidden="1" customWidth="1" outlineLevel="1"/>
    <col min="19" max="19" width="8" style="31" hidden="1" customWidth="1" outlineLevel="1"/>
    <col min="20" max="20" width="12.77734375" hidden="1" customWidth="1" outlineLevel="1"/>
    <col min="21" max="21" width="10.77734375" customWidth="1" collapsed="1"/>
    <col min="22" max="22" width="9.6640625" hidden="1" customWidth="1" outlineLevel="1"/>
    <col min="23" max="23" width="15.5546875" hidden="1" customWidth="1" outlineLevel="1"/>
    <col min="24" max="24" width="13.44140625" hidden="1" customWidth="1" outlineLevel="1" collapsed="1"/>
    <col min="25" max="25" width="11" hidden="1" customWidth="1" outlineLevel="1"/>
    <col min="26" max="29" width="9.88671875" hidden="1" customWidth="1" outlineLevel="1"/>
    <col min="30" max="30" width="8.5546875" customWidth="1" collapsed="1"/>
    <col min="31" max="31" width="12.21875" style="45" customWidth="1" outlineLevel="1"/>
    <col min="32" max="32" width="13.33203125" style="6" customWidth="1" outlineLevel="1"/>
    <col min="33" max="33" width="13" customWidth="1" outlineLevel="1"/>
    <col min="34" max="34" width="11.44140625" customWidth="1" outlineLevel="1"/>
    <col min="35" max="35" width="12.33203125" customWidth="1" outlineLevel="1"/>
    <col min="36" max="36" width="13.5546875" customWidth="1" outlineLevel="1"/>
    <col min="37" max="37" width="11" customWidth="1" outlineLevel="1"/>
    <col min="38" max="38" width="11.6640625" style="6" customWidth="1" outlineLevel="1"/>
    <col min="39" max="39" width="14.109375" customWidth="1" outlineLevel="1"/>
    <col min="40" max="40" width="16.6640625" customWidth="1" outlineLevel="1"/>
    <col min="41" max="41" width="11.44140625" customWidth="1" outlineLevel="1"/>
    <col min="42" max="42" width="11.77734375" customWidth="1" outlineLevel="1"/>
    <col min="43" max="46" width="12.6640625" customWidth="1" outlineLevel="1"/>
    <col min="47" max="47" width="11.44140625" customWidth="1"/>
    <col min="48" max="48" width="12.88671875" hidden="1" customWidth="1" outlineLevel="1"/>
    <col min="49" max="49" width="10.5546875" hidden="1" customWidth="1" outlineLevel="1"/>
    <col min="50" max="50" width="10" hidden="1" customWidth="1" outlineLevel="1"/>
    <col min="51" max="51" width="9.88671875" hidden="1" customWidth="1" outlineLevel="1"/>
    <col min="52" max="52" width="11.44140625" hidden="1" customWidth="1" outlineLevel="1"/>
    <col min="53" max="53" width="12.109375" hidden="1" customWidth="1" outlineLevel="1"/>
    <col min="54" max="54" width="13.21875" hidden="1" customWidth="1" outlineLevel="1"/>
    <col min="55" max="55" width="14.6640625" hidden="1" customWidth="1" outlineLevel="1"/>
    <col min="56" max="56" width="10.44140625" hidden="1" customWidth="1" outlineLevel="1"/>
    <col min="57" max="57" width="12.109375" hidden="1" customWidth="1" outlineLevel="1"/>
    <col min="58" max="58" width="13.5546875" hidden="1" customWidth="1" outlineLevel="1"/>
    <col min="59" max="59" width="14.6640625" hidden="1" customWidth="1" outlineLevel="1"/>
    <col min="60" max="60" width="10.21875" hidden="1" customWidth="1" outlineLevel="1"/>
    <col min="61" max="61" width="12" hidden="1" customWidth="1" outlineLevel="1"/>
    <col min="62" max="62" width="10.5546875" hidden="1" customWidth="1" outlineLevel="1"/>
    <col min="63" max="64" width="9.5546875" hidden="1" customWidth="1" outlineLevel="1"/>
    <col min="65" max="65" width="10.5546875" hidden="1" customWidth="1" outlineLevel="1"/>
    <col min="66" max="66" width="11.109375" hidden="1" customWidth="1" outlineLevel="1"/>
    <col min="67" max="67" width="11.77734375" hidden="1" customWidth="1" outlineLevel="1"/>
    <col min="68" max="68" width="12.88671875" hidden="1" customWidth="1" outlineLevel="1"/>
    <col min="69" max="69" width="12.33203125" hidden="1" customWidth="1" outlineLevel="1"/>
    <col min="70" max="70" width="11.44140625" hidden="1" customWidth="1" outlineLevel="1"/>
    <col min="71" max="71" width="13.77734375" hidden="1" customWidth="1" outlineLevel="1"/>
    <col min="72" max="72" width="11.44140625" hidden="1" customWidth="1" outlineLevel="1"/>
    <col min="73" max="73" width="13.77734375" customWidth="1" collapsed="1"/>
    <col min="74" max="74" width="14" hidden="1" customWidth="1" outlineLevel="1"/>
    <col min="75" max="76" width="14" style="6" hidden="1" customWidth="1" outlineLevel="1"/>
    <col min="77" max="77" width="17.33203125" style="6" hidden="1" customWidth="1" outlineLevel="1"/>
    <col min="78" max="78" width="13.21875" style="6" hidden="1" customWidth="1" outlineLevel="1"/>
    <col min="79" max="79" width="12.44140625" hidden="1" customWidth="1" outlineLevel="1"/>
    <col min="80" max="80" width="17.109375" hidden="1" customWidth="1" outlineLevel="1"/>
    <col min="81" max="81" width="11.6640625" hidden="1" customWidth="1" outlineLevel="1"/>
    <col min="82" max="82" width="13.6640625" hidden="1" customWidth="1" outlineLevel="1"/>
    <col min="83" max="83" width="16.88671875" hidden="1" customWidth="1" outlineLevel="1"/>
    <col min="84" max="84" width="16" hidden="1" customWidth="1" outlineLevel="1"/>
    <col min="85" max="85" width="13" hidden="1" customWidth="1" outlineLevel="1"/>
    <col min="86" max="86" width="11.5546875" hidden="1" customWidth="1" outlineLevel="1"/>
    <col min="87" max="87" width="11.44140625" bestFit="1" customWidth="1" collapsed="1"/>
    <col min="90" max="91" width="12.44140625" bestFit="1" customWidth="1"/>
    <col min="92" max="92" width="13.33203125" bestFit="1" customWidth="1"/>
    <col min="93" max="93" width="11.33203125" bestFit="1" customWidth="1"/>
    <col min="94" max="94" width="14.6640625" bestFit="1" customWidth="1"/>
    <col min="95" max="95" width="10.88671875" bestFit="1" customWidth="1"/>
    <col min="96" max="96" width="10.33203125" bestFit="1" customWidth="1"/>
    <col min="97" max="97" width="17.33203125" bestFit="1" customWidth="1"/>
    <col min="98" max="98" width="14.88671875" customWidth="1"/>
    <col min="99" max="99" width="18.5546875" bestFit="1" customWidth="1"/>
    <col min="100" max="100" width="15.5546875" customWidth="1"/>
    <col min="101" max="101" width="16.88671875" customWidth="1"/>
    <col min="102" max="102" width="12.44140625" bestFit="1" customWidth="1"/>
    <col min="103" max="103" width="9.33203125" bestFit="1" customWidth="1"/>
    <col min="104" max="104" width="12.6640625" customWidth="1"/>
    <col min="105" max="105" width="11.88671875" customWidth="1"/>
    <col min="106" max="106" width="11.5546875" customWidth="1"/>
    <col min="107" max="107" width="12.6640625" customWidth="1"/>
    <col min="108" max="108" width="14.33203125" customWidth="1"/>
    <col min="109" max="109" width="12.109375" customWidth="1"/>
    <col min="110" max="110" width="16" customWidth="1"/>
    <col min="111" max="111" width="14.33203125" customWidth="1"/>
    <col min="112" max="112" width="12.88671875" customWidth="1"/>
    <col min="113" max="113" width="12.6640625" customWidth="1"/>
    <col min="114" max="114" width="12.88671875" customWidth="1"/>
    <col min="115" max="115" width="11.88671875" customWidth="1"/>
  </cols>
  <sheetData>
    <row r="1" spans="1:89" s="3" customFormat="1" ht="39.6" customHeight="1" x14ac:dyDescent="0.3">
      <c r="A1" s="10" t="s">
        <v>5</v>
      </c>
      <c r="B1" s="10" t="s">
        <v>6</v>
      </c>
      <c r="C1" s="10" t="s">
        <v>7</v>
      </c>
      <c r="D1" s="10" t="s">
        <v>8</v>
      </c>
      <c r="E1" s="25" t="s">
        <v>9</v>
      </c>
      <c r="F1" s="10" t="s">
        <v>10</v>
      </c>
      <c r="G1" s="10" t="s">
        <v>11</v>
      </c>
      <c r="H1" s="10" t="s">
        <v>12</v>
      </c>
      <c r="I1" s="10" t="s">
        <v>13</v>
      </c>
      <c r="J1" s="14" t="s">
        <v>14</v>
      </c>
      <c r="K1" s="10" t="s">
        <v>15</v>
      </c>
      <c r="L1" s="10" t="s">
        <v>16</v>
      </c>
      <c r="M1" s="11" t="s">
        <v>17</v>
      </c>
      <c r="N1" s="36" t="s">
        <v>18</v>
      </c>
      <c r="O1" s="10" t="s">
        <v>19</v>
      </c>
      <c r="P1" s="10" t="s">
        <v>121</v>
      </c>
      <c r="Q1" s="10" t="s">
        <v>20</v>
      </c>
      <c r="R1" s="10" t="s">
        <v>21</v>
      </c>
      <c r="S1" s="29" t="s">
        <v>22</v>
      </c>
      <c r="T1" s="10" t="s">
        <v>93</v>
      </c>
      <c r="U1" s="10" t="s">
        <v>85</v>
      </c>
      <c r="V1" s="10" t="s">
        <v>23</v>
      </c>
      <c r="W1" s="10" t="s">
        <v>24</v>
      </c>
      <c r="X1" s="10" t="s">
        <v>25</v>
      </c>
      <c r="Y1" s="10" t="s">
        <v>92</v>
      </c>
      <c r="Z1" s="10" t="s">
        <v>26</v>
      </c>
      <c r="AA1" s="10" t="s">
        <v>27</v>
      </c>
      <c r="AB1" s="10" t="s">
        <v>28</v>
      </c>
      <c r="AC1" s="10" t="s">
        <v>29</v>
      </c>
      <c r="AD1" s="36" t="s">
        <v>30</v>
      </c>
      <c r="AE1" s="33" t="s">
        <v>31</v>
      </c>
      <c r="AF1" s="13" t="s">
        <v>32</v>
      </c>
      <c r="AG1" s="12" t="s">
        <v>86</v>
      </c>
      <c r="AH1" s="12" t="s">
        <v>118</v>
      </c>
      <c r="AI1" s="12" t="s">
        <v>119</v>
      </c>
      <c r="AJ1" s="14" t="s">
        <v>33</v>
      </c>
      <c r="AK1" s="14" t="s">
        <v>34</v>
      </c>
      <c r="AL1" s="14" t="s">
        <v>35</v>
      </c>
      <c r="AM1" s="14" t="s">
        <v>36</v>
      </c>
      <c r="AN1" s="12" t="s">
        <v>37</v>
      </c>
      <c r="AO1" s="14" t="s">
        <v>38</v>
      </c>
      <c r="AP1" s="12" t="s">
        <v>43</v>
      </c>
      <c r="AQ1" s="12" t="s">
        <v>39</v>
      </c>
      <c r="AR1" s="12" t="s">
        <v>40</v>
      </c>
      <c r="AS1" s="12" t="s">
        <v>41</v>
      </c>
      <c r="AT1" s="12" t="s">
        <v>42</v>
      </c>
      <c r="AU1" s="41" t="s">
        <v>84</v>
      </c>
      <c r="AV1" s="14" t="s">
        <v>44</v>
      </c>
      <c r="AW1" s="14" t="s">
        <v>45</v>
      </c>
      <c r="AX1" s="14" t="s">
        <v>46</v>
      </c>
      <c r="AY1" s="14" t="s">
        <v>47</v>
      </c>
      <c r="AZ1" s="14" t="s">
        <v>48</v>
      </c>
      <c r="BA1" s="14" t="s">
        <v>49</v>
      </c>
      <c r="BB1" s="14" t="s">
        <v>51</v>
      </c>
      <c r="BC1" s="14" t="s">
        <v>52</v>
      </c>
      <c r="BD1" s="14" t="s">
        <v>53</v>
      </c>
      <c r="BE1" s="14" t="s">
        <v>50</v>
      </c>
      <c r="BF1" s="14" t="s">
        <v>54</v>
      </c>
      <c r="BG1" s="14" t="s">
        <v>55</v>
      </c>
      <c r="BH1" s="14" t="s">
        <v>56</v>
      </c>
      <c r="BI1" s="14" t="s">
        <v>57</v>
      </c>
      <c r="BJ1" s="14" t="s">
        <v>58</v>
      </c>
      <c r="BK1" s="14" t="s">
        <v>59</v>
      </c>
      <c r="BL1" s="14" t="s">
        <v>60</v>
      </c>
      <c r="BM1" s="14" t="s">
        <v>61</v>
      </c>
      <c r="BN1" s="36" t="s">
        <v>62</v>
      </c>
      <c r="BO1" s="36" t="s">
        <v>63</v>
      </c>
      <c r="BP1" s="36" t="s">
        <v>64</v>
      </c>
      <c r="BQ1" s="36" t="s">
        <v>65</v>
      </c>
      <c r="BR1" s="14" t="s">
        <v>66</v>
      </c>
      <c r="BS1" s="14" t="s">
        <v>67</v>
      </c>
      <c r="BT1" s="14" t="s">
        <v>68</v>
      </c>
      <c r="BU1" s="32" t="s">
        <v>69</v>
      </c>
      <c r="BV1" s="14" t="s">
        <v>87</v>
      </c>
      <c r="BW1" s="36" t="s">
        <v>88</v>
      </c>
      <c r="BX1" s="33" t="s">
        <v>120</v>
      </c>
      <c r="BY1" s="33" t="s">
        <v>73</v>
      </c>
      <c r="BZ1" s="33" t="s">
        <v>74</v>
      </c>
      <c r="CA1" s="33" t="s">
        <v>72</v>
      </c>
      <c r="CB1" s="33" t="s">
        <v>89</v>
      </c>
      <c r="CC1" s="33" t="s">
        <v>70</v>
      </c>
      <c r="CD1" s="33" t="s">
        <v>90</v>
      </c>
      <c r="CE1" s="33" t="s">
        <v>91</v>
      </c>
      <c r="CF1" s="33" t="s">
        <v>71</v>
      </c>
      <c r="CG1" s="33" t="s">
        <v>75</v>
      </c>
      <c r="CH1" s="14" t="s">
        <v>76</v>
      </c>
      <c r="CI1" s="10" t="s">
        <v>77</v>
      </c>
      <c r="CJ1" s="43" t="s">
        <v>138</v>
      </c>
      <c r="CK1" s="33" t="s">
        <v>139</v>
      </c>
    </row>
    <row r="2" spans="1:89" x14ac:dyDescent="0.3">
      <c r="A2" s="15">
        <v>10000</v>
      </c>
      <c r="B2" s="15" t="s">
        <v>123</v>
      </c>
      <c r="C2" s="15"/>
      <c r="D2" s="24">
        <v>30316</v>
      </c>
      <c r="E2" s="26" t="e">
        <f>DATEDIF(IF[[#This Row],[date de Naissance]],#REF!,"y")</f>
        <v>#REF!</v>
      </c>
      <c r="F2" s="24" t="s">
        <v>78</v>
      </c>
      <c r="G2" s="24" t="s">
        <v>95</v>
      </c>
      <c r="H2" s="15" t="s">
        <v>110</v>
      </c>
      <c r="I2" s="1" t="s">
        <v>115</v>
      </c>
      <c r="J2" s="35" t="e">
        <f>VLOOKUP(IF[[#This Row],[CATEGORIE]],#REF!,4,FALSE)</f>
        <v>#REF!</v>
      </c>
      <c r="K2" s="1" t="s">
        <v>3</v>
      </c>
      <c r="L2" s="15" t="s">
        <v>79</v>
      </c>
      <c r="M2" s="16">
        <v>42217</v>
      </c>
      <c r="N2" s="37" t="e">
        <f>DATEDIF(IF[[#This Row],[Date d''entrée]],#REF!+1,"y")</f>
        <v>#REF!</v>
      </c>
      <c r="O2" s="18" t="s">
        <v>80</v>
      </c>
      <c r="P2" s="18">
        <v>1</v>
      </c>
      <c r="Q2" s="18">
        <v>2</v>
      </c>
      <c r="R2" s="18">
        <v>1</v>
      </c>
      <c r="S2" s="30">
        <v>2.5</v>
      </c>
      <c r="T2" s="18" t="s">
        <v>94</v>
      </c>
      <c r="U2" s="17"/>
      <c r="V2" s="17">
        <v>0</v>
      </c>
      <c r="W2" s="17">
        <v>0</v>
      </c>
      <c r="X2" s="19">
        <v>1</v>
      </c>
      <c r="Y2" s="17"/>
      <c r="Z2" s="17">
        <v>0</v>
      </c>
      <c r="AA2" s="17">
        <v>0</v>
      </c>
      <c r="AB2" s="17">
        <v>0</v>
      </c>
      <c r="AC2" s="17">
        <v>0</v>
      </c>
      <c r="AD2" s="38">
        <f>+SUM(IF[[#This Row],[SALAIRE DE BASE]:[Honnoraires 
prestataires]])/(40*52/12)</f>
        <v>0</v>
      </c>
      <c r="AE2" s="34">
        <v>0</v>
      </c>
      <c r="AF2" s="21"/>
      <c r="AG2" s="20">
        <v>0</v>
      </c>
      <c r="AH2" s="20">
        <v>187377</v>
      </c>
      <c r="AI2" s="20">
        <v>100000</v>
      </c>
      <c r="AJ2" s="22">
        <v>0</v>
      </c>
      <c r="AK2" s="22">
        <f>-(SUM(IF[[#This Row],[SALAIRE DE BASE]:[Prime de transport imposable]],IF[[#This Row],[Prime d''ancienneté]])/30)*IF[[#This Row],[Absences]]</f>
        <v>0</v>
      </c>
      <c r="AL2" s="22">
        <f>(SUM(IF[[#This Row],[SALAIRE DE BASE]:[Honnoraires 
prestataires]],IF[[#This Row],[Prime d''ancienneté]])/30)*IF[[#This Row],[Abs Maladie]]</f>
        <v>0</v>
      </c>
      <c r="AM2" s="22">
        <f>(SUM(IF[[#This Row],[SALAIRE DE BASE]:[Honnoraires 
prestataires]],IF[[#This Row],[Prime d''ancienneté]])/30)*IF[[#This Row],[abs evenement familiaux]]</f>
        <v>0</v>
      </c>
      <c r="AN2" s="20">
        <v>0</v>
      </c>
      <c r="AO2" s="22">
        <f>IF(IF[[#This Row],[le congé est il à payer?]]="OUI",#REF!,0)</f>
        <v>0</v>
      </c>
      <c r="AP2" s="20">
        <v>0</v>
      </c>
      <c r="AQ2" s="22">
        <f>+IF[[#This Row],[HS115%]]*IF[[#This Row],[TH]]*115%</f>
        <v>0</v>
      </c>
      <c r="AR2" s="22">
        <f>+IF[[#This Row],[HS140%]]*IF[[#This Row],[TH]]*140%</f>
        <v>0</v>
      </c>
      <c r="AS2" s="22">
        <f>+IF[[#This Row],[HS160%]]*IF[[#This Row],[TH]]*160%</f>
        <v>0</v>
      </c>
      <c r="AT2" s="22">
        <f>+IF[[#This Row],[HS200%]]*IF[[#This Row],[TH]]*200%</f>
        <v>0</v>
      </c>
      <c r="AU2" s="23">
        <f>+SUM(IF[[#This Row],[SALAIRE DE BASE]:[MT HS200%]])</f>
        <v>287377</v>
      </c>
      <c r="AV2" s="39">
        <f>IF(IF[[#This Row],[SITUATION
 CONTRAT]]&lt;&gt;"PRESTATION",(MAX(0,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-(IF(S2=1.5,MIN(300000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10%,100000)),IF(S2=2,MIN(650000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15%,200000)),IF(S2=2.5,MIN(1100000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20%,300000)),IF(S2=3,MIN(1650000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25%,400000)),IF(S2=3.5,MIN(2030000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30%,500000)),IF(S2=4,MIN(2490000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35%,600000)),IF(S2=4.5,MIN(2755000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40%,700000)),IF(S2=5,MIN(3180000,MAX((IF(ROUNDDOWN((AU2*12-MIN(AU2*12*30%,900000)),-3)&gt;13500000,4359000+(ROUNDDOWN((AU2*12-MIN(AU2*12*30%,900000)),-3)-13500000)*40%,IF(ROUNDDOWN((AU2*12-MIN(AU2*12*30%,900000)),-3)&gt;8000000,2324000+(ROUNDDOWN((AU2*12-MIN(AU2*12*30%,900000)),-3)-8000000)*37%,IF(ROUNDDOWN((AU2*12-MIN(AU2*12*30%,900000)),-3)&gt;4000000,924000+(ROUNDDOWN((AU2*12-MIN(AU2*12*30%,900000)),-3)-4000000)*35%,IF(ROUNDDOWN((AU2*12-MIN(AU2*12*30%,900000)),-3)&gt;1500000,174000+(ROUNDDOWN((AU2*12-MIN(AU2*12*30%,900000)),-3)-1500000)*30%,IF(ROUNDDOWN((AU2*12-MIN(AU2*12*30%,900000)),-3)&gt;630000,(ROUNDDOWN((AU2*12-MIN(AU2*12*30%,900000)),-3)-630000)*20%,IF(ROUNDDOWN((AU2*12-MIN(AU2*12*30%,900000)),-3)&lt;630000,ROUNDDOWN((AU2*12-MIN(AU2*12*30%,900000)),-3)*0%)))))))*45%,800000)),0))))))))))/12),0)</f>
        <v>15700</v>
      </c>
      <c r="AW2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2" s="22">
        <f>IF(IF[[#This Row],[SITUATION
 CONTRAT]]&lt;&gt;"PRESTATION",IF[[#This Row],[BRUT]]*3%,0)</f>
        <v>8621.31</v>
      </c>
      <c r="AY2" s="22">
        <f>IF(OR(A2&lt;&gt;"00015EA",IF[[#This Row],[SITUATION
 CONTRAT]]&lt;&gt;"PRESTATION"),0,IF[[#This Row],[BRUT]]*5%)</f>
        <v>0</v>
      </c>
      <c r="AZ2" s="22">
        <f>SUM(IF[[#This Row],[Impôt sur le revenu]:[BRS(5%)]])</f>
        <v>25321.309999999998</v>
      </c>
      <c r="BA2" s="22">
        <v>0</v>
      </c>
      <c r="BB2" s="22">
        <v>0</v>
      </c>
      <c r="BC2" s="22">
        <v>0</v>
      </c>
      <c r="BD2" s="22">
        <v>0</v>
      </c>
      <c r="BE2" s="22">
        <v>0</v>
      </c>
      <c r="BF2" s="22">
        <v>0</v>
      </c>
      <c r="BG2" s="22">
        <v>0</v>
      </c>
      <c r="BH2" s="22">
        <v>0</v>
      </c>
      <c r="BI2" s="22">
        <v>0</v>
      </c>
      <c r="BJ2" s="22">
        <v>0</v>
      </c>
      <c r="BK2" s="22">
        <v>0</v>
      </c>
      <c r="BL2" s="22">
        <v>0</v>
      </c>
      <c r="BM2" s="22">
        <v>0</v>
      </c>
      <c r="BN2" s="40">
        <v>0</v>
      </c>
      <c r="BO2" s="40">
        <v>0</v>
      </c>
      <c r="BP2" s="38">
        <v>0</v>
      </c>
      <c r="BQ2" s="38">
        <v>0</v>
      </c>
      <c r="BR2" s="22">
        <f>SUM(IF[[#This Row],[Impôt sur le revenu]],IF[[#This Row],[Retenue T.R.I.M.F]],IF[[#This Row],[BRS(5%)]],IF[[#This Row],[I.P.R.E.S R.G part salarié]],IF[[#This Row],[I.P.R.E.S R.C. part salarié]],IF[[#This Row],[IPM PART SALARIALE]])</f>
        <v>16700</v>
      </c>
      <c r="BS2" s="22">
        <f>SUM(IF[[#This Row],[C.F.C.E.]],IF[[#This Row],[I.P.R.E.S R.G. part patronale]],IF[[#This Row],[I.P.R.E.S R.C. part patronale]],IF[[#This Row],[Total CSS]],IF[[#This Row],[IPM PAR PATRONALE]])</f>
        <v>8621.31</v>
      </c>
      <c r="BT2" s="22">
        <f>+SUM(IF[[#This Row],[TOTAL RETENUES]:[CHARGES PATRONALES]])</f>
        <v>25321.309999999998</v>
      </c>
      <c r="BU2" s="23">
        <f>IF[[#This Row],[BRUT]]-IF[[#This Row],[TOTAL RETENUES]]</f>
        <v>270677</v>
      </c>
      <c r="BV2" s="28">
        <v>20800</v>
      </c>
      <c r="BW2" s="42">
        <v>0</v>
      </c>
      <c r="BX2" s="34">
        <v>0</v>
      </c>
      <c r="BY2" s="34">
        <v>0</v>
      </c>
      <c r="BZ2" s="34">
        <v>0</v>
      </c>
      <c r="CA2" s="34">
        <v>10000</v>
      </c>
      <c r="CB2" s="34">
        <v>0</v>
      </c>
      <c r="CC2" s="34"/>
      <c r="CD2" s="34"/>
      <c r="CE2" s="34">
        <v>0</v>
      </c>
      <c r="CF2" s="34"/>
      <c r="CG2" s="34">
        <v>-105.06333333277144</v>
      </c>
      <c r="CH2" s="22">
        <f>+IF[[#This Row],[NET A 
PAYER]]-IF[[#This Row],[net actuel]]</f>
        <v>128.06333333277144</v>
      </c>
      <c r="CI2" s="23">
        <f>IF(IF[[#This Row],[net actuel]]&gt;0,MROUND(IF[[#This Row],[net actuel]],500),MROUND(IF[[#This Row],[net actuel]],-500))</f>
        <v>301500</v>
      </c>
      <c r="CJ2" s="44">
        <f>+IF[[#This Row],[Remunération nette]]+SUM(IF[[#This Row],[indemnité de
transport]:[appoint m-1]])</f>
        <v>301371.93666666723</v>
      </c>
      <c r="CK2" s="34">
        <v>100000</v>
      </c>
    </row>
    <row r="3" spans="1:89" x14ac:dyDescent="0.3">
      <c r="A3" s="15">
        <v>10001</v>
      </c>
      <c r="B3" s="15" t="s">
        <v>124</v>
      </c>
      <c r="C3" s="15"/>
      <c r="D3" s="24">
        <v>24442</v>
      </c>
      <c r="E3" s="26" t="e">
        <f>DATEDIF(IF[[#This Row],[date de Naissance]],#REF!,"y")</f>
        <v>#REF!</v>
      </c>
      <c r="F3" s="24" t="s">
        <v>78</v>
      </c>
      <c r="G3" s="24" t="s">
        <v>96</v>
      </c>
      <c r="H3" s="15" t="s">
        <v>112</v>
      </c>
      <c r="I3" s="1" t="s">
        <v>116</v>
      </c>
      <c r="J3" s="35" t="e">
        <f>VLOOKUP(IF[[#This Row],[CATEGORIE]],#REF!,4,FALSE)</f>
        <v>#REF!</v>
      </c>
      <c r="K3" s="1" t="s">
        <v>3</v>
      </c>
      <c r="L3" s="15" t="s">
        <v>79</v>
      </c>
      <c r="M3" s="16">
        <v>41334</v>
      </c>
      <c r="N3" s="37" t="e">
        <f>DATEDIF(IF[[#This Row],[Date d''entrée]],#REF!+1,"y")</f>
        <v>#REF!</v>
      </c>
      <c r="O3" s="18" t="s">
        <v>80</v>
      </c>
      <c r="P3" s="18">
        <v>1</v>
      </c>
      <c r="Q3" s="18">
        <v>5</v>
      </c>
      <c r="R3" s="18">
        <v>2</v>
      </c>
      <c r="S3" s="30">
        <v>4</v>
      </c>
      <c r="T3" s="18" t="s">
        <v>94</v>
      </c>
      <c r="U3" s="17"/>
      <c r="V3" s="17">
        <v>0</v>
      </c>
      <c r="W3" s="17">
        <v>0</v>
      </c>
      <c r="X3" s="19">
        <v>1</v>
      </c>
      <c r="Y3" s="17"/>
      <c r="Z3" s="17">
        <v>0</v>
      </c>
      <c r="AA3" s="17">
        <v>0</v>
      </c>
      <c r="AB3" s="17">
        <v>0</v>
      </c>
      <c r="AC3" s="17">
        <v>0</v>
      </c>
      <c r="AD3" s="38">
        <f>+SUM(IF[[#This Row],[SALAIRE DE BASE]:[Honnoraires 
prestataires]])/(40*52/12)</f>
        <v>0</v>
      </c>
      <c r="AE3" s="34">
        <v>0</v>
      </c>
      <c r="AF3" s="21"/>
      <c r="AG3" s="20">
        <v>0</v>
      </c>
      <c r="AH3" s="20">
        <v>191007</v>
      </c>
      <c r="AI3" s="20">
        <v>100000</v>
      </c>
      <c r="AJ3" s="22">
        <v>0</v>
      </c>
      <c r="AK3" s="22">
        <f>-(SUM(IF[[#This Row],[SALAIRE DE BASE]:[Prime de transport imposable]],IF[[#This Row],[Prime d''ancienneté]])/30)*IF[[#This Row],[Absences]]</f>
        <v>0</v>
      </c>
      <c r="AL3" s="22">
        <f>(SUM(IF[[#This Row],[SALAIRE DE BASE]:[Honnoraires 
prestataires]],IF[[#This Row],[Prime d''ancienneté]])/30)*IF[[#This Row],[Abs Maladie]]</f>
        <v>0</v>
      </c>
      <c r="AM3" s="22">
        <f>(SUM(IF[[#This Row],[SALAIRE DE BASE]:[Honnoraires 
prestataires]],IF[[#This Row],[Prime d''ancienneté]])/30)*IF[[#This Row],[abs evenement familiaux]]</f>
        <v>0</v>
      </c>
      <c r="AN3" s="20" t="s">
        <v>122</v>
      </c>
      <c r="AO3" s="22">
        <f>IF(IF[[#This Row],[le congé est il à payer?]]="OUI",#REF!,0)</f>
        <v>0</v>
      </c>
      <c r="AP3" s="20">
        <v>0</v>
      </c>
      <c r="AQ3" s="22">
        <f>+IF[[#This Row],[HS115%]]*IF[[#This Row],[TH]]*115%</f>
        <v>0</v>
      </c>
      <c r="AR3" s="22">
        <f>+IF[[#This Row],[HS140%]]*IF[[#This Row],[TH]]*140%</f>
        <v>0</v>
      </c>
      <c r="AS3" s="22">
        <f>+IF[[#This Row],[HS160%]]*IF[[#This Row],[TH]]*160%</f>
        <v>0</v>
      </c>
      <c r="AT3" s="22">
        <f>+IF[[#This Row],[HS200%]]*IF[[#This Row],[TH]]*200%</f>
        <v>0</v>
      </c>
      <c r="AU3" s="23">
        <f>+SUM(IF[[#This Row],[SALAIRE DE BASE]:[MT HS200%]])</f>
        <v>291007</v>
      </c>
      <c r="AV3" s="39">
        <f>IF(IF[[#This Row],[SITUATION
 CONTRAT]]&lt;&gt;"PRESTATION",(MAX(0,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-(IF(S3=1.5,MIN(300000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10%,100000)),IF(S3=2,MIN(650000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15%,200000)),IF(S3=2.5,MIN(1100000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20%,300000)),IF(S3=3,MIN(1650000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25%,400000)),IF(S3=3.5,MIN(2030000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30%,500000)),IF(S3=4,MIN(2490000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35%,600000)),IF(S3=4.5,MIN(2755000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40%,700000)),IF(S3=5,MIN(3180000,MAX((IF(ROUNDDOWN((AU3*12-MIN(AU3*12*30%,900000)),-3)&gt;13500000,4359000+(ROUNDDOWN((AU3*12-MIN(AU3*12*30%,900000)),-3)-13500000)*40%,IF(ROUNDDOWN((AU3*12-MIN(AU3*12*30%,900000)),-3)&gt;8000000,2324000+(ROUNDDOWN((AU3*12-MIN(AU3*12*30%,900000)),-3)-8000000)*37%,IF(ROUNDDOWN((AU3*12-MIN(AU3*12*30%,900000)),-3)&gt;4000000,924000+(ROUNDDOWN((AU3*12-MIN(AU3*12*30%,900000)),-3)-4000000)*35%,IF(ROUNDDOWN((AU3*12-MIN(AU3*12*30%,900000)),-3)&gt;1500000,174000+(ROUNDDOWN((AU3*12-MIN(AU3*12*30%,900000)),-3)-1500000)*30%,IF(ROUNDDOWN((AU3*12-MIN(AU3*12*30%,900000)),-3)&gt;630000,(ROUNDDOWN((AU3*12-MIN(AU3*12*30%,900000)),-3)-630000)*20%,IF(ROUNDDOWN((AU3*12-MIN(AU3*12*30%,900000)),-3)&lt;630000,ROUNDDOWN((AU3*12-MIN(AU3*12*30%,900000)),-3)*0%)))))))*45%,800000)),0))))))))))/12),0)</f>
        <v>0</v>
      </c>
      <c r="AW3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2000</v>
      </c>
      <c r="AX3" s="22">
        <f>IF(IF[[#This Row],[SITUATION
 CONTRAT]]&lt;&gt;"PRESTATION",IF[[#This Row],[BRUT]]*3%,0)</f>
        <v>8730.2099999999991</v>
      </c>
      <c r="AY3" s="22">
        <f>IF(OR(A3&lt;&gt;"00015EA",IF[[#This Row],[SITUATION
 CONTRAT]]&lt;&gt;"PRESTATION"),0,IF[[#This Row],[BRUT]]*5%)</f>
        <v>0</v>
      </c>
      <c r="AZ3" s="22">
        <f>SUM(IF[[#This Row],[Impôt sur le revenu]:[BRS(5%)]])</f>
        <v>10730.21</v>
      </c>
      <c r="BA3" s="22">
        <v>0</v>
      </c>
      <c r="BB3" s="22">
        <v>0</v>
      </c>
      <c r="BC3" s="22">
        <v>0</v>
      </c>
      <c r="BD3" s="22">
        <v>0</v>
      </c>
      <c r="BE3" s="22">
        <v>0</v>
      </c>
      <c r="BF3" s="22">
        <v>0</v>
      </c>
      <c r="BG3" s="22">
        <v>0</v>
      </c>
      <c r="BH3" s="22">
        <v>0</v>
      </c>
      <c r="BI3" s="22">
        <v>0</v>
      </c>
      <c r="BJ3" s="22">
        <v>0</v>
      </c>
      <c r="BK3" s="22">
        <v>0</v>
      </c>
      <c r="BL3" s="22">
        <v>0</v>
      </c>
      <c r="BM3" s="22">
        <v>0</v>
      </c>
      <c r="BN3" s="40">
        <v>0</v>
      </c>
      <c r="BO3" s="40">
        <v>0</v>
      </c>
      <c r="BP3" s="38">
        <v>0</v>
      </c>
      <c r="BQ3" s="38">
        <v>0</v>
      </c>
      <c r="BR3" s="22">
        <f>SUM(IF[[#This Row],[Impôt sur le revenu]],IF[[#This Row],[Retenue T.R.I.M.F]],IF[[#This Row],[BRS(5%)]],IF[[#This Row],[I.P.R.E.S R.G part salarié]],IF[[#This Row],[I.P.R.E.S R.C. part salarié]],IF[[#This Row],[IPM PART SALARIALE]])</f>
        <v>2000</v>
      </c>
      <c r="BS3" s="22">
        <f>SUM(IF[[#This Row],[C.F.C.E.]],IF[[#This Row],[I.P.R.E.S R.G. part patronale]],IF[[#This Row],[I.P.R.E.S R.C. part patronale]],IF[[#This Row],[Total CSS]],IF[[#This Row],[IPM PAR PATRONALE]])</f>
        <v>8730.2099999999991</v>
      </c>
      <c r="BT3" s="22">
        <f>+SUM(IF[[#This Row],[TOTAL RETENUES]:[CHARGES PATRONALES]])</f>
        <v>10730.21</v>
      </c>
      <c r="BU3" s="23">
        <f>IF[[#This Row],[BRUT]]-IF[[#This Row],[TOTAL RETENUES]]</f>
        <v>289007</v>
      </c>
      <c r="BV3" s="28">
        <v>20800</v>
      </c>
      <c r="BW3" s="42">
        <v>0</v>
      </c>
      <c r="BX3" s="34">
        <v>0</v>
      </c>
      <c r="BY3" s="34">
        <v>0</v>
      </c>
      <c r="BZ3" s="34">
        <v>0</v>
      </c>
      <c r="CA3" s="34">
        <v>10000</v>
      </c>
      <c r="CB3" s="34">
        <v>0</v>
      </c>
      <c r="CC3" s="34">
        <v>0</v>
      </c>
      <c r="CD3" s="34"/>
      <c r="CE3" s="34">
        <v>0</v>
      </c>
      <c r="CF3" s="34"/>
      <c r="CG3" s="34">
        <v>-240.60666666645557</v>
      </c>
      <c r="CH3" s="22">
        <f>+IF[[#This Row],[NET A 
PAYER]]-IF[[#This Row],[net actuel]]</f>
        <v>-66.393333333544433</v>
      </c>
      <c r="CI3" s="23">
        <f>IF(IF[[#This Row],[net actuel]]&gt;0,MROUND(IF[[#This Row],[net actuel]],500),MROUND(IF[[#This Row],[net actuel]],-500))</f>
        <v>319500</v>
      </c>
      <c r="CJ3" s="44">
        <f>+IF[[#This Row],[Remunération nette]]+SUM(IF[[#This Row],[indemnité de
transport]:[appoint m-1]])</f>
        <v>319566.39333333354</v>
      </c>
      <c r="CK3" s="34">
        <v>200000</v>
      </c>
    </row>
    <row r="4" spans="1:89" x14ac:dyDescent="0.3">
      <c r="A4" s="15">
        <v>10002</v>
      </c>
      <c r="B4" s="15" t="s">
        <v>125</v>
      </c>
      <c r="C4" s="15"/>
      <c r="D4" s="24">
        <v>33117</v>
      </c>
      <c r="E4" s="26" t="e">
        <f>DATEDIF(IF[[#This Row],[date de Naissance]],#REF!,"y")</f>
        <v>#REF!</v>
      </c>
      <c r="F4" s="24" t="s">
        <v>78</v>
      </c>
      <c r="G4" s="24" t="s">
        <v>97</v>
      </c>
      <c r="H4" s="15" t="s">
        <v>113</v>
      </c>
      <c r="I4" s="1" t="s">
        <v>116</v>
      </c>
      <c r="J4" s="35" t="e">
        <f>VLOOKUP(IF[[#This Row],[CATEGORIE]],#REF!,4,FALSE)</f>
        <v>#REF!</v>
      </c>
      <c r="K4" s="1" t="s">
        <v>3</v>
      </c>
      <c r="L4" s="15" t="s">
        <v>79</v>
      </c>
      <c r="M4" s="16">
        <v>42807</v>
      </c>
      <c r="N4" s="37" t="e">
        <f>DATEDIF(IF[[#This Row],[Date d''entrée]],#REF!+1,"y")</f>
        <v>#REF!</v>
      </c>
      <c r="O4" s="18" t="s">
        <v>80</v>
      </c>
      <c r="P4" s="18">
        <v>0</v>
      </c>
      <c r="Q4" s="18">
        <v>1</v>
      </c>
      <c r="R4" s="18">
        <v>1</v>
      </c>
      <c r="S4" s="30">
        <v>2</v>
      </c>
      <c r="T4" s="18" t="s">
        <v>94</v>
      </c>
      <c r="U4" s="17"/>
      <c r="V4" s="17">
        <v>0</v>
      </c>
      <c r="W4" s="17">
        <v>0</v>
      </c>
      <c r="X4" s="19">
        <v>1</v>
      </c>
      <c r="Y4" s="17"/>
      <c r="Z4" s="17">
        <v>0</v>
      </c>
      <c r="AA4" s="17">
        <v>0</v>
      </c>
      <c r="AB4" s="17">
        <v>0</v>
      </c>
      <c r="AC4" s="17">
        <v>0</v>
      </c>
      <c r="AD4" s="38">
        <f>+SUM(IF[[#This Row],[SALAIRE DE BASE]:[Honnoraires 
prestataires]])/(40*52/12)</f>
        <v>0</v>
      </c>
      <c r="AE4" s="34">
        <v>0</v>
      </c>
      <c r="AF4" s="21"/>
      <c r="AG4" s="20">
        <v>0</v>
      </c>
      <c r="AH4" s="20">
        <v>111427</v>
      </c>
      <c r="AI4" s="20">
        <v>100000</v>
      </c>
      <c r="AJ4" s="22">
        <v>0</v>
      </c>
      <c r="AK4" s="22">
        <f>-(SUM(IF[[#This Row],[SALAIRE DE BASE]:[Prime de transport imposable]],IF[[#This Row],[Prime d''ancienneté]])/30)*IF[[#This Row],[Absences]]</f>
        <v>0</v>
      </c>
      <c r="AL4" s="22">
        <f>(SUM(IF[[#This Row],[SALAIRE DE BASE]:[Honnoraires 
prestataires]],IF[[#This Row],[Prime d''ancienneté]])/30)*IF[[#This Row],[Abs Maladie]]</f>
        <v>0</v>
      </c>
      <c r="AM4" s="22">
        <f>(SUM(IF[[#This Row],[SALAIRE DE BASE]:[Honnoraires 
prestataires]],IF[[#This Row],[Prime d''ancienneté]])/30)*IF[[#This Row],[abs evenement familiaux]]</f>
        <v>0</v>
      </c>
      <c r="AN4" s="20">
        <v>0</v>
      </c>
      <c r="AO4" s="22">
        <f>IF(IF[[#This Row],[le congé est il à payer?]]="OUI",#REF!,0)</f>
        <v>0</v>
      </c>
      <c r="AP4" s="20">
        <v>0</v>
      </c>
      <c r="AQ4" s="22">
        <f>+IF[[#This Row],[HS115%]]*IF[[#This Row],[TH]]*115%</f>
        <v>0</v>
      </c>
      <c r="AR4" s="22">
        <f>+IF[[#This Row],[HS140%]]*IF[[#This Row],[TH]]*140%</f>
        <v>0</v>
      </c>
      <c r="AS4" s="22">
        <f>+IF[[#This Row],[HS160%]]*IF[[#This Row],[TH]]*160%</f>
        <v>0</v>
      </c>
      <c r="AT4" s="22">
        <f>+IF[[#This Row],[HS200%]]*IF[[#This Row],[TH]]*200%</f>
        <v>0</v>
      </c>
      <c r="AU4" s="23">
        <f>+SUM(IF[[#This Row],[SALAIRE DE BASE]:[MT HS200%]])</f>
        <v>211427</v>
      </c>
      <c r="AV4" s="39">
        <f>IF(IF[[#This Row],[SITUATION
 CONTRAT]]&lt;&gt;"PRESTATION",(MAX(0,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-(IF(S4=1.5,MIN(300000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10%,100000)),IF(S4=2,MIN(650000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15%,200000)),IF(S4=2.5,MIN(1100000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20%,300000)),IF(S4=3,MIN(1650000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25%,400000)),IF(S4=3.5,MIN(2030000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30%,500000)),IF(S4=4,MIN(2490000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35%,600000)),IF(S4=4.5,MIN(2755000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40%,700000)),IF(S4=5,MIN(3180000,MAX((IF(ROUNDDOWN((AU4*12-MIN(AU4*12*30%,900000)),-3)&gt;13500000,4359000+(ROUNDDOWN((AU4*12-MIN(AU4*12*30%,900000)),-3)-13500000)*40%,IF(ROUNDDOWN((AU4*12-MIN(AU4*12*30%,900000)),-3)&gt;8000000,2324000+(ROUNDDOWN((AU4*12-MIN(AU4*12*30%,900000)),-3)-8000000)*37%,IF(ROUNDDOWN((AU4*12-MIN(AU4*12*30%,900000)),-3)&gt;4000000,924000+(ROUNDDOWN((AU4*12-MIN(AU4*12*30%,900000)),-3)-4000000)*35%,IF(ROUNDDOWN((AU4*12-MIN(AU4*12*30%,900000)),-3)&gt;1500000,174000+(ROUNDDOWN((AU4*12-MIN(AU4*12*30%,900000)),-3)-1500000)*30%,IF(ROUNDDOWN((AU4*12-MIN(AU4*12*30%,900000)),-3)&gt;630000,(ROUNDDOWN((AU4*12-MIN(AU4*12*30%,900000)),-3)-630000)*20%,IF(ROUNDDOWN((AU4*12-MIN(AU4*12*30%,900000)),-3)&lt;630000,ROUNDDOWN((AU4*12-MIN(AU4*12*30%,900000)),-3)*0%)))))))*45%,800000)),0))))))))))/12),0)</f>
        <v>4708.333333333333</v>
      </c>
      <c r="AW4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4" s="22">
        <f>IF(IF[[#This Row],[SITUATION
 CONTRAT]]&lt;&gt;"PRESTATION",IF[[#This Row],[BRUT]]*3%,0)</f>
        <v>6342.8099999999995</v>
      </c>
      <c r="AY4" s="22">
        <f>IF(OR(A4&lt;&gt;"00015EA",IF[[#This Row],[SITUATION
 CONTRAT]]&lt;&gt;"PRESTATION"),0,IF[[#This Row],[BRUT]]*5%)</f>
        <v>0</v>
      </c>
      <c r="AZ4" s="22">
        <f>SUM(IF[[#This Row],[Impôt sur le revenu]:[BRS(5%)]])</f>
        <v>12051.143333333333</v>
      </c>
      <c r="BA4" s="22">
        <v>0</v>
      </c>
      <c r="BB4" s="22">
        <v>0</v>
      </c>
      <c r="BC4" s="22">
        <v>0</v>
      </c>
      <c r="BD4" s="22">
        <v>0</v>
      </c>
      <c r="BE4" s="22">
        <v>0</v>
      </c>
      <c r="BF4" s="22">
        <v>0</v>
      </c>
      <c r="BG4" s="22">
        <v>0</v>
      </c>
      <c r="BH4" s="22">
        <v>0</v>
      </c>
      <c r="BI4" s="22">
        <v>0</v>
      </c>
      <c r="BJ4" s="22">
        <v>0</v>
      </c>
      <c r="BK4" s="22">
        <v>0</v>
      </c>
      <c r="BL4" s="22">
        <v>0</v>
      </c>
      <c r="BM4" s="22">
        <v>0</v>
      </c>
      <c r="BN4" s="40">
        <v>0</v>
      </c>
      <c r="BO4" s="40">
        <v>0</v>
      </c>
      <c r="BP4" s="38">
        <v>0</v>
      </c>
      <c r="BQ4" s="38">
        <v>0</v>
      </c>
      <c r="BR4" s="22">
        <f>SUM(IF[[#This Row],[Impôt sur le revenu]],IF[[#This Row],[Retenue T.R.I.M.F]],IF[[#This Row],[BRS(5%)]],IF[[#This Row],[I.P.R.E.S R.G part salarié]],IF[[#This Row],[I.P.R.E.S R.C. part salarié]],IF[[#This Row],[IPM PART SALARIALE]])</f>
        <v>5708.333333333333</v>
      </c>
      <c r="BS4" s="22">
        <f>SUM(IF[[#This Row],[C.F.C.E.]],IF[[#This Row],[I.P.R.E.S R.G. part patronale]],IF[[#This Row],[I.P.R.E.S R.C. part patronale]],IF[[#This Row],[Total CSS]],IF[[#This Row],[IPM PAR PATRONALE]])</f>
        <v>6342.8099999999995</v>
      </c>
      <c r="BT4" s="22">
        <f>+SUM(IF[[#This Row],[TOTAL RETENUES]:[CHARGES PATRONALES]])</f>
        <v>12051.143333333333</v>
      </c>
      <c r="BU4" s="23">
        <f>IF[[#This Row],[BRUT]]-IF[[#This Row],[TOTAL RETENUES]]</f>
        <v>205718.66666666666</v>
      </c>
      <c r="BV4" s="28">
        <v>20800</v>
      </c>
      <c r="BW4" s="42">
        <v>0</v>
      </c>
      <c r="BX4" s="34">
        <v>0</v>
      </c>
      <c r="BY4" s="34">
        <v>0</v>
      </c>
      <c r="BZ4" s="34">
        <v>0</v>
      </c>
      <c r="CA4" s="34">
        <v>10000</v>
      </c>
      <c r="CB4" s="34">
        <v>0</v>
      </c>
      <c r="CC4" s="34">
        <v>0</v>
      </c>
      <c r="CD4" s="34"/>
      <c r="CE4" s="34">
        <v>0</v>
      </c>
      <c r="CF4" s="34"/>
      <c r="CG4" s="34">
        <v>-116.62999999988824</v>
      </c>
      <c r="CH4" s="22">
        <f>+IF[[#This Row],[NET A 
PAYER]]-IF[[#This Row],[net actuel]]</f>
        <v>97.963333333231276</v>
      </c>
      <c r="CI4" s="23">
        <f>IF(IF[[#This Row],[net actuel]]&gt;0,MROUND(IF[[#This Row],[net actuel]],500),MROUND(IF[[#This Row],[net actuel]],-500))</f>
        <v>236500</v>
      </c>
      <c r="CJ4" s="44">
        <f>+IF[[#This Row],[Remunération nette]]+SUM(IF[[#This Row],[indemnité de
transport]:[appoint m-1]])</f>
        <v>236402.03666666677</v>
      </c>
      <c r="CK4" s="34">
        <v>500000</v>
      </c>
    </row>
    <row r="5" spans="1:89" x14ac:dyDescent="0.3">
      <c r="A5" s="15">
        <v>10003</v>
      </c>
      <c r="B5" s="15" t="s">
        <v>126</v>
      </c>
      <c r="C5" s="15"/>
      <c r="D5" s="24">
        <v>34553</v>
      </c>
      <c r="E5" s="26" t="e">
        <f>DATEDIF(IF[[#This Row],[date de Naissance]],#REF!,"y")</f>
        <v>#REF!</v>
      </c>
      <c r="F5" s="24" t="s">
        <v>81</v>
      </c>
      <c r="G5" s="24" t="s">
        <v>98</v>
      </c>
      <c r="H5" s="15" t="s">
        <v>113</v>
      </c>
      <c r="I5" s="1" t="s">
        <v>116</v>
      </c>
      <c r="J5" s="35" t="e">
        <f>VLOOKUP(IF[[#This Row],[CATEGORIE]],#REF!,4,FALSE)</f>
        <v>#REF!</v>
      </c>
      <c r="K5" s="1" t="s">
        <v>3</v>
      </c>
      <c r="L5" s="15" t="s">
        <v>79</v>
      </c>
      <c r="M5" s="16">
        <v>42807</v>
      </c>
      <c r="N5" s="37" t="e">
        <f>DATEDIF(IF[[#This Row],[Date d''entrée]],#REF!+1,"y")</f>
        <v>#REF!</v>
      </c>
      <c r="O5" s="18" t="s">
        <v>82</v>
      </c>
      <c r="P5" s="18">
        <v>0</v>
      </c>
      <c r="Q5" s="18">
        <v>0</v>
      </c>
      <c r="R5" s="18">
        <v>1</v>
      </c>
      <c r="S5" s="30">
        <v>1</v>
      </c>
      <c r="T5" s="18" t="s">
        <v>94</v>
      </c>
      <c r="U5" s="17"/>
      <c r="V5" s="17">
        <v>0</v>
      </c>
      <c r="W5" s="17">
        <v>0</v>
      </c>
      <c r="X5" s="19">
        <v>1</v>
      </c>
      <c r="Y5" s="17"/>
      <c r="Z5" s="17">
        <v>0</v>
      </c>
      <c r="AA5" s="17">
        <v>0</v>
      </c>
      <c r="AB5" s="17">
        <v>0</v>
      </c>
      <c r="AC5" s="17">
        <v>0</v>
      </c>
      <c r="AD5" s="38">
        <f>+SUM(IF[[#This Row],[SALAIRE DE BASE]:[Honnoraires 
prestataires]])/(40*52/12)</f>
        <v>0</v>
      </c>
      <c r="AE5" s="34">
        <v>0</v>
      </c>
      <c r="AF5" s="21"/>
      <c r="AG5" s="20">
        <v>0</v>
      </c>
      <c r="AH5" s="20">
        <v>132101</v>
      </c>
      <c r="AI5" s="20">
        <v>100000</v>
      </c>
      <c r="AJ5" s="22">
        <v>0</v>
      </c>
      <c r="AK5" s="22">
        <f>-(SUM(IF[[#This Row],[SALAIRE DE BASE]:[Prime de transport imposable]],IF[[#This Row],[Prime d''ancienneté]])/30)*IF[[#This Row],[Absences]]</f>
        <v>0</v>
      </c>
      <c r="AL5" s="22">
        <f>(SUM(IF[[#This Row],[SALAIRE DE BASE]:[Honnoraires 
prestataires]],IF[[#This Row],[Prime d''ancienneté]])/30)*IF[[#This Row],[Abs Maladie]]</f>
        <v>0</v>
      </c>
      <c r="AM5" s="22">
        <f>(SUM(IF[[#This Row],[SALAIRE DE BASE]:[Honnoraires 
prestataires]],IF[[#This Row],[Prime d''ancienneté]])/30)*IF[[#This Row],[abs evenement familiaux]]</f>
        <v>0</v>
      </c>
      <c r="AN5" s="20">
        <v>0</v>
      </c>
      <c r="AO5" s="22">
        <f>IF(IF[[#This Row],[le congé est il à payer?]]="OUI",#REF!,0)</f>
        <v>0</v>
      </c>
      <c r="AP5" s="20">
        <v>0</v>
      </c>
      <c r="AQ5" s="22">
        <f>+IF[[#This Row],[HS115%]]*IF[[#This Row],[TH]]*115%</f>
        <v>0</v>
      </c>
      <c r="AR5" s="22">
        <f>+IF[[#This Row],[HS140%]]*IF[[#This Row],[TH]]*140%</f>
        <v>0</v>
      </c>
      <c r="AS5" s="22">
        <f>+IF[[#This Row],[HS160%]]*IF[[#This Row],[TH]]*160%</f>
        <v>0</v>
      </c>
      <c r="AT5" s="22">
        <f>+IF[[#This Row],[HS200%]]*IF[[#This Row],[TH]]*200%</f>
        <v>0</v>
      </c>
      <c r="AU5" s="23">
        <f>+SUM(IF[[#This Row],[SALAIRE DE BASE]:[MT HS200%]])</f>
        <v>232101</v>
      </c>
      <c r="AV5" s="39">
        <f>IF(IF[[#This Row],[SITUATION
 CONTRAT]]&lt;&gt;"PRESTATION",(MAX(0,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-(IF(S5=1.5,MIN(300000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10%,100000)),IF(S5=2,MIN(650000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15%,200000)),IF(S5=2.5,MIN(1100000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20%,300000)),IF(S5=3,MIN(1650000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25%,400000)),IF(S5=3.5,MIN(2030000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30%,500000)),IF(S5=4,MIN(2490000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35%,600000)),IF(S5=4.5,MIN(2755000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40%,700000)),IF(S5=5,MIN(3180000,MAX((IF(ROUNDDOWN((AU5*12-MIN(AU5*12*30%,900000)),-3)&gt;13500000,4359000+(ROUNDDOWN((AU5*12-MIN(AU5*12*30%,900000)),-3)-13500000)*40%,IF(ROUNDDOWN((AU5*12-MIN(AU5*12*30%,900000)),-3)&gt;8000000,2324000+(ROUNDDOWN((AU5*12-MIN(AU5*12*30%,900000)),-3)-8000000)*37%,IF(ROUNDDOWN((AU5*12-MIN(AU5*12*30%,900000)),-3)&gt;4000000,924000+(ROUNDDOWN((AU5*12-MIN(AU5*12*30%,900000)),-3)-4000000)*35%,IF(ROUNDDOWN((AU5*12-MIN(AU5*12*30%,900000)),-3)&gt;1500000,174000+(ROUNDDOWN((AU5*12-MIN(AU5*12*30%,900000)),-3)-1500000)*30%,IF(ROUNDDOWN((AU5*12-MIN(AU5*12*30%,900000)),-3)&gt;630000,(ROUNDDOWN((AU5*12-MIN(AU5*12*30%,900000)),-3)-630000)*20%,IF(ROUNDDOWN((AU5*12-MIN(AU5*12*30%,900000)),-3)&lt;630000,ROUNDDOWN((AU5*12-MIN(AU5*12*30%,900000)),-3)*0%)))))))*45%,800000)),0))))))))))/12),0)</f>
        <v>25725</v>
      </c>
      <c r="AW5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5" s="22">
        <f>IF(IF[[#This Row],[SITUATION
 CONTRAT]]&lt;&gt;"PRESTATION",IF[[#This Row],[BRUT]]*3%,0)</f>
        <v>6963.03</v>
      </c>
      <c r="AY5" s="22">
        <f>IF(OR(A5&lt;&gt;"00015EA",IF[[#This Row],[SITUATION
 CONTRAT]]&lt;&gt;"PRESTATION"),0,IF[[#This Row],[BRUT]]*5%)</f>
        <v>0</v>
      </c>
      <c r="AZ5" s="22">
        <f>SUM(IF[[#This Row],[Impôt sur le revenu]:[BRS(5%)]])</f>
        <v>33688.03</v>
      </c>
      <c r="BA5" s="22">
        <v>0</v>
      </c>
      <c r="BB5" s="22">
        <v>0</v>
      </c>
      <c r="BC5" s="22">
        <v>0</v>
      </c>
      <c r="BD5" s="22">
        <v>0</v>
      </c>
      <c r="BE5" s="22">
        <v>0</v>
      </c>
      <c r="BF5" s="22">
        <v>0</v>
      </c>
      <c r="BG5" s="22">
        <v>0</v>
      </c>
      <c r="BH5" s="22">
        <v>0</v>
      </c>
      <c r="BI5" s="22">
        <v>0</v>
      </c>
      <c r="BJ5" s="22">
        <v>0</v>
      </c>
      <c r="BK5" s="22">
        <v>0</v>
      </c>
      <c r="BL5" s="22">
        <v>0</v>
      </c>
      <c r="BM5" s="22">
        <v>0</v>
      </c>
      <c r="BN5" s="40">
        <v>0</v>
      </c>
      <c r="BO5" s="40">
        <v>0</v>
      </c>
      <c r="BP5" s="38">
        <v>0</v>
      </c>
      <c r="BQ5" s="38">
        <v>0</v>
      </c>
      <c r="BR5" s="22">
        <f>SUM(IF[[#This Row],[Impôt sur le revenu]],IF[[#This Row],[Retenue T.R.I.M.F]],IF[[#This Row],[BRS(5%)]],IF[[#This Row],[I.P.R.E.S R.G part salarié]],IF[[#This Row],[I.P.R.E.S R.C. part salarié]],IF[[#This Row],[IPM PART SALARIALE]])</f>
        <v>26725</v>
      </c>
      <c r="BS5" s="22">
        <f>SUM(IF[[#This Row],[C.F.C.E.]],IF[[#This Row],[I.P.R.E.S R.G. part patronale]],IF[[#This Row],[I.P.R.E.S R.C. part patronale]],IF[[#This Row],[Total CSS]],IF[[#This Row],[IPM PAR PATRONALE]])</f>
        <v>6963.03</v>
      </c>
      <c r="BT5" s="22">
        <f>+SUM(IF[[#This Row],[TOTAL RETENUES]:[CHARGES PATRONALES]])</f>
        <v>33688.03</v>
      </c>
      <c r="BU5" s="23">
        <f>IF[[#This Row],[BRUT]]-IF[[#This Row],[TOTAL RETENUES]]</f>
        <v>205376</v>
      </c>
      <c r="BV5" s="28">
        <v>20800</v>
      </c>
      <c r="BW5" s="42">
        <v>0</v>
      </c>
      <c r="BX5" s="34">
        <v>0</v>
      </c>
      <c r="BY5" s="34">
        <v>0</v>
      </c>
      <c r="BZ5" s="34">
        <v>0</v>
      </c>
      <c r="CA5" s="34">
        <v>10000</v>
      </c>
      <c r="CB5" s="34">
        <v>0</v>
      </c>
      <c r="CC5" s="34">
        <v>0</v>
      </c>
      <c r="CD5" s="34"/>
      <c r="CE5" s="34">
        <v>0</v>
      </c>
      <c r="CF5" s="34"/>
      <c r="CG5" s="34">
        <v>-247.37999999988824</v>
      </c>
      <c r="CH5" s="22">
        <f>+IF[[#This Row],[NET A 
PAYER]]-IF[[#This Row],[net actuel]]</f>
        <v>71.379999999888241</v>
      </c>
      <c r="CI5" s="23">
        <f>IF(IF[[#This Row],[net actuel]]&gt;0,MROUND(IF[[#This Row],[net actuel]],500),MROUND(IF[[#This Row],[net actuel]],-500))</f>
        <v>236000</v>
      </c>
      <c r="CJ5" s="44">
        <f>+IF[[#This Row],[Remunération nette]]+SUM(IF[[#This Row],[indemnité de
transport]:[appoint m-1]])</f>
        <v>235928.62000000011</v>
      </c>
      <c r="CK5" s="34">
        <v>4000000</v>
      </c>
    </row>
    <row r="6" spans="1:89" x14ac:dyDescent="0.3">
      <c r="A6" s="15">
        <v>10004</v>
      </c>
      <c r="B6" s="15" t="s">
        <v>127</v>
      </c>
      <c r="C6" s="15"/>
      <c r="D6" s="24">
        <v>32816</v>
      </c>
      <c r="E6" s="26" t="e">
        <f>DATEDIF(IF[[#This Row],[date de Naissance]],#REF!,"y")</f>
        <v>#REF!</v>
      </c>
      <c r="F6" s="24" t="s">
        <v>78</v>
      </c>
      <c r="G6" s="24" t="s">
        <v>99</v>
      </c>
      <c r="H6" s="15" t="s">
        <v>113</v>
      </c>
      <c r="I6" s="1" t="s">
        <v>116</v>
      </c>
      <c r="J6" s="35" t="e">
        <f>VLOOKUP(IF[[#This Row],[CATEGORIE]],#REF!,4,FALSE)</f>
        <v>#REF!</v>
      </c>
      <c r="K6" s="1" t="s">
        <v>3</v>
      </c>
      <c r="L6" s="15" t="s">
        <v>79</v>
      </c>
      <c r="M6" s="16">
        <v>42807</v>
      </c>
      <c r="N6" s="37" t="e">
        <f>DATEDIF(IF[[#This Row],[Date d''entrée]],#REF!+1,"y")</f>
        <v>#REF!</v>
      </c>
      <c r="O6" s="18" t="s">
        <v>82</v>
      </c>
      <c r="P6" s="18">
        <v>0</v>
      </c>
      <c r="Q6" s="18">
        <v>0</v>
      </c>
      <c r="R6" s="18">
        <v>1</v>
      </c>
      <c r="S6" s="30">
        <v>1</v>
      </c>
      <c r="T6" s="18" t="s">
        <v>94</v>
      </c>
      <c r="U6" s="17"/>
      <c r="V6" s="17">
        <v>0</v>
      </c>
      <c r="W6" s="17">
        <v>0</v>
      </c>
      <c r="X6" s="19">
        <v>1</v>
      </c>
      <c r="Y6" s="17"/>
      <c r="Z6" s="17">
        <v>0</v>
      </c>
      <c r="AA6" s="17">
        <v>0</v>
      </c>
      <c r="AB6" s="17">
        <v>0</v>
      </c>
      <c r="AC6" s="17">
        <v>0</v>
      </c>
      <c r="AD6" s="38">
        <f>+SUM(IF[[#This Row],[SALAIRE DE BASE]:[Honnoraires 
prestataires]])/(40*52/12)</f>
        <v>0</v>
      </c>
      <c r="AE6" s="34">
        <v>0</v>
      </c>
      <c r="AF6" s="21"/>
      <c r="AG6" s="20">
        <v>0</v>
      </c>
      <c r="AH6" s="20">
        <v>173999</v>
      </c>
      <c r="AI6" s="20">
        <v>100000</v>
      </c>
      <c r="AJ6" s="22">
        <v>0</v>
      </c>
      <c r="AK6" s="22">
        <f>-(SUM(IF[[#This Row],[SALAIRE DE BASE]:[Prime de transport imposable]],IF[[#This Row],[Prime d''ancienneté]])/30)*IF[[#This Row],[Absences]]</f>
        <v>0</v>
      </c>
      <c r="AL6" s="22">
        <f>(SUM(IF[[#This Row],[SALAIRE DE BASE]:[Honnoraires 
prestataires]],IF[[#This Row],[Prime d''ancienneté]])/30)*IF[[#This Row],[Abs Maladie]]</f>
        <v>0</v>
      </c>
      <c r="AM6" s="22">
        <f>(SUM(IF[[#This Row],[SALAIRE DE BASE]:[Honnoraires 
prestataires]],IF[[#This Row],[Prime d''ancienneté]])/30)*IF[[#This Row],[abs evenement familiaux]]</f>
        <v>0</v>
      </c>
      <c r="AN6" s="20">
        <v>0</v>
      </c>
      <c r="AO6" s="22">
        <f>IF(IF[[#This Row],[le congé est il à payer?]]="OUI",#REF!,0)</f>
        <v>0</v>
      </c>
      <c r="AP6" s="20">
        <v>0</v>
      </c>
      <c r="AQ6" s="22">
        <f>+IF[[#This Row],[HS115%]]*IF[[#This Row],[TH]]*115%</f>
        <v>0</v>
      </c>
      <c r="AR6" s="22">
        <f>+IF[[#This Row],[HS140%]]*IF[[#This Row],[TH]]*140%</f>
        <v>0</v>
      </c>
      <c r="AS6" s="22">
        <f>+IF[[#This Row],[HS160%]]*IF[[#This Row],[TH]]*160%</f>
        <v>0</v>
      </c>
      <c r="AT6" s="22">
        <f>+IF[[#This Row],[HS200%]]*IF[[#This Row],[TH]]*200%</f>
        <v>0</v>
      </c>
      <c r="AU6" s="23">
        <f>+SUM(IF[[#This Row],[SALAIRE DE BASE]:[MT HS200%]])</f>
        <v>273999</v>
      </c>
      <c r="AV6" s="39">
        <f>IF(IF[[#This Row],[SITUATION
 CONTRAT]]&lt;&gt;"PRESTATION",(MAX(0,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-(IF(S6=1.5,MIN(300000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10%,100000)),IF(S6=2,MIN(650000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15%,200000)),IF(S6=2.5,MIN(1100000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20%,300000)),IF(S6=3,MIN(1650000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25%,400000)),IF(S6=3.5,MIN(2030000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30%,500000)),IF(S6=4,MIN(2490000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35%,600000)),IF(S6=4.5,MIN(2755000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40%,700000)),IF(S6=5,MIN(3180000,MAX((IF(ROUNDDOWN((AU6*12-MIN(AU6*12*30%,900000)),-3)&gt;13500000,4359000+(ROUNDDOWN((AU6*12-MIN(AU6*12*30%,900000)),-3)-13500000)*40%,IF(ROUNDDOWN((AU6*12-MIN(AU6*12*30%,900000)),-3)&gt;8000000,2324000+(ROUNDDOWN((AU6*12-MIN(AU6*12*30%,900000)),-3)-8000000)*37%,IF(ROUNDDOWN((AU6*12-MIN(AU6*12*30%,900000)),-3)&gt;4000000,924000+(ROUNDDOWN((AU6*12-MIN(AU6*12*30%,900000)),-3)-4000000)*35%,IF(ROUNDDOWN((AU6*12-MIN(AU6*12*30%,900000)),-3)&gt;1500000,174000+(ROUNDDOWN((AU6*12-MIN(AU6*12*30%,900000)),-3)-1500000)*30%,IF(ROUNDDOWN((AU6*12-MIN(AU6*12*30%,900000)),-3)&gt;630000,(ROUNDDOWN((AU6*12-MIN(AU6*12*30%,900000)),-3)-630000)*20%,IF(ROUNDDOWN((AU6*12-MIN(AU6*12*30%,900000)),-3)&lt;630000,ROUNDDOWN((AU6*12-MIN(AU6*12*30%,900000)),-3)*0%)))))))*45%,800000)),0))))))))))/12),0)</f>
        <v>36675</v>
      </c>
      <c r="AW6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6" s="22">
        <f>IF(IF[[#This Row],[SITUATION
 CONTRAT]]&lt;&gt;"PRESTATION",IF[[#This Row],[BRUT]]*3%,0)</f>
        <v>8219.9699999999993</v>
      </c>
      <c r="AY6" s="22">
        <f>IF(OR(A6&lt;&gt;"00015EA",IF[[#This Row],[SITUATION
 CONTRAT]]&lt;&gt;"PRESTATION"),0,IF[[#This Row],[BRUT]]*5%)</f>
        <v>0</v>
      </c>
      <c r="AZ6" s="22">
        <f>SUM(IF[[#This Row],[Impôt sur le revenu]:[BRS(5%)]])</f>
        <v>45894.97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40">
        <v>0</v>
      </c>
      <c r="BO6" s="40">
        <v>0</v>
      </c>
      <c r="BP6" s="38">
        <v>0</v>
      </c>
      <c r="BQ6" s="38">
        <v>0</v>
      </c>
      <c r="BR6" s="22">
        <f>SUM(IF[[#This Row],[Impôt sur le revenu]],IF[[#This Row],[Retenue T.R.I.M.F]],IF[[#This Row],[BRS(5%)]],IF[[#This Row],[I.P.R.E.S R.G part salarié]],IF[[#This Row],[I.P.R.E.S R.C. part salarié]],IF[[#This Row],[IPM PART SALARIALE]])</f>
        <v>37675</v>
      </c>
      <c r="BS6" s="22">
        <f>SUM(IF[[#This Row],[C.F.C.E.]],IF[[#This Row],[I.P.R.E.S R.G. part patronale]],IF[[#This Row],[I.P.R.E.S R.C. part patronale]],IF[[#This Row],[Total CSS]],IF[[#This Row],[IPM PAR PATRONALE]])</f>
        <v>8219.9699999999993</v>
      </c>
      <c r="BT6" s="22">
        <f>+SUM(IF[[#This Row],[TOTAL RETENUES]:[CHARGES PATRONALES]])</f>
        <v>45894.97</v>
      </c>
      <c r="BU6" s="23">
        <f>IF[[#This Row],[BRUT]]-IF[[#This Row],[TOTAL RETENUES]]</f>
        <v>236324</v>
      </c>
      <c r="BV6" s="28">
        <v>20800</v>
      </c>
      <c r="BW6" s="42">
        <v>0</v>
      </c>
      <c r="BX6" s="34">
        <v>0</v>
      </c>
      <c r="BY6" s="34">
        <v>0</v>
      </c>
      <c r="BZ6" s="34">
        <v>0</v>
      </c>
      <c r="CA6" s="34">
        <v>10000</v>
      </c>
      <c r="CB6" s="34">
        <v>0</v>
      </c>
      <c r="CC6" s="34">
        <v>0</v>
      </c>
      <c r="CD6" s="34"/>
      <c r="CE6" s="34">
        <v>0</v>
      </c>
      <c r="CF6" s="34"/>
      <c r="CG6" s="34">
        <v>-22.379999999888241</v>
      </c>
      <c r="CH6" s="22">
        <f>+IF[[#This Row],[NET A 
PAYER]]-IF[[#This Row],[net actuel]]</f>
        <v>-101.62000000011176</v>
      </c>
      <c r="CI6" s="23">
        <f>IF(IF[[#This Row],[net actuel]]&gt;0,MROUND(IF[[#This Row],[net actuel]],500),MROUND(IF[[#This Row],[net actuel]],-500))</f>
        <v>267000</v>
      </c>
      <c r="CJ6" s="44">
        <f>+IF[[#This Row],[Remunération nette]]+SUM(IF[[#This Row],[indemnité de
transport]:[appoint m-1]])</f>
        <v>267101.62000000011</v>
      </c>
      <c r="CK6" s="34">
        <v>5000000</v>
      </c>
    </row>
    <row r="7" spans="1:89" x14ac:dyDescent="0.3">
      <c r="A7" s="15">
        <v>10005</v>
      </c>
      <c r="B7" s="15" t="s">
        <v>128</v>
      </c>
      <c r="C7" s="15"/>
      <c r="D7" s="24">
        <v>33972</v>
      </c>
      <c r="E7" s="26" t="e">
        <f>DATEDIF(IF[[#This Row],[date de Naissance]],#REF!,"y")</f>
        <v>#REF!</v>
      </c>
      <c r="F7" s="24" t="s">
        <v>81</v>
      </c>
      <c r="G7" s="24" t="s">
        <v>100</v>
      </c>
      <c r="H7" s="15" t="s">
        <v>113</v>
      </c>
      <c r="I7" s="1" t="s">
        <v>116</v>
      </c>
      <c r="J7" s="35" t="e">
        <f>VLOOKUP(IF[[#This Row],[CATEGORIE]],#REF!,4,FALSE)</f>
        <v>#REF!</v>
      </c>
      <c r="K7" s="1" t="s">
        <v>3</v>
      </c>
      <c r="L7" s="15" t="s">
        <v>79</v>
      </c>
      <c r="M7" s="16">
        <v>42807</v>
      </c>
      <c r="N7" s="37" t="e">
        <f>DATEDIF(IF[[#This Row],[Date d''entrée]],#REF!+1,"y")</f>
        <v>#REF!</v>
      </c>
      <c r="O7" s="18" t="s">
        <v>80</v>
      </c>
      <c r="P7" s="18">
        <v>1</v>
      </c>
      <c r="Q7" s="18">
        <v>1</v>
      </c>
      <c r="R7" s="18">
        <v>2</v>
      </c>
      <c r="S7" s="30">
        <v>2</v>
      </c>
      <c r="T7" s="18" t="s">
        <v>94</v>
      </c>
      <c r="U7" s="17"/>
      <c r="V7" s="17">
        <v>0</v>
      </c>
      <c r="W7" s="17">
        <v>0</v>
      </c>
      <c r="X7" s="19">
        <v>1</v>
      </c>
      <c r="Y7" s="17"/>
      <c r="Z7" s="17">
        <v>0</v>
      </c>
      <c r="AA7" s="17">
        <v>0</v>
      </c>
      <c r="AB7" s="17">
        <v>0</v>
      </c>
      <c r="AC7" s="17">
        <v>0</v>
      </c>
      <c r="AD7" s="38">
        <f>+SUM(IF[[#This Row],[SALAIRE DE BASE]:[Honnoraires 
prestataires]])/(40*52/12)</f>
        <v>0</v>
      </c>
      <c r="AE7" s="34">
        <v>0</v>
      </c>
      <c r="AF7" s="21"/>
      <c r="AG7" s="20">
        <v>0</v>
      </c>
      <c r="AH7" s="20">
        <v>152425</v>
      </c>
      <c r="AI7" s="20">
        <v>100000</v>
      </c>
      <c r="AJ7" s="22">
        <v>0</v>
      </c>
      <c r="AK7" s="22">
        <f>-(SUM(IF[[#This Row],[SALAIRE DE BASE]:[Prime de transport imposable]],IF[[#This Row],[Prime d''ancienneté]])/30)*IF[[#This Row],[Absences]]</f>
        <v>0</v>
      </c>
      <c r="AL7" s="22">
        <f>(SUM(IF[[#This Row],[SALAIRE DE BASE]:[Honnoraires 
prestataires]],IF[[#This Row],[Prime d''ancienneté]])/30)*IF[[#This Row],[Abs Maladie]]</f>
        <v>0</v>
      </c>
      <c r="AM7" s="22">
        <f>(SUM(IF[[#This Row],[SALAIRE DE BASE]:[Honnoraires 
prestataires]],IF[[#This Row],[Prime d''ancienneté]])/30)*IF[[#This Row],[abs evenement familiaux]]</f>
        <v>0</v>
      </c>
      <c r="AN7" s="20">
        <v>0</v>
      </c>
      <c r="AO7" s="22">
        <f>IF(IF[[#This Row],[le congé est il à payer?]]="OUI",#REF!,0)</f>
        <v>0</v>
      </c>
      <c r="AP7" s="20">
        <v>0</v>
      </c>
      <c r="AQ7" s="22">
        <f>+IF[[#This Row],[HS115%]]*IF[[#This Row],[TH]]*115%</f>
        <v>0</v>
      </c>
      <c r="AR7" s="22">
        <f>+IF[[#This Row],[HS140%]]*IF[[#This Row],[TH]]*140%</f>
        <v>0</v>
      </c>
      <c r="AS7" s="22">
        <f>+IF[[#This Row],[HS160%]]*IF[[#This Row],[TH]]*160%</f>
        <v>0</v>
      </c>
      <c r="AT7" s="22">
        <f>+IF[[#This Row],[HS200%]]*IF[[#This Row],[TH]]*200%</f>
        <v>0</v>
      </c>
      <c r="AU7" s="23">
        <f>+SUM(IF[[#This Row],[SALAIRE DE BASE]:[MT HS200%]])</f>
        <v>252425</v>
      </c>
      <c r="AV7" s="39">
        <f>IF(IF[[#This Row],[SITUATION
 CONTRAT]]&lt;&gt;"PRESTATION",(MAX(0,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-(IF(S7=1.5,MIN(300000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10%,100000)),IF(S7=2,MIN(650000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15%,200000)),IF(S7=2.5,MIN(1100000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20%,300000)),IF(S7=3,MIN(1650000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25%,400000)),IF(S7=3.5,MIN(2030000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30%,500000)),IF(S7=4,MIN(2490000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35%,600000)),IF(S7=4.5,MIN(2755000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40%,700000)),IF(S7=5,MIN(3180000,MAX((IF(ROUNDDOWN((AU7*12-MIN(AU7*12*30%,900000)),-3)&gt;13500000,4359000+(ROUNDDOWN((AU7*12-MIN(AU7*12*30%,900000)),-3)-13500000)*40%,IF(ROUNDDOWN((AU7*12-MIN(AU7*12*30%,900000)),-3)&gt;8000000,2324000+(ROUNDDOWN((AU7*12-MIN(AU7*12*30%,900000)),-3)-8000000)*37%,IF(ROUNDDOWN((AU7*12-MIN(AU7*12*30%,900000)),-3)&gt;4000000,924000+(ROUNDDOWN((AU7*12-MIN(AU7*12*30%,900000)),-3)-4000000)*35%,IF(ROUNDDOWN((AU7*12-MIN(AU7*12*30%,900000)),-3)&gt;1500000,174000+(ROUNDDOWN((AU7*12-MIN(AU7*12*30%,900000)),-3)-1500000)*30%,IF(ROUNDDOWN((AU7*12-MIN(AU7*12*30%,900000)),-3)&gt;630000,(ROUNDDOWN((AU7*12-MIN(AU7*12*30%,900000)),-3)-630000)*20%,IF(ROUNDDOWN((AU7*12-MIN(AU7*12*30%,900000)),-3)&lt;630000,ROUNDDOWN((AU7*12-MIN(AU7*12*30%,900000)),-3)*0%)))))))*45%,800000)),0))))))))))/12),0)</f>
        <v>13558.333333333334</v>
      </c>
      <c r="AW7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2000</v>
      </c>
      <c r="AX7" s="22">
        <f>IF(IF[[#This Row],[SITUATION
 CONTRAT]]&lt;&gt;"PRESTATION",IF[[#This Row],[BRUT]]*3%,0)</f>
        <v>7572.75</v>
      </c>
      <c r="AY7" s="22">
        <f>IF(OR(A7&lt;&gt;"00015EA",IF[[#This Row],[SITUATION
 CONTRAT]]&lt;&gt;"PRESTATION"),0,IF[[#This Row],[BRUT]]*5%)</f>
        <v>0</v>
      </c>
      <c r="AZ7" s="22">
        <f>SUM(IF[[#This Row],[Impôt sur le revenu]:[BRS(5%)]])</f>
        <v>23131.083333333336</v>
      </c>
      <c r="BA7" s="22">
        <v>0</v>
      </c>
      <c r="BB7" s="22">
        <v>0</v>
      </c>
      <c r="BC7" s="22">
        <v>0</v>
      </c>
      <c r="BD7" s="22">
        <v>0</v>
      </c>
      <c r="BE7" s="22">
        <v>0</v>
      </c>
      <c r="BF7" s="22">
        <v>0</v>
      </c>
      <c r="BG7" s="22">
        <v>0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40">
        <v>0</v>
      </c>
      <c r="BO7" s="40">
        <v>0</v>
      </c>
      <c r="BP7" s="38">
        <v>0</v>
      </c>
      <c r="BQ7" s="38">
        <v>0</v>
      </c>
      <c r="BR7" s="22">
        <f>SUM(IF[[#This Row],[Impôt sur le revenu]],IF[[#This Row],[Retenue T.R.I.M.F]],IF[[#This Row],[BRS(5%)]],IF[[#This Row],[I.P.R.E.S R.G part salarié]],IF[[#This Row],[I.P.R.E.S R.C. part salarié]],IF[[#This Row],[IPM PART SALARIALE]])</f>
        <v>15558.333333333334</v>
      </c>
      <c r="BS7" s="22">
        <f>SUM(IF[[#This Row],[C.F.C.E.]],IF[[#This Row],[I.P.R.E.S R.G. part patronale]],IF[[#This Row],[I.P.R.E.S R.C. part patronale]],IF[[#This Row],[Total CSS]],IF[[#This Row],[IPM PAR PATRONALE]])</f>
        <v>7572.75</v>
      </c>
      <c r="BT7" s="22">
        <f>+SUM(IF[[#This Row],[TOTAL RETENUES]:[CHARGES PATRONALES]])</f>
        <v>23131.083333333336</v>
      </c>
      <c r="BU7" s="23">
        <f>IF[[#This Row],[BRUT]]-IF[[#This Row],[TOTAL RETENUES]]</f>
        <v>236866.66666666666</v>
      </c>
      <c r="BV7" s="28">
        <v>20800</v>
      </c>
      <c r="BW7" s="42">
        <v>0</v>
      </c>
      <c r="BX7" s="34">
        <v>0</v>
      </c>
      <c r="BY7" s="34">
        <v>0</v>
      </c>
      <c r="BZ7" s="34">
        <v>0</v>
      </c>
      <c r="CA7" s="34">
        <v>10000</v>
      </c>
      <c r="CB7" s="34">
        <v>0</v>
      </c>
      <c r="CC7" s="34">
        <v>0</v>
      </c>
      <c r="CD7" s="34"/>
      <c r="CE7" s="34">
        <v>0</v>
      </c>
      <c r="CF7" s="34"/>
      <c r="CG7" s="34">
        <v>-63.629999999888241</v>
      </c>
      <c r="CH7" s="22">
        <f>+IF[[#This Row],[NET A 
PAYER]]-IF[[#This Row],[net actuel]]</f>
        <v>-103.03666666673962</v>
      </c>
      <c r="CI7" s="23">
        <f>IF(IF[[#This Row],[net actuel]]&gt;0,MROUND(IF[[#This Row],[net actuel]],500),MROUND(IF[[#This Row],[net actuel]],-500))</f>
        <v>267500</v>
      </c>
      <c r="CJ7" s="44">
        <f>+IF[[#This Row],[Remunération nette]]+SUM(IF[[#This Row],[indemnité de
transport]:[appoint m-1]])</f>
        <v>267603.03666666674</v>
      </c>
      <c r="CK7" s="34">
        <v>2000000</v>
      </c>
    </row>
    <row r="8" spans="1:89" x14ac:dyDescent="0.3">
      <c r="A8" s="15">
        <v>10006</v>
      </c>
      <c r="B8" s="15" t="s">
        <v>129</v>
      </c>
      <c r="C8" s="15"/>
      <c r="D8" s="24">
        <v>33858</v>
      </c>
      <c r="E8" s="26" t="e">
        <f>DATEDIF(IF[[#This Row],[date de Naissance]],#REF!,"y")</f>
        <v>#REF!</v>
      </c>
      <c r="F8" s="24" t="s">
        <v>78</v>
      </c>
      <c r="G8" s="24" t="s">
        <v>101</v>
      </c>
      <c r="H8" s="15" t="s">
        <v>113</v>
      </c>
      <c r="I8" s="1" t="s">
        <v>116</v>
      </c>
      <c r="J8" s="35" t="e">
        <f>VLOOKUP(IF[[#This Row],[CATEGORIE]],#REF!,4,FALSE)</f>
        <v>#REF!</v>
      </c>
      <c r="K8" s="1" t="s">
        <v>3</v>
      </c>
      <c r="L8" s="15" t="s">
        <v>79</v>
      </c>
      <c r="M8" s="16">
        <v>42807</v>
      </c>
      <c r="N8" s="37" t="e">
        <f>DATEDIF(IF[[#This Row],[Date d''entrée]],#REF!+1,"y")</f>
        <v>#REF!</v>
      </c>
      <c r="O8" s="18" t="s">
        <v>82</v>
      </c>
      <c r="P8" s="18">
        <v>0</v>
      </c>
      <c r="Q8" s="18">
        <v>0</v>
      </c>
      <c r="R8" s="18">
        <v>1</v>
      </c>
      <c r="S8" s="30">
        <v>1</v>
      </c>
      <c r="T8" s="18" t="s">
        <v>94</v>
      </c>
      <c r="U8" s="17"/>
      <c r="V8" s="17">
        <v>0</v>
      </c>
      <c r="W8" s="17">
        <v>0</v>
      </c>
      <c r="X8" s="19">
        <v>1</v>
      </c>
      <c r="Y8" s="17"/>
      <c r="Z8" s="17">
        <v>0</v>
      </c>
      <c r="AA8" s="17">
        <v>0</v>
      </c>
      <c r="AB8" s="17">
        <v>0</v>
      </c>
      <c r="AC8" s="17">
        <v>0</v>
      </c>
      <c r="AD8" s="38">
        <f>+SUM(IF[[#This Row],[SALAIRE DE BASE]:[Honnoraires 
prestataires]])/(40*52/12)</f>
        <v>0</v>
      </c>
      <c r="AE8" s="34">
        <v>0</v>
      </c>
      <c r="AF8" s="21"/>
      <c r="AG8" s="20">
        <v>0</v>
      </c>
      <c r="AH8" s="20">
        <v>109728</v>
      </c>
      <c r="AI8" s="20">
        <v>100000</v>
      </c>
      <c r="AJ8" s="22">
        <v>0</v>
      </c>
      <c r="AK8" s="22">
        <f>-(SUM(IF[[#This Row],[SALAIRE DE BASE]:[Prime de transport imposable]],IF[[#This Row],[Prime d''ancienneté]])/30)*IF[[#This Row],[Absences]]</f>
        <v>0</v>
      </c>
      <c r="AL8" s="22">
        <f>(SUM(IF[[#This Row],[SALAIRE DE BASE]:[Honnoraires 
prestataires]],IF[[#This Row],[Prime d''ancienneté]])/30)*IF[[#This Row],[Abs Maladie]]</f>
        <v>0</v>
      </c>
      <c r="AM8" s="22">
        <f>(SUM(IF[[#This Row],[SALAIRE DE BASE]:[Honnoraires 
prestataires]],IF[[#This Row],[Prime d''ancienneté]])/30)*IF[[#This Row],[abs evenement familiaux]]</f>
        <v>0</v>
      </c>
      <c r="AN8" s="20"/>
      <c r="AO8" s="22">
        <f>IF(IF[[#This Row],[le congé est il à payer?]]="OUI",#REF!,0)</f>
        <v>0</v>
      </c>
      <c r="AP8" s="20">
        <v>0</v>
      </c>
      <c r="AQ8" s="22">
        <f>+IF[[#This Row],[HS115%]]*IF[[#This Row],[TH]]*115%</f>
        <v>0</v>
      </c>
      <c r="AR8" s="22">
        <f>+IF[[#This Row],[HS140%]]*IF[[#This Row],[TH]]*140%</f>
        <v>0</v>
      </c>
      <c r="AS8" s="22">
        <f>+IF[[#This Row],[HS160%]]*IF[[#This Row],[TH]]*160%</f>
        <v>0</v>
      </c>
      <c r="AT8" s="22">
        <f>+IF[[#This Row],[HS200%]]*IF[[#This Row],[TH]]*200%</f>
        <v>0</v>
      </c>
      <c r="AU8" s="23">
        <f>+SUM(IF[[#This Row],[SALAIRE DE BASE]:[MT HS200%]])</f>
        <v>209728</v>
      </c>
      <c r="AV8" s="39">
        <f>IF(IF[[#This Row],[SITUATION
 CONTRAT]]&lt;&gt;"PRESTATION",(MAX(0,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-(IF(S8=1.5,MIN(300000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10%,100000)),IF(S8=2,MIN(650000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15%,200000)),IF(S8=2.5,MIN(1100000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20%,300000)),IF(S8=3,MIN(1650000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25%,400000)),IF(S8=3.5,MIN(2030000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30%,500000)),IF(S8=4,MIN(2490000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35%,600000)),IF(S8=4.5,MIN(2755000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40%,700000)),IF(S8=5,MIN(3180000,MAX((IF(ROUNDDOWN((AU8*12-MIN(AU8*12*30%,900000)),-3)&gt;13500000,4359000+(ROUNDDOWN((AU8*12-MIN(AU8*12*30%,900000)),-3)-13500000)*40%,IF(ROUNDDOWN((AU8*12-MIN(AU8*12*30%,900000)),-3)&gt;8000000,2324000+(ROUNDDOWN((AU8*12-MIN(AU8*12*30%,900000)),-3)-8000000)*37%,IF(ROUNDDOWN((AU8*12-MIN(AU8*12*30%,900000)),-3)&gt;4000000,924000+(ROUNDDOWN((AU8*12-MIN(AU8*12*30%,900000)),-3)-4000000)*35%,IF(ROUNDDOWN((AU8*12-MIN(AU8*12*30%,900000)),-3)&gt;1500000,174000+(ROUNDDOWN((AU8*12-MIN(AU8*12*30%,900000)),-3)-1500000)*30%,IF(ROUNDDOWN((AU8*12-MIN(AU8*12*30%,900000)),-3)&gt;630000,(ROUNDDOWN((AU8*12-MIN(AU8*12*30%,900000)),-3)-630000)*20%,IF(ROUNDDOWN((AU8*12-MIN(AU8*12*30%,900000)),-3)&lt;630000,ROUNDDOWN((AU8*12-MIN(AU8*12*30%,900000)),-3)*0%)))))))*45%,800000)),0))))))))))/12),0)</f>
        <v>21025</v>
      </c>
      <c r="AW8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8" s="22">
        <f>IF(IF[[#This Row],[SITUATION
 CONTRAT]]&lt;&gt;"PRESTATION",IF[[#This Row],[BRUT]]*3%,0)</f>
        <v>6291.84</v>
      </c>
      <c r="AY8" s="22">
        <f>IF(OR(A8&lt;&gt;"00015EA",IF[[#This Row],[SITUATION
 CONTRAT]]&lt;&gt;"PRESTATION"),0,IF[[#This Row],[BRUT]]*5%)</f>
        <v>0</v>
      </c>
      <c r="AZ8" s="22">
        <f>SUM(IF[[#This Row],[Impôt sur le revenu]:[BRS(5%)]])</f>
        <v>28316.84</v>
      </c>
      <c r="BA8" s="22">
        <v>0</v>
      </c>
      <c r="BB8" s="22">
        <v>0</v>
      </c>
      <c r="BC8" s="22">
        <v>0</v>
      </c>
      <c r="BD8" s="22">
        <v>0</v>
      </c>
      <c r="BE8" s="22">
        <v>0</v>
      </c>
      <c r="BF8" s="22">
        <v>0</v>
      </c>
      <c r="BG8" s="22">
        <v>0</v>
      </c>
      <c r="BH8" s="22">
        <v>0</v>
      </c>
      <c r="BI8" s="22">
        <v>0</v>
      </c>
      <c r="BJ8" s="22">
        <v>0</v>
      </c>
      <c r="BK8" s="22">
        <v>0</v>
      </c>
      <c r="BL8" s="22">
        <v>0</v>
      </c>
      <c r="BM8" s="22">
        <v>0</v>
      </c>
      <c r="BN8" s="40">
        <v>0</v>
      </c>
      <c r="BO8" s="40">
        <v>0</v>
      </c>
      <c r="BP8" s="38">
        <v>0</v>
      </c>
      <c r="BQ8" s="38">
        <v>0</v>
      </c>
      <c r="BR8" s="22">
        <f>SUM(IF[[#This Row],[Impôt sur le revenu]],IF[[#This Row],[Retenue T.R.I.M.F]],IF[[#This Row],[BRS(5%)]],IF[[#This Row],[I.P.R.E.S R.G part salarié]],IF[[#This Row],[I.P.R.E.S R.C. part salarié]],IF[[#This Row],[IPM PART SALARIALE]])</f>
        <v>22025</v>
      </c>
      <c r="BS8" s="22">
        <f>SUM(IF[[#This Row],[C.F.C.E.]],IF[[#This Row],[I.P.R.E.S R.G. part patronale]],IF[[#This Row],[I.P.R.E.S R.C. part patronale]],IF[[#This Row],[Total CSS]],IF[[#This Row],[IPM PAR PATRONALE]])</f>
        <v>6291.84</v>
      </c>
      <c r="BT8" s="22">
        <f>+SUM(IF[[#This Row],[TOTAL RETENUES]:[CHARGES PATRONALES]])</f>
        <v>28316.84</v>
      </c>
      <c r="BU8" s="23">
        <f>IF[[#This Row],[BRUT]]-IF[[#This Row],[TOTAL RETENUES]]</f>
        <v>187703</v>
      </c>
      <c r="BV8" s="28">
        <v>20800</v>
      </c>
      <c r="BW8" s="42">
        <v>0</v>
      </c>
      <c r="BX8" s="34">
        <v>0</v>
      </c>
      <c r="BY8" s="34">
        <v>0</v>
      </c>
      <c r="BZ8" s="34">
        <v>0</v>
      </c>
      <c r="CA8" s="34">
        <v>10000</v>
      </c>
      <c r="CB8" s="34">
        <v>0</v>
      </c>
      <c r="CC8" s="34">
        <v>0</v>
      </c>
      <c r="CD8" s="34"/>
      <c r="CE8" s="34">
        <v>0</v>
      </c>
      <c r="CF8" s="34"/>
      <c r="CG8" s="34">
        <v>-223.72166666644625</v>
      </c>
      <c r="CH8" s="22">
        <f>+IF[[#This Row],[NET A 
PAYER]]-IF[[#This Row],[net actuel]]</f>
        <v>220.72166666644625</v>
      </c>
      <c r="CI8" s="23">
        <f>IF(IF[[#This Row],[net actuel]]&gt;0,MROUND(IF[[#This Row],[net actuel]],500),MROUND(IF[[#This Row],[net actuel]],-500))</f>
        <v>218500</v>
      </c>
      <c r="CJ8" s="44">
        <f>+IF[[#This Row],[Remunération nette]]+SUM(IF[[#This Row],[indemnité de
transport]:[appoint m-1]])</f>
        <v>218279.27833333355</v>
      </c>
      <c r="CK8" s="34">
        <v>2650000</v>
      </c>
    </row>
    <row r="9" spans="1:89" x14ac:dyDescent="0.3">
      <c r="A9" s="15">
        <v>10007</v>
      </c>
      <c r="B9" s="15" t="s">
        <v>130</v>
      </c>
      <c r="C9" s="15"/>
      <c r="D9" s="24">
        <v>34256</v>
      </c>
      <c r="E9" s="26" t="e">
        <f>DATEDIF(IF[[#This Row],[date de Naissance]],#REF!,"y")</f>
        <v>#REF!</v>
      </c>
      <c r="F9" s="24" t="s">
        <v>78</v>
      </c>
      <c r="G9" s="24" t="s">
        <v>102</v>
      </c>
      <c r="H9" s="15" t="s">
        <v>113</v>
      </c>
      <c r="I9" s="1" t="s">
        <v>116</v>
      </c>
      <c r="J9" s="35" t="e">
        <f>VLOOKUP(IF[[#This Row],[CATEGORIE]],#REF!,4,FALSE)</f>
        <v>#REF!</v>
      </c>
      <c r="K9" s="1" t="s">
        <v>3</v>
      </c>
      <c r="L9" s="15" t="s">
        <v>79</v>
      </c>
      <c r="M9" s="16">
        <v>42863</v>
      </c>
      <c r="N9" s="37" t="e">
        <f>DATEDIF(IF[[#This Row],[Date d''entrée]],#REF!+1,"y")</f>
        <v>#REF!</v>
      </c>
      <c r="O9" s="18" t="s">
        <v>80</v>
      </c>
      <c r="P9" s="18">
        <v>0</v>
      </c>
      <c r="Q9" s="18">
        <v>1</v>
      </c>
      <c r="R9" s="18">
        <v>1</v>
      </c>
      <c r="S9" s="30">
        <v>2</v>
      </c>
      <c r="T9" s="18" t="s">
        <v>94</v>
      </c>
      <c r="U9" s="17"/>
      <c r="V9" s="17">
        <v>0</v>
      </c>
      <c r="W9" s="17">
        <v>0</v>
      </c>
      <c r="X9" s="19">
        <v>1</v>
      </c>
      <c r="Y9" s="17"/>
      <c r="Z9" s="17">
        <v>0</v>
      </c>
      <c r="AA9" s="17">
        <v>0</v>
      </c>
      <c r="AB9" s="17">
        <v>0</v>
      </c>
      <c r="AC9" s="17">
        <v>0</v>
      </c>
      <c r="AD9" s="38">
        <f>+SUM(IF[[#This Row],[SALAIRE DE BASE]:[Honnoraires 
prestataires]])/(40*52/12)</f>
        <v>0</v>
      </c>
      <c r="AE9" s="34">
        <v>0</v>
      </c>
      <c r="AF9" s="21"/>
      <c r="AG9" s="20">
        <v>0</v>
      </c>
      <c r="AH9" s="20">
        <v>166450</v>
      </c>
      <c r="AI9" s="20">
        <v>100000</v>
      </c>
      <c r="AJ9" s="22">
        <v>0</v>
      </c>
      <c r="AK9" s="22">
        <f>-(SUM(IF[[#This Row],[SALAIRE DE BASE]:[Prime de transport imposable]],IF[[#This Row],[Prime d''ancienneté]])/30)*IF[[#This Row],[Absences]]</f>
        <v>0</v>
      </c>
      <c r="AL9" s="22">
        <f>(SUM(IF[[#This Row],[SALAIRE DE BASE]:[Honnoraires 
prestataires]],IF[[#This Row],[Prime d''ancienneté]])/30)*IF[[#This Row],[Abs Maladie]]</f>
        <v>0</v>
      </c>
      <c r="AM9" s="22">
        <f>(SUM(IF[[#This Row],[SALAIRE DE BASE]:[Honnoraires 
prestataires]],IF[[#This Row],[Prime d''ancienneté]])/30)*IF[[#This Row],[abs evenement familiaux]]</f>
        <v>0</v>
      </c>
      <c r="AN9" s="20">
        <v>0</v>
      </c>
      <c r="AO9" s="22">
        <f>IF(IF[[#This Row],[le congé est il à payer?]]="OUI",#REF!,0)</f>
        <v>0</v>
      </c>
      <c r="AP9" s="20">
        <v>0</v>
      </c>
      <c r="AQ9" s="22">
        <f>+IF[[#This Row],[HS115%]]*IF[[#This Row],[TH]]*115%</f>
        <v>0</v>
      </c>
      <c r="AR9" s="22">
        <f>+IF[[#This Row],[HS140%]]*IF[[#This Row],[TH]]*140%</f>
        <v>0</v>
      </c>
      <c r="AS9" s="22">
        <f>+IF[[#This Row],[HS160%]]*IF[[#This Row],[TH]]*160%</f>
        <v>0</v>
      </c>
      <c r="AT9" s="22">
        <f>+IF[[#This Row],[HS200%]]*IF[[#This Row],[TH]]*200%</f>
        <v>0</v>
      </c>
      <c r="AU9" s="23">
        <f>+SUM(IF[[#This Row],[SALAIRE DE BASE]:[MT HS200%]])</f>
        <v>266450</v>
      </c>
      <c r="AV9" s="39">
        <f>IF(IF[[#This Row],[SITUATION
 CONTRAT]]&lt;&gt;"PRESTATION",(MAX(0,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-(IF(S9=1.5,MIN(300000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10%,100000)),IF(S9=2,MIN(650000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15%,200000)),IF(S9=2.5,MIN(1100000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20%,300000)),IF(S9=3,MIN(1650000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25%,400000)),IF(S9=3.5,MIN(2030000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30%,500000)),IF(S9=4,MIN(2490000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35%,600000)),IF(S9=4.5,MIN(2755000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40%,700000)),IF(S9=5,MIN(3180000,MAX((IF(ROUNDDOWN((AU9*12-MIN(AU9*12*30%,900000)),-3)&gt;13500000,4359000+(ROUNDDOWN((AU9*12-MIN(AU9*12*30%,900000)),-3)-13500000)*40%,IF(ROUNDDOWN((AU9*12-MIN(AU9*12*30%,900000)),-3)&gt;8000000,2324000+(ROUNDDOWN((AU9*12-MIN(AU9*12*30%,900000)),-3)-8000000)*37%,IF(ROUNDDOWN((AU9*12-MIN(AU9*12*30%,900000)),-3)&gt;4000000,924000+(ROUNDDOWN((AU9*12-MIN(AU9*12*30%,900000)),-3)-4000000)*35%,IF(ROUNDDOWN((AU9*12-MIN(AU9*12*30%,900000)),-3)&gt;1500000,174000+(ROUNDDOWN((AU9*12-MIN(AU9*12*30%,900000)),-3)-1500000)*30%,IF(ROUNDDOWN((AU9*12-MIN(AU9*12*30%,900000)),-3)&gt;630000,(ROUNDDOWN((AU9*12-MIN(AU9*12*30%,900000)),-3)-630000)*20%,IF(ROUNDDOWN((AU9*12-MIN(AU9*12*30%,900000)),-3)&lt;630000,ROUNDDOWN((AU9*12-MIN(AU9*12*30%,900000)),-3)*0%)))))))*45%,800000)),0))))))))))/12),0)</f>
        <v>17758.333333333332</v>
      </c>
      <c r="AW9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9" s="22">
        <f>IF(IF[[#This Row],[SITUATION
 CONTRAT]]&lt;&gt;"PRESTATION",IF[[#This Row],[BRUT]]*3%,0)</f>
        <v>7993.5</v>
      </c>
      <c r="AY9" s="22">
        <f>IF(OR(A9&lt;&gt;"00015EA",IF[[#This Row],[SITUATION
 CONTRAT]]&lt;&gt;"PRESTATION"),0,IF[[#This Row],[BRUT]]*5%)</f>
        <v>0</v>
      </c>
      <c r="AZ9" s="22">
        <f>SUM(IF[[#This Row],[Impôt sur le revenu]:[BRS(5%)]])</f>
        <v>26751.833333333332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40">
        <v>0</v>
      </c>
      <c r="BO9" s="40">
        <v>0</v>
      </c>
      <c r="BP9" s="38">
        <v>0</v>
      </c>
      <c r="BQ9" s="38">
        <v>0</v>
      </c>
      <c r="BR9" s="22">
        <f>SUM(IF[[#This Row],[Impôt sur le revenu]],IF[[#This Row],[Retenue T.R.I.M.F]],IF[[#This Row],[BRS(5%)]],IF[[#This Row],[I.P.R.E.S R.G part salarié]],IF[[#This Row],[I.P.R.E.S R.C. part salarié]],IF[[#This Row],[IPM PART SALARIALE]])</f>
        <v>18758.333333333332</v>
      </c>
      <c r="BS9" s="22">
        <f>SUM(IF[[#This Row],[C.F.C.E.]],IF[[#This Row],[I.P.R.E.S R.G. part patronale]],IF[[#This Row],[I.P.R.E.S R.C. part patronale]],IF[[#This Row],[Total CSS]],IF[[#This Row],[IPM PAR PATRONALE]])</f>
        <v>7993.5</v>
      </c>
      <c r="BT9" s="22">
        <f>+SUM(IF[[#This Row],[TOTAL RETENUES]:[CHARGES PATRONALES]])</f>
        <v>26751.833333333332</v>
      </c>
      <c r="BU9" s="23">
        <f>IF[[#This Row],[BRUT]]-IF[[#This Row],[TOTAL RETENUES]]</f>
        <v>247691.66666666666</v>
      </c>
      <c r="BV9" s="28">
        <v>20800</v>
      </c>
      <c r="BW9" s="42">
        <v>0</v>
      </c>
      <c r="BX9" s="34">
        <v>0</v>
      </c>
      <c r="BY9" s="34">
        <v>0</v>
      </c>
      <c r="BZ9" s="34">
        <v>0</v>
      </c>
      <c r="CA9" s="34">
        <v>10000</v>
      </c>
      <c r="CB9" s="34">
        <v>0</v>
      </c>
      <c r="CC9" s="34">
        <v>0</v>
      </c>
      <c r="CD9" s="34"/>
      <c r="CE9" s="34">
        <v>0</v>
      </c>
      <c r="CF9" s="34"/>
      <c r="CG9" s="34">
        <v>-145.8905555550009</v>
      </c>
      <c r="CH9" s="22">
        <f>+IF[[#This Row],[NET A 
PAYER]]-IF[[#This Row],[net actuel]]</f>
        <v>154.22388888837304</v>
      </c>
      <c r="CI9" s="23">
        <f>IF(IF[[#This Row],[net actuel]]&gt;0,MROUND(IF[[#This Row],[net actuel]],500),MROUND(IF[[#This Row],[net actuel]],-500))</f>
        <v>278500</v>
      </c>
      <c r="CJ9" s="44">
        <f>+IF[[#This Row],[Remunération nette]]+SUM(IF[[#This Row],[indemnité de
transport]:[appoint m-1]])</f>
        <v>278345.77611111163</v>
      </c>
      <c r="CK9" s="34">
        <v>100000</v>
      </c>
    </row>
    <row r="10" spans="1:89" x14ac:dyDescent="0.3">
      <c r="A10" s="15">
        <v>10008</v>
      </c>
      <c r="B10" s="15" t="s">
        <v>131</v>
      </c>
      <c r="C10" s="15"/>
      <c r="D10" s="24">
        <v>33445</v>
      </c>
      <c r="E10" s="26" t="e">
        <f>DATEDIF(IF[[#This Row],[date de Naissance]],#REF!,"y")</f>
        <v>#REF!</v>
      </c>
      <c r="F10" s="24" t="s">
        <v>81</v>
      </c>
      <c r="G10" s="24" t="s">
        <v>103</v>
      </c>
      <c r="H10" s="15" t="s">
        <v>113</v>
      </c>
      <c r="I10" s="1" t="s">
        <v>116</v>
      </c>
      <c r="J10" s="35" t="e">
        <f>VLOOKUP(IF[[#This Row],[CATEGORIE]],#REF!,4,FALSE)</f>
        <v>#REF!</v>
      </c>
      <c r="K10" s="1" t="s">
        <v>3</v>
      </c>
      <c r="L10" s="15" t="s">
        <v>79</v>
      </c>
      <c r="M10" s="16">
        <v>42863</v>
      </c>
      <c r="N10" s="37" t="e">
        <f>DATEDIF(IF[[#This Row],[Date d''entrée]],#REF!+1,"y")</f>
        <v>#REF!</v>
      </c>
      <c r="O10" s="18" t="s">
        <v>80</v>
      </c>
      <c r="P10" s="18">
        <v>1</v>
      </c>
      <c r="Q10" s="18">
        <v>1</v>
      </c>
      <c r="R10" s="18">
        <v>2</v>
      </c>
      <c r="S10" s="30">
        <v>2</v>
      </c>
      <c r="T10" s="18" t="s">
        <v>94</v>
      </c>
      <c r="U10" s="17"/>
      <c r="V10" s="17">
        <v>0</v>
      </c>
      <c r="W10" s="17">
        <v>0</v>
      </c>
      <c r="X10" s="19">
        <v>1</v>
      </c>
      <c r="Y10" s="17"/>
      <c r="Z10" s="17">
        <v>0</v>
      </c>
      <c r="AA10" s="17">
        <v>0</v>
      </c>
      <c r="AB10" s="17">
        <v>0</v>
      </c>
      <c r="AC10" s="17">
        <v>0</v>
      </c>
      <c r="AD10" s="38">
        <f>+SUM(IF[[#This Row],[SALAIRE DE BASE]:[Honnoraires 
prestataires]])/(40*52/12)</f>
        <v>0</v>
      </c>
      <c r="AE10" s="34">
        <v>0</v>
      </c>
      <c r="AF10" s="21"/>
      <c r="AG10" s="20">
        <v>0</v>
      </c>
      <c r="AH10" s="20">
        <v>154050</v>
      </c>
      <c r="AI10" s="20">
        <v>100000</v>
      </c>
      <c r="AJ10" s="22">
        <v>0</v>
      </c>
      <c r="AK10" s="22">
        <f>-(SUM(IF[[#This Row],[SALAIRE DE BASE]:[Prime de transport imposable]],IF[[#This Row],[Prime d''ancienneté]])/30)*IF[[#This Row],[Absences]]</f>
        <v>0</v>
      </c>
      <c r="AL10" s="22">
        <f>(SUM(IF[[#This Row],[SALAIRE DE BASE]:[Honnoraires 
prestataires]],IF[[#This Row],[Prime d''ancienneté]])/30)*IF[[#This Row],[Abs Maladie]]</f>
        <v>0</v>
      </c>
      <c r="AM10" s="22">
        <f>(SUM(IF[[#This Row],[SALAIRE DE BASE]:[Honnoraires 
prestataires]],IF[[#This Row],[Prime d''ancienneté]])/30)*IF[[#This Row],[abs evenement familiaux]]</f>
        <v>0</v>
      </c>
      <c r="AN10" s="20">
        <v>0</v>
      </c>
      <c r="AO10" s="22">
        <f>IF(IF[[#This Row],[le congé est il à payer?]]="OUI",#REF!,0)</f>
        <v>0</v>
      </c>
      <c r="AP10" s="20">
        <v>0</v>
      </c>
      <c r="AQ10" s="22">
        <f>+IF[[#This Row],[HS115%]]*IF[[#This Row],[TH]]*115%</f>
        <v>0</v>
      </c>
      <c r="AR10" s="22">
        <f>+IF[[#This Row],[HS140%]]*IF[[#This Row],[TH]]*140%</f>
        <v>0</v>
      </c>
      <c r="AS10" s="22">
        <f>+IF[[#This Row],[HS160%]]*IF[[#This Row],[TH]]*160%</f>
        <v>0</v>
      </c>
      <c r="AT10" s="22">
        <f>+IF[[#This Row],[HS200%]]*IF[[#This Row],[TH]]*200%</f>
        <v>0</v>
      </c>
      <c r="AU10" s="23">
        <f>+SUM(IF[[#This Row],[SALAIRE DE BASE]:[MT HS200%]])</f>
        <v>254050</v>
      </c>
      <c r="AV10" s="39">
        <f>IF(IF[[#This Row],[SITUATION
 CONTRAT]]&lt;&gt;"PRESTATION",(MAX(0,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-(IF(S10=1.5,MIN(300000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10%,100000)),IF(S10=2,MIN(650000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15%,200000)),IF(S10=2.5,MIN(1100000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20%,300000)),IF(S10=3,MIN(1650000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25%,400000)),IF(S10=3.5,MIN(2030000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30%,500000)),IF(S10=4,MIN(2490000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35%,600000)),IF(S10=4.5,MIN(2755000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40%,700000)),IF(S10=5,MIN(3180000,MAX((IF(ROUNDDOWN((AU10*12-MIN(AU10*12*30%,900000)),-3)&gt;13500000,4359000+(ROUNDDOWN((AU10*12-MIN(AU10*12*30%,900000)),-3)-13500000)*40%,IF(ROUNDDOWN((AU10*12-MIN(AU10*12*30%,900000)),-3)&gt;8000000,2324000+(ROUNDDOWN((AU10*12-MIN(AU10*12*30%,900000)),-3)-8000000)*37%,IF(ROUNDDOWN((AU10*12-MIN(AU10*12*30%,900000)),-3)&gt;4000000,924000+(ROUNDDOWN((AU10*12-MIN(AU10*12*30%,900000)),-3)-4000000)*35%,IF(ROUNDDOWN((AU10*12-MIN(AU10*12*30%,900000)),-3)&gt;1500000,174000+(ROUNDDOWN((AU10*12-MIN(AU10*12*30%,900000)),-3)-1500000)*30%,IF(ROUNDDOWN((AU10*12-MIN(AU10*12*30%,900000)),-3)&gt;630000,(ROUNDDOWN((AU10*12-MIN(AU10*12*30%,900000)),-3)-630000)*20%,IF(ROUNDDOWN((AU10*12-MIN(AU10*12*30%,900000)),-3)&lt;630000,ROUNDDOWN((AU10*12-MIN(AU10*12*30%,900000)),-3)*0%)))))))*45%,800000)),0))))))))))/12),0)</f>
        <v>14033.333333333334</v>
      </c>
      <c r="AW10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2000</v>
      </c>
      <c r="AX10" s="22">
        <f>IF(IF[[#This Row],[SITUATION
 CONTRAT]]&lt;&gt;"PRESTATION",IF[[#This Row],[BRUT]]*3%,0)</f>
        <v>7621.5</v>
      </c>
      <c r="AY10" s="22">
        <f>IF(OR(A10&lt;&gt;"00015EA",IF[[#This Row],[SITUATION
 CONTRAT]]&lt;&gt;"PRESTATION"),0,IF[[#This Row],[BRUT]]*5%)</f>
        <v>0</v>
      </c>
      <c r="AZ10" s="22">
        <f>SUM(IF[[#This Row],[Impôt sur le revenu]:[BRS(5%)]])</f>
        <v>23654.833333333336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40">
        <v>0</v>
      </c>
      <c r="BO10" s="40">
        <v>0</v>
      </c>
      <c r="BP10" s="38">
        <v>0</v>
      </c>
      <c r="BQ10" s="38">
        <v>0</v>
      </c>
      <c r="BR10" s="22">
        <f>SUM(IF[[#This Row],[Impôt sur le revenu]],IF[[#This Row],[Retenue T.R.I.M.F]],IF[[#This Row],[BRS(5%)]],IF[[#This Row],[I.P.R.E.S R.G part salarié]],IF[[#This Row],[I.P.R.E.S R.C. part salarié]],IF[[#This Row],[IPM PART SALARIALE]])</f>
        <v>16033.333333333334</v>
      </c>
      <c r="BS10" s="22">
        <f>SUM(IF[[#This Row],[C.F.C.E.]],IF[[#This Row],[I.P.R.E.S R.G. part patronale]],IF[[#This Row],[I.P.R.E.S R.C. part patronale]],IF[[#This Row],[Total CSS]],IF[[#This Row],[IPM PAR PATRONALE]])</f>
        <v>7621.5</v>
      </c>
      <c r="BT10" s="22">
        <f>+SUM(IF[[#This Row],[TOTAL RETENUES]:[CHARGES PATRONALES]])</f>
        <v>23654.833333333336</v>
      </c>
      <c r="BU10" s="23">
        <f>IF[[#This Row],[BRUT]]-IF[[#This Row],[TOTAL RETENUES]]</f>
        <v>238016.66666666666</v>
      </c>
      <c r="BV10" s="28">
        <v>20800</v>
      </c>
      <c r="BW10" s="42">
        <v>0</v>
      </c>
      <c r="BX10" s="34">
        <v>0</v>
      </c>
      <c r="BY10" s="34">
        <v>0</v>
      </c>
      <c r="BZ10" s="34">
        <v>0</v>
      </c>
      <c r="CA10" s="34">
        <v>10000</v>
      </c>
      <c r="CB10" s="34">
        <v>0</v>
      </c>
      <c r="CC10" s="34">
        <v>0</v>
      </c>
      <c r="CD10" s="34"/>
      <c r="CE10" s="34">
        <v>0</v>
      </c>
      <c r="CF10" s="34"/>
      <c r="CG10" s="34">
        <v>-222.53097222256474</v>
      </c>
      <c r="CH10" s="22">
        <f>+IF[[#This Row],[NET A 
PAYER]]-IF[[#This Row],[net actuel]]</f>
        <v>-94.13569444406312</v>
      </c>
      <c r="CI10" s="23">
        <f>IF(IF[[#This Row],[net actuel]]&gt;0,MROUND(IF[[#This Row],[net actuel]],500),MROUND(IF[[#This Row],[net actuel]],-500))</f>
        <v>268500</v>
      </c>
      <c r="CJ10" s="44">
        <f>+IF[[#This Row],[Remunération nette]]+SUM(IF[[#This Row],[indemnité de
transport]:[appoint m-1]])</f>
        <v>268594.13569444406</v>
      </c>
      <c r="CK10" s="34">
        <v>20000</v>
      </c>
    </row>
    <row r="11" spans="1:89" x14ac:dyDescent="0.3">
      <c r="A11" s="15">
        <v>10009</v>
      </c>
      <c r="B11" s="15" t="s">
        <v>132</v>
      </c>
      <c r="C11" s="15"/>
      <c r="D11" s="24">
        <v>34451</v>
      </c>
      <c r="E11" s="26" t="e">
        <f>DATEDIF(IF[[#This Row],[date de Naissance]],#REF!,"y")</f>
        <v>#REF!</v>
      </c>
      <c r="F11" s="24" t="s">
        <v>81</v>
      </c>
      <c r="G11" s="24" t="s">
        <v>104</v>
      </c>
      <c r="H11" s="15" t="s">
        <v>113</v>
      </c>
      <c r="I11" s="1" t="s">
        <v>116</v>
      </c>
      <c r="J11" s="35" t="e">
        <f>VLOOKUP(IF[[#This Row],[CATEGORIE]],#REF!,4,FALSE)</f>
        <v>#REF!</v>
      </c>
      <c r="K11" s="1" t="s">
        <v>3</v>
      </c>
      <c r="L11" s="15" t="s">
        <v>79</v>
      </c>
      <c r="M11" s="16">
        <v>42917</v>
      </c>
      <c r="N11" s="37" t="e">
        <f>DATEDIF(IF[[#This Row],[Date d''entrée]],#REF!+1,"y")</f>
        <v>#REF!</v>
      </c>
      <c r="O11" s="18" t="s">
        <v>80</v>
      </c>
      <c r="P11" s="18">
        <v>1</v>
      </c>
      <c r="Q11" s="18">
        <v>0</v>
      </c>
      <c r="R11" s="18">
        <v>2</v>
      </c>
      <c r="S11" s="30">
        <v>2.5</v>
      </c>
      <c r="T11" s="18" t="s">
        <v>94</v>
      </c>
      <c r="U11" s="17"/>
      <c r="V11" s="17">
        <v>0</v>
      </c>
      <c r="W11" s="17">
        <v>0</v>
      </c>
      <c r="X11" s="19">
        <v>1</v>
      </c>
      <c r="Y11" s="17"/>
      <c r="Z11" s="17">
        <v>0</v>
      </c>
      <c r="AA11" s="17">
        <v>0</v>
      </c>
      <c r="AB11" s="17">
        <v>0</v>
      </c>
      <c r="AC11" s="17">
        <v>0</v>
      </c>
      <c r="AD11" s="38">
        <f>+SUM(IF[[#This Row],[SALAIRE DE BASE]:[Honnoraires 
prestataires]])/(40*52/12)</f>
        <v>0</v>
      </c>
      <c r="AE11" s="34">
        <v>0</v>
      </c>
      <c r="AF11" s="21"/>
      <c r="AG11" s="20">
        <v>0</v>
      </c>
      <c r="AH11" s="20">
        <v>124314</v>
      </c>
      <c r="AI11" s="20">
        <v>100000</v>
      </c>
      <c r="AJ11" s="22">
        <v>0</v>
      </c>
      <c r="AK11" s="22">
        <f>-(SUM(IF[[#This Row],[SALAIRE DE BASE]:[Prime de transport imposable]],IF[[#This Row],[Prime d''ancienneté]])/30)*IF[[#This Row],[Absences]]</f>
        <v>0</v>
      </c>
      <c r="AL11" s="22">
        <f>(SUM(IF[[#This Row],[SALAIRE DE BASE]:[Honnoraires 
prestataires]],IF[[#This Row],[Prime d''ancienneté]])/30)*IF[[#This Row],[Abs Maladie]]</f>
        <v>0</v>
      </c>
      <c r="AM11" s="22">
        <f>(SUM(IF[[#This Row],[SALAIRE DE BASE]:[Honnoraires 
prestataires]],IF[[#This Row],[Prime d''ancienneté]])/30)*IF[[#This Row],[abs evenement familiaux]]</f>
        <v>0</v>
      </c>
      <c r="AN11" s="20">
        <v>0</v>
      </c>
      <c r="AO11" s="22">
        <f>IF(IF[[#This Row],[le congé est il à payer?]]="OUI",#REF!,0)</f>
        <v>0</v>
      </c>
      <c r="AP11" s="20">
        <v>0</v>
      </c>
      <c r="AQ11" s="22">
        <f>+IF[[#This Row],[HS115%]]*IF[[#This Row],[TH]]*115%</f>
        <v>0</v>
      </c>
      <c r="AR11" s="22">
        <f>+IF[[#This Row],[HS140%]]*IF[[#This Row],[TH]]*140%</f>
        <v>0</v>
      </c>
      <c r="AS11" s="22">
        <f>+IF[[#This Row],[HS160%]]*IF[[#This Row],[TH]]*160%</f>
        <v>0</v>
      </c>
      <c r="AT11" s="22">
        <f>+IF[[#This Row],[HS200%]]*IF[[#This Row],[TH]]*200%</f>
        <v>0</v>
      </c>
      <c r="AU11" s="23">
        <f>+SUM(IF[[#This Row],[SALAIRE DE BASE]:[MT HS200%]])</f>
        <v>224314</v>
      </c>
      <c r="AV11" s="39">
        <f>IF(IF[[#This Row],[SITUATION
 CONTRAT]]&lt;&gt;"PRESTATION",(MAX(0,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-(IF(S11=1.5,MIN(300000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10%,100000)),IF(S11=2,MIN(650000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15%,200000)),IF(S11=2.5,MIN(1100000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20%,300000)),IF(S11=3,MIN(1650000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25%,400000)),IF(S11=3.5,MIN(2030000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30%,500000)),IF(S11=4,MIN(2490000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35%,600000)),IF(S11=4.5,MIN(2755000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40%,700000)),IF(S11=5,MIN(3180000,MAX((IF(ROUNDDOWN((AU11*12-MIN(AU11*12*30%,900000)),-3)&gt;13500000,4359000+(ROUNDDOWN((AU11*12-MIN(AU11*12*30%,900000)),-3)-13500000)*40%,IF(ROUNDDOWN((AU11*12-MIN(AU11*12*30%,900000)),-3)&gt;8000000,2324000+(ROUNDDOWN((AU11*12-MIN(AU11*12*30%,900000)),-3)-8000000)*37%,IF(ROUNDDOWN((AU11*12-MIN(AU11*12*30%,900000)),-3)&gt;4000000,924000+(ROUNDDOWN((AU11*12-MIN(AU11*12*30%,900000)),-3)-4000000)*35%,IF(ROUNDDOWN((AU11*12-MIN(AU11*12*30%,900000)),-3)&gt;1500000,174000+(ROUNDDOWN((AU11*12-MIN(AU11*12*30%,900000)),-3)-1500000)*30%,IF(ROUNDDOWN((AU11*12-MIN(AU11*12*30%,900000)),-3)&gt;630000,(ROUNDDOWN((AU11*12-MIN(AU11*12*30%,900000)),-3)-630000)*20%,IF(ROUNDDOWN((AU11*12-MIN(AU11*12*30%,900000)),-3)&lt;630000,ROUNDDOWN((AU11*12-MIN(AU11*12*30%,900000)),-3)*0%)))))))*45%,800000)),0))))))))))/12),0)</f>
        <v>0</v>
      </c>
      <c r="AW11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2000</v>
      </c>
      <c r="AX11" s="22">
        <f>IF(IF[[#This Row],[SITUATION
 CONTRAT]]&lt;&gt;"PRESTATION",IF[[#This Row],[BRUT]]*3%,0)</f>
        <v>6729.42</v>
      </c>
      <c r="AY11" s="22">
        <f>IF(OR(A11&lt;&gt;"00015EA",IF[[#This Row],[SITUATION
 CONTRAT]]&lt;&gt;"PRESTATION"),0,IF[[#This Row],[BRUT]]*5%)</f>
        <v>0</v>
      </c>
      <c r="AZ11" s="22">
        <f>SUM(IF[[#This Row],[Impôt sur le revenu]:[BRS(5%)]])</f>
        <v>8729.42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  <c r="BF11" s="22">
        <v>0</v>
      </c>
      <c r="BG11" s="22">
        <v>0</v>
      </c>
      <c r="BH11" s="22">
        <v>0</v>
      </c>
      <c r="BI11" s="22">
        <v>0</v>
      </c>
      <c r="BJ11" s="22">
        <v>0</v>
      </c>
      <c r="BK11" s="22">
        <v>0</v>
      </c>
      <c r="BL11" s="22">
        <v>0</v>
      </c>
      <c r="BM11" s="22">
        <v>0</v>
      </c>
      <c r="BN11" s="40">
        <v>0</v>
      </c>
      <c r="BO11" s="40">
        <v>0</v>
      </c>
      <c r="BP11" s="38">
        <v>0</v>
      </c>
      <c r="BQ11" s="38">
        <v>0</v>
      </c>
      <c r="BR11" s="22">
        <f>SUM(IF[[#This Row],[Impôt sur le revenu]],IF[[#This Row],[Retenue T.R.I.M.F]],IF[[#This Row],[BRS(5%)]],IF[[#This Row],[I.P.R.E.S R.G part salarié]],IF[[#This Row],[I.P.R.E.S R.C. part salarié]],IF[[#This Row],[IPM PART SALARIALE]])</f>
        <v>2000</v>
      </c>
      <c r="BS11" s="22">
        <f>SUM(IF[[#This Row],[C.F.C.E.]],IF[[#This Row],[I.P.R.E.S R.G. part patronale]],IF[[#This Row],[I.P.R.E.S R.C. part patronale]],IF[[#This Row],[Total CSS]],IF[[#This Row],[IPM PAR PATRONALE]])</f>
        <v>6729.42</v>
      </c>
      <c r="BT11" s="22">
        <f>+SUM(IF[[#This Row],[TOTAL RETENUES]:[CHARGES PATRONALES]])</f>
        <v>8729.42</v>
      </c>
      <c r="BU11" s="23">
        <f>IF[[#This Row],[BRUT]]-IF[[#This Row],[TOTAL RETENUES]]</f>
        <v>222314</v>
      </c>
      <c r="BV11" s="28">
        <v>20800</v>
      </c>
      <c r="BW11" s="42">
        <v>0</v>
      </c>
      <c r="BX11" s="34">
        <v>0</v>
      </c>
      <c r="BY11" s="34">
        <v>0</v>
      </c>
      <c r="BZ11" s="34">
        <v>0</v>
      </c>
      <c r="CA11" s="34">
        <v>10000</v>
      </c>
      <c r="CB11" s="34">
        <v>0</v>
      </c>
      <c r="CC11" s="34">
        <v>0</v>
      </c>
      <c r="CD11" s="34"/>
      <c r="CE11" s="34">
        <v>0</v>
      </c>
      <c r="CF11" s="34"/>
      <c r="CG11" s="34">
        <v>-210.14999999909196</v>
      </c>
      <c r="CH11" s="22">
        <f>+IF[[#This Row],[NET A 
PAYER]]-IF[[#This Row],[net actuel]]</f>
        <v>96.14999999909196</v>
      </c>
      <c r="CI11" s="23">
        <f>IF(IF[[#This Row],[net actuel]]&gt;0,MROUND(IF[[#This Row],[net actuel]],500),MROUND(IF[[#This Row],[net actuel]],-500))</f>
        <v>253000</v>
      </c>
      <c r="CJ11" s="44">
        <f>+IF[[#This Row],[Remunération nette]]+SUM(IF[[#This Row],[indemnité de
transport]:[appoint m-1]])</f>
        <v>252903.85000000091</v>
      </c>
      <c r="CK11" s="34">
        <v>250000</v>
      </c>
    </row>
    <row r="12" spans="1:89" x14ac:dyDescent="0.3">
      <c r="A12" s="15">
        <v>10010</v>
      </c>
      <c r="B12" s="15" t="s">
        <v>133</v>
      </c>
      <c r="C12" s="15"/>
      <c r="D12" s="24">
        <v>33165</v>
      </c>
      <c r="E12" s="26" t="e">
        <f>DATEDIF(IF[[#This Row],[date de Naissance]],#REF!,"y")</f>
        <v>#REF!</v>
      </c>
      <c r="F12" s="24" t="s">
        <v>81</v>
      </c>
      <c r="G12" s="24" t="s">
        <v>105</v>
      </c>
      <c r="H12" s="15" t="s">
        <v>114</v>
      </c>
      <c r="I12" s="1" t="s">
        <v>115</v>
      </c>
      <c r="J12" s="35" t="e">
        <f>VLOOKUP(IF[[#This Row],[CATEGORIE]],#REF!,4,FALSE)</f>
        <v>#REF!</v>
      </c>
      <c r="K12" s="1" t="s">
        <v>3</v>
      </c>
      <c r="L12" s="15" t="s">
        <v>79</v>
      </c>
      <c r="M12" s="16">
        <v>42979</v>
      </c>
      <c r="N12" s="37" t="e">
        <f>DATEDIF(IF[[#This Row],[Date d''entrée]],#REF!+1,"y")</f>
        <v>#REF!</v>
      </c>
      <c r="O12" s="18" t="s">
        <v>80</v>
      </c>
      <c r="P12" s="18">
        <v>0</v>
      </c>
      <c r="Q12" s="18">
        <v>2</v>
      </c>
      <c r="R12" s="18">
        <v>1</v>
      </c>
      <c r="S12" s="30">
        <v>2.5</v>
      </c>
      <c r="T12" s="18" t="s">
        <v>94</v>
      </c>
      <c r="U12" s="17"/>
      <c r="V12" s="17">
        <v>0</v>
      </c>
      <c r="W12" s="17">
        <v>0</v>
      </c>
      <c r="X12" s="19">
        <v>1</v>
      </c>
      <c r="Y12" s="17"/>
      <c r="Z12" s="17">
        <v>0</v>
      </c>
      <c r="AA12" s="17">
        <v>0</v>
      </c>
      <c r="AB12" s="17">
        <v>0</v>
      </c>
      <c r="AC12" s="17">
        <v>0</v>
      </c>
      <c r="AD12" s="38">
        <f>+SUM(IF[[#This Row],[SALAIRE DE BASE]:[Honnoraires 
prestataires]])/(40*52/12)</f>
        <v>0</v>
      </c>
      <c r="AE12" s="34">
        <v>0</v>
      </c>
      <c r="AF12" s="21"/>
      <c r="AG12" s="20">
        <v>0</v>
      </c>
      <c r="AH12" s="20">
        <v>102054</v>
      </c>
      <c r="AI12" s="20">
        <v>100000</v>
      </c>
      <c r="AJ12" s="22">
        <v>0</v>
      </c>
      <c r="AK12" s="22">
        <f>-(SUM(IF[[#This Row],[SALAIRE DE BASE]:[Prime de transport imposable]],IF[[#This Row],[Prime d''ancienneté]])/30)*IF[[#This Row],[Absences]]</f>
        <v>0</v>
      </c>
      <c r="AL12" s="22">
        <f>(SUM(IF[[#This Row],[SALAIRE DE BASE]:[Honnoraires 
prestataires]],IF[[#This Row],[Prime d''ancienneté]])/30)*IF[[#This Row],[Abs Maladie]]</f>
        <v>0</v>
      </c>
      <c r="AM12" s="22">
        <f>(SUM(IF[[#This Row],[SALAIRE DE BASE]:[Honnoraires 
prestataires]],IF[[#This Row],[Prime d''ancienneté]])/30)*IF[[#This Row],[abs evenement familiaux]]</f>
        <v>0</v>
      </c>
      <c r="AN12" s="20">
        <v>0</v>
      </c>
      <c r="AO12" s="22">
        <f>IF(IF[[#This Row],[le congé est il à payer?]]="OUI",#REF!,0)</f>
        <v>0</v>
      </c>
      <c r="AP12" s="20">
        <v>0</v>
      </c>
      <c r="AQ12" s="22">
        <f>+IF[[#This Row],[HS115%]]*IF[[#This Row],[TH]]*115%</f>
        <v>0</v>
      </c>
      <c r="AR12" s="22">
        <f>+IF[[#This Row],[HS140%]]*IF[[#This Row],[TH]]*140%</f>
        <v>0</v>
      </c>
      <c r="AS12" s="22">
        <f>+IF[[#This Row],[HS160%]]*IF[[#This Row],[TH]]*160%</f>
        <v>0</v>
      </c>
      <c r="AT12" s="22">
        <f>+IF[[#This Row],[HS200%]]*IF[[#This Row],[TH]]*200%</f>
        <v>0</v>
      </c>
      <c r="AU12" s="23">
        <f>+SUM(IF[[#This Row],[SALAIRE DE BASE]:[MT HS200%]])</f>
        <v>202054</v>
      </c>
      <c r="AV12" s="39">
        <f>IF(IF[[#This Row],[SITUATION
 CONTRAT]]&lt;&gt;"PRESTATION",(MAX(0,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-(IF(S12=1.5,MIN(300000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10%,100000)),IF(S12=2,MIN(650000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15%,200000)),IF(S12=2.5,MIN(1100000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20%,300000)),IF(S12=3,MIN(1650000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25%,400000)),IF(S12=3.5,MIN(2030000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30%,500000)),IF(S12=4,MIN(2490000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35%,600000)),IF(S12=4.5,MIN(2755000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40%,700000)),IF(S12=5,MIN(3180000,MAX((IF(ROUNDDOWN((AU12*12-MIN(AU12*12*30%,900000)),-3)&gt;13500000,4359000+(ROUNDDOWN((AU12*12-MIN(AU12*12*30%,900000)),-3)-13500000)*40%,IF(ROUNDDOWN((AU12*12-MIN(AU12*12*30%,900000)),-3)&gt;8000000,2324000+(ROUNDDOWN((AU12*12-MIN(AU12*12*30%,900000)),-3)-8000000)*37%,IF(ROUNDDOWN((AU12*12-MIN(AU12*12*30%,900000)),-3)&gt;4000000,924000+(ROUNDDOWN((AU12*12-MIN(AU12*12*30%,900000)),-3)-4000000)*35%,IF(ROUNDDOWN((AU12*12-MIN(AU12*12*30%,900000)),-3)&gt;1500000,174000+(ROUNDDOWN((AU12*12-MIN(AU12*12*30%,900000)),-3)-1500000)*30%,IF(ROUNDDOWN((AU12*12-MIN(AU12*12*30%,900000)),-3)&gt;630000,(ROUNDDOWN((AU12*12-MIN(AU12*12*30%,900000)),-3)-630000)*20%,IF(ROUNDDOWN((AU12*12-MIN(AU12*12*30%,900000)),-3)&lt;630000,ROUNDDOWN((AU12*12-MIN(AU12*12*30%,900000)),-3)*0%)))))))*45%,800000)),0))))))))))/12),0)</f>
        <v>0</v>
      </c>
      <c r="AW12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12" s="22">
        <f>IF(IF[[#This Row],[SITUATION
 CONTRAT]]&lt;&gt;"PRESTATION",IF[[#This Row],[BRUT]]*3%,0)</f>
        <v>6061.62</v>
      </c>
      <c r="AY12" s="22">
        <f>IF(OR(A12&lt;&gt;"00015EA",IF[[#This Row],[SITUATION
 CONTRAT]]&lt;&gt;"PRESTATION"),0,IF[[#This Row],[BRUT]]*5%)</f>
        <v>0</v>
      </c>
      <c r="AZ12" s="22">
        <f>SUM(IF[[#This Row],[Impôt sur le revenu]:[BRS(5%)]])</f>
        <v>7061.62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40">
        <v>0</v>
      </c>
      <c r="BO12" s="40">
        <v>0</v>
      </c>
      <c r="BP12" s="38">
        <v>0</v>
      </c>
      <c r="BQ12" s="38">
        <v>0</v>
      </c>
      <c r="BR12" s="22">
        <f>SUM(IF[[#This Row],[Impôt sur le revenu]],IF[[#This Row],[Retenue T.R.I.M.F]],IF[[#This Row],[BRS(5%)]],IF[[#This Row],[I.P.R.E.S R.G part salarié]],IF[[#This Row],[I.P.R.E.S R.C. part salarié]],IF[[#This Row],[IPM PART SALARIALE]])</f>
        <v>1000</v>
      </c>
      <c r="BS12" s="22">
        <f>SUM(IF[[#This Row],[C.F.C.E.]],IF[[#This Row],[I.P.R.E.S R.G. part patronale]],IF[[#This Row],[I.P.R.E.S R.C. part patronale]],IF[[#This Row],[Total CSS]],IF[[#This Row],[IPM PAR PATRONALE]])</f>
        <v>6061.62</v>
      </c>
      <c r="BT12" s="22">
        <f>+SUM(IF[[#This Row],[TOTAL RETENUES]:[CHARGES PATRONALES]])</f>
        <v>7061.62</v>
      </c>
      <c r="BU12" s="23">
        <f>IF[[#This Row],[BRUT]]-IF[[#This Row],[TOTAL RETENUES]]</f>
        <v>201054</v>
      </c>
      <c r="BV12" s="28">
        <v>20800</v>
      </c>
      <c r="BW12" s="42">
        <v>0</v>
      </c>
      <c r="BX12" s="34">
        <v>0</v>
      </c>
      <c r="BY12" s="34">
        <v>0</v>
      </c>
      <c r="BZ12" s="34">
        <v>0</v>
      </c>
      <c r="CA12" s="34">
        <v>10000</v>
      </c>
      <c r="CB12" s="34">
        <v>0</v>
      </c>
      <c r="CC12" s="34">
        <v>0</v>
      </c>
      <c r="CD12" s="34"/>
      <c r="CE12" s="34">
        <v>0</v>
      </c>
      <c r="CF12" s="34"/>
      <c r="CG12" s="34">
        <v>-21.459199999691918</v>
      </c>
      <c r="CH12" s="22">
        <f>+IF[[#This Row],[NET A 
PAYER]]-IF[[#This Row],[net actuel]]</f>
        <v>167.45919999969192</v>
      </c>
      <c r="CI12" s="23">
        <f>IF(IF[[#This Row],[net actuel]]&gt;0,MROUND(IF[[#This Row],[net actuel]],500),MROUND(IF[[#This Row],[net actuel]],-500))</f>
        <v>232000</v>
      </c>
      <c r="CJ12" s="44">
        <f>+IF[[#This Row],[Remunération nette]]+SUM(IF[[#This Row],[indemnité de
transport]:[appoint m-1]])</f>
        <v>231832.54080000031</v>
      </c>
      <c r="CK12" s="34">
        <v>2548000</v>
      </c>
    </row>
    <row r="13" spans="1:89" x14ac:dyDescent="0.3">
      <c r="A13" s="15">
        <v>10011</v>
      </c>
      <c r="B13" s="15" t="s">
        <v>134</v>
      </c>
      <c r="C13" s="15"/>
      <c r="D13" s="24">
        <v>33190</v>
      </c>
      <c r="E13" s="26" t="e">
        <f>DATEDIF(IF[[#This Row],[date de Naissance]],#REF!,"y")</f>
        <v>#REF!</v>
      </c>
      <c r="F13" s="24" t="s">
        <v>78</v>
      </c>
      <c r="G13" s="24" t="s">
        <v>106</v>
      </c>
      <c r="H13" s="15" t="s">
        <v>111</v>
      </c>
      <c r="I13" s="1" t="s">
        <v>116</v>
      </c>
      <c r="J13" s="35" t="e">
        <f>VLOOKUP(IF[[#This Row],[CATEGORIE]],#REF!,4,FALSE)</f>
        <v>#REF!</v>
      </c>
      <c r="K13" s="1" t="s">
        <v>3</v>
      </c>
      <c r="L13" s="15" t="s">
        <v>79</v>
      </c>
      <c r="M13" s="16">
        <v>42993</v>
      </c>
      <c r="N13" s="37" t="e">
        <f>DATEDIF(IF[[#This Row],[Date d''entrée]],#REF!+1,"y")</f>
        <v>#REF!</v>
      </c>
      <c r="O13" s="18" t="s">
        <v>82</v>
      </c>
      <c r="P13" s="18">
        <v>0</v>
      </c>
      <c r="Q13" s="18">
        <v>0</v>
      </c>
      <c r="R13" s="18">
        <v>1</v>
      </c>
      <c r="S13" s="30">
        <v>1</v>
      </c>
      <c r="T13" s="18" t="s">
        <v>94</v>
      </c>
      <c r="U13" s="17"/>
      <c r="V13" s="17">
        <v>0</v>
      </c>
      <c r="W13" s="17">
        <v>0</v>
      </c>
      <c r="X13" s="19">
        <v>1</v>
      </c>
      <c r="Y13" s="17"/>
      <c r="Z13" s="17">
        <v>0</v>
      </c>
      <c r="AA13" s="17">
        <v>0</v>
      </c>
      <c r="AB13" s="17">
        <v>0</v>
      </c>
      <c r="AC13" s="17">
        <v>0</v>
      </c>
      <c r="AD13" s="38">
        <f>+SUM(IF[[#This Row],[SALAIRE DE BASE]:[Honnoraires 
prestataires]])/(40*52/12)</f>
        <v>0</v>
      </c>
      <c r="AE13" s="34">
        <v>0</v>
      </c>
      <c r="AF13" s="21"/>
      <c r="AG13" s="20">
        <v>0</v>
      </c>
      <c r="AH13" s="20">
        <v>168523</v>
      </c>
      <c r="AI13" s="20">
        <v>100000</v>
      </c>
      <c r="AJ13" s="22">
        <v>0</v>
      </c>
      <c r="AK13" s="22">
        <f>-(SUM(IF[[#This Row],[SALAIRE DE BASE]:[Prime de transport imposable]],IF[[#This Row],[Prime d''ancienneté]])/30)*IF[[#This Row],[Absences]]</f>
        <v>0</v>
      </c>
      <c r="AL13" s="22">
        <f>(SUM(IF[[#This Row],[SALAIRE DE BASE]:[Honnoraires 
prestataires]],IF[[#This Row],[Prime d''ancienneté]])/30)*IF[[#This Row],[Abs Maladie]]</f>
        <v>0</v>
      </c>
      <c r="AM13" s="22">
        <f>(SUM(IF[[#This Row],[SALAIRE DE BASE]:[Honnoraires 
prestataires]],IF[[#This Row],[Prime d''ancienneté]])/30)*IF[[#This Row],[abs evenement familiaux]]</f>
        <v>0</v>
      </c>
      <c r="AN13" s="20">
        <v>0</v>
      </c>
      <c r="AO13" s="22">
        <f>IF(IF[[#This Row],[le congé est il à payer?]]="OUI",#REF!,0)</f>
        <v>0</v>
      </c>
      <c r="AP13" s="20">
        <v>0</v>
      </c>
      <c r="AQ13" s="22">
        <f>+IF[[#This Row],[HS115%]]*IF[[#This Row],[TH]]*115%</f>
        <v>0</v>
      </c>
      <c r="AR13" s="22">
        <f>+IF[[#This Row],[HS140%]]*IF[[#This Row],[TH]]*140%</f>
        <v>0</v>
      </c>
      <c r="AS13" s="22">
        <f>+IF[[#This Row],[HS160%]]*IF[[#This Row],[TH]]*160%</f>
        <v>0</v>
      </c>
      <c r="AT13" s="22">
        <f>+IF[[#This Row],[HS200%]]*IF[[#This Row],[TH]]*200%</f>
        <v>0</v>
      </c>
      <c r="AU13" s="23">
        <f>+SUM(IF[[#This Row],[SALAIRE DE BASE]:[MT HS200%]])</f>
        <v>268523</v>
      </c>
      <c r="AV13" s="39">
        <f>IF(IF[[#This Row],[SITUATION
 CONTRAT]]&lt;&gt;"PRESTATION",(MAX(0,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-(IF(S13=1.5,MIN(300000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10%,100000)),IF(S13=2,MIN(650000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15%,200000)),IF(S13=2.5,MIN(1100000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20%,300000)),IF(S13=3,MIN(1650000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25%,400000)),IF(S13=3.5,MIN(2030000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30%,500000)),IF(S13=4,MIN(2490000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35%,600000)),IF(S13=4.5,MIN(2755000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40%,700000)),IF(S13=5,MIN(3180000,MAX((IF(ROUNDDOWN((AU13*12-MIN(AU13*12*30%,900000)),-3)&gt;13500000,4359000+(ROUNDDOWN((AU13*12-MIN(AU13*12*30%,900000)),-3)-13500000)*40%,IF(ROUNDDOWN((AU13*12-MIN(AU13*12*30%,900000)),-3)&gt;8000000,2324000+(ROUNDDOWN((AU13*12-MIN(AU13*12*30%,900000)),-3)-8000000)*37%,IF(ROUNDDOWN((AU13*12-MIN(AU13*12*30%,900000)),-3)&gt;4000000,924000+(ROUNDDOWN((AU13*12-MIN(AU13*12*30%,900000)),-3)-4000000)*35%,IF(ROUNDDOWN((AU13*12-MIN(AU13*12*30%,900000)),-3)&gt;1500000,174000+(ROUNDDOWN((AU13*12-MIN(AU13*12*30%,900000)),-3)-1500000)*30%,IF(ROUNDDOWN((AU13*12-MIN(AU13*12*30%,900000)),-3)&gt;630000,(ROUNDDOWN((AU13*12-MIN(AU13*12*30%,900000)),-3)-630000)*20%,IF(ROUNDDOWN((AU13*12-MIN(AU13*12*30%,900000)),-3)&lt;630000,ROUNDDOWN((AU13*12-MIN(AU13*12*30%,900000)),-3)*0%)))))))*45%,800000)),0))))))))))/12),0)</f>
        <v>35050</v>
      </c>
      <c r="AW13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1000</v>
      </c>
      <c r="AX13" s="22">
        <f>IF(IF[[#This Row],[SITUATION
 CONTRAT]]&lt;&gt;"PRESTATION",IF[[#This Row],[BRUT]]*3%,0)</f>
        <v>8055.69</v>
      </c>
      <c r="AY13" s="22">
        <f>IF(OR(A13&lt;&gt;"00015EA",IF[[#This Row],[SITUATION
 CONTRAT]]&lt;&gt;"PRESTATION"),0,IF[[#This Row],[BRUT]]*5%)</f>
        <v>0</v>
      </c>
      <c r="AZ13" s="22">
        <f>SUM(IF[[#This Row],[Impôt sur le revenu]:[BRS(5%)]])</f>
        <v>44105.69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>
        <v>0</v>
      </c>
      <c r="BG13" s="22">
        <v>0</v>
      </c>
      <c r="BH13" s="22">
        <v>0</v>
      </c>
      <c r="BI13" s="22">
        <v>0</v>
      </c>
      <c r="BJ13" s="22">
        <v>0</v>
      </c>
      <c r="BK13" s="22">
        <v>0</v>
      </c>
      <c r="BL13" s="22">
        <v>0</v>
      </c>
      <c r="BM13" s="22">
        <v>0</v>
      </c>
      <c r="BN13" s="40">
        <v>0</v>
      </c>
      <c r="BO13" s="40">
        <v>0</v>
      </c>
      <c r="BP13" s="38">
        <v>0</v>
      </c>
      <c r="BQ13" s="38">
        <v>0</v>
      </c>
      <c r="BR13" s="22">
        <f>SUM(IF[[#This Row],[Impôt sur le revenu]],IF[[#This Row],[Retenue T.R.I.M.F]],IF[[#This Row],[BRS(5%)]],IF[[#This Row],[I.P.R.E.S R.G part salarié]],IF[[#This Row],[I.P.R.E.S R.C. part salarié]],IF[[#This Row],[IPM PART SALARIALE]])</f>
        <v>36050</v>
      </c>
      <c r="BS13" s="22">
        <f>SUM(IF[[#This Row],[C.F.C.E.]],IF[[#This Row],[I.P.R.E.S R.G. part patronale]],IF[[#This Row],[I.P.R.E.S R.C. part patronale]],IF[[#This Row],[Total CSS]],IF[[#This Row],[IPM PAR PATRONALE]])</f>
        <v>8055.69</v>
      </c>
      <c r="BT13" s="22">
        <f>+SUM(IF[[#This Row],[TOTAL RETENUES]:[CHARGES PATRONALES]])</f>
        <v>44105.69</v>
      </c>
      <c r="BU13" s="23">
        <f>IF[[#This Row],[BRUT]]-IF[[#This Row],[TOTAL RETENUES]]</f>
        <v>232473</v>
      </c>
      <c r="BV13" s="28">
        <v>20800</v>
      </c>
      <c r="BW13" s="42">
        <v>0</v>
      </c>
      <c r="BX13" s="34">
        <v>0</v>
      </c>
      <c r="BY13" s="34">
        <v>0</v>
      </c>
      <c r="BZ13" s="34">
        <v>0</v>
      </c>
      <c r="CA13" s="34">
        <v>10000</v>
      </c>
      <c r="CB13" s="34">
        <v>0</v>
      </c>
      <c r="CC13" s="34">
        <v>0</v>
      </c>
      <c r="CD13" s="34"/>
      <c r="CE13" s="34">
        <v>0</v>
      </c>
      <c r="CF13" s="34"/>
      <c r="CG13" s="34">
        <v>15.350000000093132</v>
      </c>
      <c r="CH13" s="22">
        <f>+IF[[#This Row],[NET A 
PAYER]]-IF[[#This Row],[net actuel]]</f>
        <v>211.64999999990687</v>
      </c>
      <c r="CI13" s="23">
        <f>IF(IF[[#This Row],[net actuel]]&gt;0,MROUND(IF[[#This Row],[net actuel]],500),MROUND(IF[[#This Row],[net actuel]],-500))</f>
        <v>263500</v>
      </c>
      <c r="CJ13" s="44">
        <f>+IF[[#This Row],[Remunération nette]]+SUM(IF[[#This Row],[indemnité de
transport]:[appoint m-1]])</f>
        <v>263288.35000000009</v>
      </c>
      <c r="CK13" s="34">
        <v>2418000</v>
      </c>
    </row>
    <row r="14" spans="1:89" x14ac:dyDescent="0.3">
      <c r="A14" s="15">
        <v>10012</v>
      </c>
      <c r="B14" s="15" t="s">
        <v>135</v>
      </c>
      <c r="C14" s="15"/>
      <c r="D14" s="24">
        <v>32909</v>
      </c>
      <c r="E14" s="26" t="e">
        <f>DATEDIF(IF[[#This Row],[date de Naissance]],#REF!,"y")</f>
        <v>#REF!</v>
      </c>
      <c r="F14" s="24" t="s">
        <v>78</v>
      </c>
      <c r="G14" s="24" t="s">
        <v>107</v>
      </c>
      <c r="H14" s="15" t="s">
        <v>111</v>
      </c>
      <c r="I14" s="1" t="s">
        <v>116</v>
      </c>
      <c r="J14" s="35" t="e">
        <f>VLOOKUP(IF[[#This Row],[CATEGORIE]],#REF!,4,FALSE)</f>
        <v>#REF!</v>
      </c>
      <c r="K14" s="1" t="s">
        <v>3</v>
      </c>
      <c r="L14" s="15" t="s">
        <v>79</v>
      </c>
      <c r="M14" s="16">
        <v>42993</v>
      </c>
      <c r="N14" s="37" t="e">
        <f>DATEDIF(IF[[#This Row],[Date d''entrée]],#REF!+1,"y")</f>
        <v>#REF!</v>
      </c>
      <c r="O14" s="18" t="s">
        <v>80</v>
      </c>
      <c r="P14" s="18">
        <v>1</v>
      </c>
      <c r="Q14" s="18">
        <v>0</v>
      </c>
      <c r="R14" s="18">
        <v>2</v>
      </c>
      <c r="S14" s="30">
        <v>2</v>
      </c>
      <c r="T14" s="18" t="s">
        <v>94</v>
      </c>
      <c r="U14" s="17"/>
      <c r="V14" s="17">
        <v>0</v>
      </c>
      <c r="W14" s="17">
        <v>0</v>
      </c>
      <c r="X14" s="19">
        <v>1</v>
      </c>
      <c r="Y14" s="17"/>
      <c r="Z14" s="17">
        <v>0</v>
      </c>
      <c r="AA14" s="17">
        <v>0</v>
      </c>
      <c r="AB14" s="17">
        <v>0</v>
      </c>
      <c r="AC14" s="17">
        <v>0</v>
      </c>
      <c r="AD14" s="38">
        <f>+SUM(IF[[#This Row],[SALAIRE DE BASE]:[Honnoraires 
prestataires]])/(40*52/12)</f>
        <v>0</v>
      </c>
      <c r="AE14" s="34">
        <v>0</v>
      </c>
      <c r="AF14" s="21"/>
      <c r="AG14" s="20">
        <v>0</v>
      </c>
      <c r="AH14" s="20">
        <v>141084</v>
      </c>
      <c r="AI14" s="20">
        <v>100000</v>
      </c>
      <c r="AJ14" s="22">
        <v>0</v>
      </c>
      <c r="AK14" s="22">
        <f>-(SUM(IF[[#This Row],[SALAIRE DE BASE]:[Prime de transport imposable]],IF[[#This Row],[Prime d''ancienneté]])/30)*IF[[#This Row],[Absences]]</f>
        <v>0</v>
      </c>
      <c r="AL14" s="22">
        <f>(SUM(IF[[#This Row],[SALAIRE DE BASE]:[Honnoraires 
prestataires]],IF[[#This Row],[Prime d''ancienneté]])/30)*IF[[#This Row],[Abs Maladie]]</f>
        <v>0</v>
      </c>
      <c r="AM14" s="22">
        <f>(SUM(IF[[#This Row],[SALAIRE DE BASE]:[Honnoraires 
prestataires]],IF[[#This Row],[Prime d''ancienneté]])/30)*IF[[#This Row],[abs evenement familiaux]]</f>
        <v>0</v>
      </c>
      <c r="AN14" s="20">
        <v>0</v>
      </c>
      <c r="AO14" s="22">
        <f>IF(IF[[#This Row],[le congé est il à payer?]]="OUI",#REF!,0)</f>
        <v>0</v>
      </c>
      <c r="AP14" s="20">
        <v>0</v>
      </c>
      <c r="AQ14" s="22">
        <f>+IF[[#This Row],[HS115%]]*IF[[#This Row],[TH]]*115%</f>
        <v>0</v>
      </c>
      <c r="AR14" s="22">
        <f>+IF[[#This Row],[HS140%]]*IF[[#This Row],[TH]]*140%</f>
        <v>0</v>
      </c>
      <c r="AS14" s="22">
        <f>+IF[[#This Row],[HS160%]]*IF[[#This Row],[TH]]*160%</f>
        <v>0</v>
      </c>
      <c r="AT14" s="22">
        <f>+IF[[#This Row],[HS200%]]*IF[[#This Row],[TH]]*200%</f>
        <v>0</v>
      </c>
      <c r="AU14" s="23">
        <f>+SUM(IF[[#This Row],[SALAIRE DE BASE]:[MT HS200%]])</f>
        <v>241084</v>
      </c>
      <c r="AV14" s="39">
        <f>IF(IF[[#This Row],[SITUATION
 CONTRAT]]&lt;&gt;"PRESTATION",(MAX(0,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-(IF(S14=1.5,MIN(300000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10%,100000)),IF(S14=2,MIN(650000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15%,200000)),IF(S14=2.5,MIN(1100000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20%,300000)),IF(S14=3,MIN(1650000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25%,400000)),IF(S14=3.5,MIN(2030000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30%,500000)),IF(S14=4,MIN(2490000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35%,600000)),IF(S14=4.5,MIN(2755000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40%,700000)),IF(S14=5,MIN(3180000,MAX((IF(ROUNDDOWN((AU14*12-MIN(AU14*12*30%,900000)),-3)&gt;13500000,4359000+(ROUNDDOWN((AU14*12-MIN(AU14*12*30%,900000)),-3)-13500000)*40%,IF(ROUNDDOWN((AU14*12-MIN(AU14*12*30%,900000)),-3)&gt;8000000,2324000+(ROUNDDOWN((AU14*12-MIN(AU14*12*30%,900000)),-3)-8000000)*37%,IF(ROUNDDOWN((AU14*12-MIN(AU14*12*30%,900000)),-3)&gt;4000000,924000+(ROUNDDOWN((AU14*12-MIN(AU14*12*30%,900000)),-3)-4000000)*35%,IF(ROUNDDOWN((AU14*12-MIN(AU14*12*30%,900000)),-3)&gt;1500000,174000+(ROUNDDOWN((AU14*12-MIN(AU14*12*30%,900000)),-3)-1500000)*30%,IF(ROUNDDOWN((AU14*12-MIN(AU14*12*30%,900000)),-3)&gt;630000,(ROUNDDOWN((AU14*12-MIN(AU14*12*30%,900000)),-3)-630000)*20%,IF(ROUNDDOWN((AU14*12-MIN(AU14*12*30%,900000)),-3)&lt;630000,ROUNDDOWN((AU14*12-MIN(AU14*12*30%,900000)),-3)*0%)))))))*45%,800000)),0))))))))))/12),0)</f>
        <v>10958.333333333334</v>
      </c>
      <c r="AW14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2000</v>
      </c>
      <c r="AX14" s="22">
        <f>IF(IF[[#This Row],[SITUATION
 CONTRAT]]&lt;&gt;"PRESTATION",IF[[#This Row],[BRUT]]*3%,0)</f>
        <v>7232.5199999999995</v>
      </c>
      <c r="AY14" s="22">
        <f>IF(OR(A14&lt;&gt;"00015EA",IF[[#This Row],[SITUATION
 CONTRAT]]&lt;&gt;"PRESTATION"),0,IF[[#This Row],[BRUT]]*5%)</f>
        <v>0</v>
      </c>
      <c r="AZ14" s="22">
        <f>SUM(IF[[#This Row],[Impôt sur le revenu]:[BRS(5%)]])</f>
        <v>20190.853333333333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>
        <v>0</v>
      </c>
      <c r="BG14" s="22">
        <v>0</v>
      </c>
      <c r="BH14" s="22">
        <v>0</v>
      </c>
      <c r="BI14" s="22">
        <v>0</v>
      </c>
      <c r="BJ14" s="22">
        <v>0</v>
      </c>
      <c r="BK14" s="22">
        <v>0</v>
      </c>
      <c r="BL14" s="22">
        <v>0</v>
      </c>
      <c r="BM14" s="22">
        <v>0</v>
      </c>
      <c r="BN14" s="40">
        <v>0</v>
      </c>
      <c r="BO14" s="40">
        <v>0</v>
      </c>
      <c r="BP14" s="38">
        <v>0</v>
      </c>
      <c r="BQ14" s="38">
        <v>0</v>
      </c>
      <c r="BR14" s="22">
        <f>SUM(IF[[#This Row],[Impôt sur le revenu]],IF[[#This Row],[Retenue T.R.I.M.F]],IF[[#This Row],[BRS(5%)]],IF[[#This Row],[I.P.R.E.S R.G part salarié]],IF[[#This Row],[I.P.R.E.S R.C. part salarié]],IF[[#This Row],[IPM PART SALARIALE]])</f>
        <v>12958.333333333334</v>
      </c>
      <c r="BS14" s="22">
        <f>SUM(IF[[#This Row],[C.F.C.E.]],IF[[#This Row],[I.P.R.E.S R.G. part patronale]],IF[[#This Row],[I.P.R.E.S R.C. part patronale]],IF[[#This Row],[Total CSS]],IF[[#This Row],[IPM PAR PATRONALE]])</f>
        <v>7232.5199999999995</v>
      </c>
      <c r="BT14" s="22">
        <f>+SUM(IF[[#This Row],[TOTAL RETENUES]:[CHARGES PATRONALES]])</f>
        <v>20190.853333333333</v>
      </c>
      <c r="BU14" s="23">
        <f>IF[[#This Row],[BRUT]]-IF[[#This Row],[TOTAL RETENUES]]</f>
        <v>228125.66666666666</v>
      </c>
      <c r="BV14" s="28">
        <v>20800</v>
      </c>
      <c r="BW14" s="42">
        <v>0</v>
      </c>
      <c r="BX14" s="34">
        <v>0</v>
      </c>
      <c r="BY14" s="34">
        <v>0</v>
      </c>
      <c r="BZ14" s="34">
        <v>0</v>
      </c>
      <c r="CA14" s="34">
        <v>10000</v>
      </c>
      <c r="CB14" s="34">
        <v>0</v>
      </c>
      <c r="CC14" s="34">
        <v>0</v>
      </c>
      <c r="CD14" s="34"/>
      <c r="CE14" s="34">
        <v>0</v>
      </c>
      <c r="CF14" s="34"/>
      <c r="CG14" s="34">
        <v>-216.03333333309274</v>
      </c>
      <c r="CH14" s="22">
        <f>+IF[[#This Row],[NET A 
PAYER]]-IF[[#This Row],[net actuel]]</f>
        <v>-209.63333333356422</v>
      </c>
      <c r="CI14" s="23">
        <f>IF(IF[[#This Row],[net actuel]]&gt;0,MROUND(IF[[#This Row],[net actuel]],500),MROUND(IF[[#This Row],[net actuel]],-500))</f>
        <v>258500</v>
      </c>
      <c r="CJ14" s="44">
        <f>+IF[[#This Row],[Remunération nette]]+SUM(IF[[#This Row],[indemnité de
transport]:[appoint m-1]])</f>
        <v>258709.63333333356</v>
      </c>
      <c r="CK14" s="34">
        <v>21400</v>
      </c>
    </row>
    <row r="15" spans="1:89" x14ac:dyDescent="0.3">
      <c r="A15" s="15">
        <v>10013</v>
      </c>
      <c r="B15" s="15" t="s">
        <v>136</v>
      </c>
      <c r="C15" s="15"/>
      <c r="D15" s="24">
        <v>28240</v>
      </c>
      <c r="E15" s="26" t="e">
        <f>DATEDIF(IF[[#This Row],[date de Naissance]],#REF!,"y")</f>
        <v>#REF!</v>
      </c>
      <c r="F15" s="24" t="s">
        <v>81</v>
      </c>
      <c r="G15" s="24" t="s">
        <v>108</v>
      </c>
      <c r="H15" s="15" t="s">
        <v>83</v>
      </c>
      <c r="I15" s="1" t="s">
        <v>117</v>
      </c>
      <c r="J15" s="35" t="e">
        <f>VLOOKUP(IF[[#This Row],[CATEGORIE]],#REF!,4,FALSE)</f>
        <v>#REF!</v>
      </c>
      <c r="K15" s="1" t="s">
        <v>3</v>
      </c>
      <c r="L15" s="15" t="s">
        <v>79</v>
      </c>
      <c r="M15" s="16">
        <v>43739</v>
      </c>
      <c r="N15" s="37" t="e">
        <f>DATEDIF(IF[[#This Row],[Date d''entrée]],#REF!+1,"y")</f>
        <v>#REF!</v>
      </c>
      <c r="O15" s="18" t="s">
        <v>80</v>
      </c>
      <c r="P15" s="18">
        <v>2</v>
      </c>
      <c r="Q15" s="18">
        <v>6</v>
      </c>
      <c r="R15" s="18">
        <v>3</v>
      </c>
      <c r="S15" s="30">
        <v>5</v>
      </c>
      <c r="T15" s="18" t="s">
        <v>94</v>
      </c>
      <c r="U15" s="17"/>
      <c r="V15" s="17">
        <v>0</v>
      </c>
      <c r="W15" s="17">
        <v>0</v>
      </c>
      <c r="X15" s="19">
        <v>1</v>
      </c>
      <c r="Y15" s="17"/>
      <c r="Z15" s="17">
        <v>0</v>
      </c>
      <c r="AA15" s="17">
        <v>0</v>
      </c>
      <c r="AB15" s="17">
        <v>0</v>
      </c>
      <c r="AC15" s="17">
        <v>0</v>
      </c>
      <c r="AD15" s="38">
        <f>+SUM(IF[[#This Row],[SALAIRE DE BASE]:[Honnoraires 
prestataires]])/(40*52/12)</f>
        <v>0</v>
      </c>
      <c r="AE15" s="34">
        <v>0</v>
      </c>
      <c r="AF15" s="21"/>
      <c r="AG15" s="20">
        <v>0</v>
      </c>
      <c r="AH15" s="20">
        <v>189656</v>
      </c>
      <c r="AI15" s="20">
        <v>100000</v>
      </c>
      <c r="AJ15" s="22">
        <v>0</v>
      </c>
      <c r="AK15" s="22">
        <f>-(SUM(IF[[#This Row],[SALAIRE DE BASE]:[Prime de transport imposable]],IF[[#This Row],[Prime d''ancienneté]])/30)*IF[[#This Row],[Absences]]</f>
        <v>0</v>
      </c>
      <c r="AL15" s="22">
        <f>(SUM(IF[[#This Row],[SALAIRE DE BASE]:[Honnoraires 
prestataires]],IF[[#This Row],[Prime d''ancienneté]])/30)*IF[[#This Row],[Abs Maladie]]</f>
        <v>0</v>
      </c>
      <c r="AM15" s="22">
        <f>(SUM(IF[[#This Row],[SALAIRE DE BASE]:[Honnoraires 
prestataires]],IF[[#This Row],[Prime d''ancienneté]])/30)*IF[[#This Row],[abs evenement familiaux]]</f>
        <v>0</v>
      </c>
      <c r="AN15" s="20">
        <v>0</v>
      </c>
      <c r="AO15" s="22">
        <f>IF(IF[[#This Row],[le congé est il à payer?]]="OUI",#REF!,0)</f>
        <v>0</v>
      </c>
      <c r="AP15" s="20">
        <v>0</v>
      </c>
      <c r="AQ15" s="22">
        <f>+IF[[#This Row],[HS115%]]*IF[[#This Row],[TH]]*115%</f>
        <v>0</v>
      </c>
      <c r="AR15" s="22">
        <f>+IF[[#This Row],[HS140%]]*IF[[#This Row],[TH]]*140%</f>
        <v>0</v>
      </c>
      <c r="AS15" s="22">
        <f>+IF[[#This Row],[HS160%]]*IF[[#This Row],[TH]]*160%</f>
        <v>0</v>
      </c>
      <c r="AT15" s="22">
        <f>+IF[[#This Row],[HS200%]]*IF[[#This Row],[TH]]*200%</f>
        <v>0</v>
      </c>
      <c r="AU15" s="23">
        <f>+SUM(IF[[#This Row],[SALAIRE DE BASE]:[MT HS200%]])</f>
        <v>289656</v>
      </c>
      <c r="AV15" s="39">
        <f>IF(IF[[#This Row],[SITUATION
 CONTRAT]]&lt;&gt;"PRESTATION",(MAX(0,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-(IF(S15=1.5,MIN(300000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10%,100000)),IF(S15=2,MIN(650000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15%,200000)),IF(S15=2.5,MIN(1100000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20%,300000)),IF(S15=3,MIN(1650000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25%,400000)),IF(S15=3.5,MIN(2030000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30%,500000)),IF(S15=4,MIN(2490000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35%,600000)),IF(S15=4.5,MIN(2755000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40%,700000)),IF(S15=5,MIN(3180000,MAX((IF(ROUNDDOWN((AU15*12-MIN(AU15*12*30%,900000)),-3)&gt;13500000,4359000+(ROUNDDOWN((AU15*12-MIN(AU15*12*30%,900000)),-3)-13500000)*40%,IF(ROUNDDOWN((AU15*12-MIN(AU15*12*30%,900000)),-3)&gt;8000000,2324000+(ROUNDDOWN((AU15*12-MIN(AU15*12*30%,900000)),-3)-8000000)*37%,IF(ROUNDDOWN((AU15*12-MIN(AU15*12*30%,900000)),-3)&gt;4000000,924000+(ROUNDDOWN((AU15*12-MIN(AU15*12*30%,900000)),-3)-4000000)*35%,IF(ROUNDDOWN((AU15*12-MIN(AU15*12*30%,900000)),-3)&gt;1500000,174000+(ROUNDDOWN((AU15*12-MIN(AU15*12*30%,900000)),-3)-1500000)*30%,IF(ROUNDDOWN((AU15*12-MIN(AU15*12*30%,900000)),-3)&gt;630000,(ROUNDDOWN((AU15*12-MIN(AU15*12*30%,900000)),-3)-630000)*20%,IF(ROUNDDOWN((AU15*12-MIN(AU15*12*30%,900000)),-3)&lt;630000,ROUNDDOWN((AU15*12-MIN(AU15*12*30%,900000)),-3)*0%)))))))*45%,800000)),0))))))))))/12),0)</f>
        <v>0</v>
      </c>
      <c r="AW15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3000</v>
      </c>
      <c r="AX15" s="22">
        <f>IF(IF[[#This Row],[SITUATION
 CONTRAT]]&lt;&gt;"PRESTATION",IF[[#This Row],[BRUT]]*3%,0)</f>
        <v>8689.68</v>
      </c>
      <c r="AY15" s="22">
        <f>IF(OR(A15&lt;&gt;"00015EA",IF[[#This Row],[SITUATION
 CONTRAT]]&lt;&gt;"PRESTATION"),0,IF[[#This Row],[BRUT]]*5%)</f>
        <v>0</v>
      </c>
      <c r="AZ15" s="22">
        <f>SUM(IF[[#This Row],[Impôt sur le revenu]:[BRS(5%)]])</f>
        <v>11689.68</v>
      </c>
      <c r="BA15" s="22">
        <v>0</v>
      </c>
      <c r="BB15" s="22">
        <v>0</v>
      </c>
      <c r="BC15" s="22">
        <v>0</v>
      </c>
      <c r="BD15" s="22">
        <v>0</v>
      </c>
      <c r="BE15" s="22">
        <v>0</v>
      </c>
      <c r="BF15" s="22">
        <v>0</v>
      </c>
      <c r="BG15" s="22">
        <v>0</v>
      </c>
      <c r="BH15" s="22">
        <v>0</v>
      </c>
      <c r="BI15" s="22">
        <v>0</v>
      </c>
      <c r="BJ15" s="22">
        <v>0</v>
      </c>
      <c r="BK15" s="22">
        <v>0</v>
      </c>
      <c r="BL15" s="22">
        <v>0</v>
      </c>
      <c r="BM15" s="22">
        <v>0</v>
      </c>
      <c r="BN15" s="40">
        <v>0</v>
      </c>
      <c r="BO15" s="40">
        <v>0</v>
      </c>
      <c r="BP15" s="38">
        <v>0</v>
      </c>
      <c r="BQ15" s="38">
        <v>0</v>
      </c>
      <c r="BR15" s="22">
        <f>SUM(IF[[#This Row],[Impôt sur le revenu]],IF[[#This Row],[Retenue T.R.I.M.F]],IF[[#This Row],[BRS(5%)]],IF[[#This Row],[I.P.R.E.S R.G part salarié]],IF[[#This Row],[I.P.R.E.S R.C. part salarié]],IF[[#This Row],[IPM PART SALARIALE]])</f>
        <v>3000</v>
      </c>
      <c r="BS15" s="22">
        <f>SUM(IF[[#This Row],[C.F.C.E.]],IF[[#This Row],[I.P.R.E.S R.G. part patronale]],IF[[#This Row],[I.P.R.E.S R.C. part patronale]],IF[[#This Row],[Total CSS]],IF[[#This Row],[IPM PAR PATRONALE]])</f>
        <v>8689.68</v>
      </c>
      <c r="BT15" s="22">
        <f>+SUM(IF[[#This Row],[TOTAL RETENUES]:[CHARGES PATRONALES]])</f>
        <v>11689.68</v>
      </c>
      <c r="BU15" s="23">
        <f>IF[[#This Row],[BRUT]]-IF[[#This Row],[TOTAL RETENUES]]</f>
        <v>286656</v>
      </c>
      <c r="BV15" s="28">
        <v>20800</v>
      </c>
      <c r="BW15" s="42">
        <v>0</v>
      </c>
      <c r="BX15" s="34">
        <v>0</v>
      </c>
      <c r="BY15" s="34">
        <v>0</v>
      </c>
      <c r="BZ15" s="34">
        <v>0</v>
      </c>
      <c r="CA15" s="34">
        <v>10000</v>
      </c>
      <c r="CB15" s="34">
        <v>0</v>
      </c>
      <c r="CC15" s="34">
        <v>0</v>
      </c>
      <c r="CD15" s="34"/>
      <c r="CE15" s="34">
        <v>0</v>
      </c>
      <c r="CF15" s="34"/>
      <c r="CG15" s="34">
        <v>0</v>
      </c>
      <c r="CH15" s="22">
        <f>+IF[[#This Row],[NET A 
PAYER]]-IF[[#This Row],[net actuel]]</f>
        <v>44</v>
      </c>
      <c r="CI15" s="23">
        <f>IF(IF[[#This Row],[net actuel]]&gt;0,MROUND(IF[[#This Row],[net actuel]],500),MROUND(IF[[#This Row],[net actuel]],-500))</f>
        <v>317500</v>
      </c>
      <c r="CJ15" s="44">
        <f>+IF[[#This Row],[Remunération nette]]+SUM(IF[[#This Row],[indemnité de
transport]:[appoint m-1]])</f>
        <v>317456</v>
      </c>
      <c r="CK15" s="34">
        <v>21582</v>
      </c>
    </row>
    <row r="16" spans="1:89" x14ac:dyDescent="0.3">
      <c r="A16" s="15">
        <v>10014</v>
      </c>
      <c r="B16" s="15" t="s">
        <v>137</v>
      </c>
      <c r="C16" s="15"/>
      <c r="D16" s="24">
        <v>34468</v>
      </c>
      <c r="E16" s="26" t="e">
        <f>DATEDIF(IF[[#This Row],[date de Naissance]],#REF!,"y")</f>
        <v>#REF!</v>
      </c>
      <c r="F16" s="24" t="s">
        <v>81</v>
      </c>
      <c r="G16" s="24" t="s">
        <v>109</v>
      </c>
      <c r="H16" s="15" t="s">
        <v>114</v>
      </c>
      <c r="I16" s="1" t="s">
        <v>116</v>
      </c>
      <c r="J16" s="35" t="e">
        <f>VLOOKUP(IF[[#This Row],[CATEGORIE]],#REF!,4,FALSE)</f>
        <v>#REF!</v>
      </c>
      <c r="K16" s="1" t="s">
        <v>2</v>
      </c>
      <c r="L16" s="15" t="s">
        <v>79</v>
      </c>
      <c r="M16" s="16">
        <v>43739</v>
      </c>
      <c r="N16" s="37" t="e">
        <f>DATEDIF(IF[[#This Row],[Date d''entrée]],#REF!+1,"y")</f>
        <v>#REF!</v>
      </c>
      <c r="O16" s="18" t="s">
        <v>80</v>
      </c>
      <c r="P16" s="18">
        <v>1</v>
      </c>
      <c r="Q16" s="18">
        <v>2</v>
      </c>
      <c r="R16" s="18">
        <v>2</v>
      </c>
      <c r="S16" s="30">
        <v>2.5</v>
      </c>
      <c r="T16" s="18" t="s">
        <v>94</v>
      </c>
      <c r="U16" s="17"/>
      <c r="V16" s="17">
        <v>0</v>
      </c>
      <c r="W16" s="17">
        <v>0</v>
      </c>
      <c r="X16" s="19">
        <v>1</v>
      </c>
      <c r="Y16" s="17"/>
      <c r="Z16" s="17">
        <v>0</v>
      </c>
      <c r="AA16" s="17">
        <v>0</v>
      </c>
      <c r="AB16" s="17">
        <v>0</v>
      </c>
      <c r="AC16" s="17">
        <v>0</v>
      </c>
      <c r="AD16" s="38">
        <f>+SUM(IF[[#This Row],[SALAIRE DE BASE]:[Honnoraires 
prestataires]])/(40*52/12)</f>
        <v>0</v>
      </c>
      <c r="AE16" s="34">
        <v>0</v>
      </c>
      <c r="AF16" s="21"/>
      <c r="AG16" s="20">
        <v>0</v>
      </c>
      <c r="AH16" s="20">
        <v>174128</v>
      </c>
      <c r="AI16" s="20">
        <v>100000</v>
      </c>
      <c r="AJ16" s="22">
        <v>0</v>
      </c>
      <c r="AK16" s="22">
        <f>-(SUM(IF[[#This Row],[SALAIRE DE BASE]:[Prime de transport imposable]],IF[[#This Row],[Prime d''ancienneté]])/30)*IF[[#This Row],[Absences]]</f>
        <v>0</v>
      </c>
      <c r="AL16" s="22">
        <f>(SUM(IF[[#This Row],[SALAIRE DE BASE]:[Honnoraires 
prestataires]],IF[[#This Row],[Prime d''ancienneté]])/30)*IF[[#This Row],[Abs Maladie]]</f>
        <v>0</v>
      </c>
      <c r="AM16" s="22">
        <f>(SUM(IF[[#This Row],[SALAIRE DE BASE]:[Honnoraires 
prestataires]],IF[[#This Row],[Prime d''ancienneté]])/30)*IF[[#This Row],[abs evenement familiaux]]</f>
        <v>0</v>
      </c>
      <c r="AN16" s="20">
        <v>0</v>
      </c>
      <c r="AO16" s="22">
        <f>IF(IF[[#This Row],[le congé est il à payer?]]="OUI",#REF!,0)</f>
        <v>0</v>
      </c>
      <c r="AP16" s="20">
        <v>0</v>
      </c>
      <c r="AQ16" s="22">
        <f>+IF[[#This Row],[HS115%]]*IF[[#This Row],[TH]]*115%</f>
        <v>0</v>
      </c>
      <c r="AR16" s="22">
        <f>+IF[[#This Row],[HS140%]]*IF[[#This Row],[TH]]*140%</f>
        <v>0</v>
      </c>
      <c r="AS16" s="22">
        <f>+IF[[#This Row],[HS160%]]*IF[[#This Row],[TH]]*160%</f>
        <v>0</v>
      </c>
      <c r="AT16" s="22">
        <f>+IF[[#This Row],[HS200%]]*IF[[#This Row],[TH]]*200%</f>
        <v>0</v>
      </c>
      <c r="AU16" s="23">
        <f>+SUM(IF[[#This Row],[SALAIRE DE BASE]:[MT HS200%]])</f>
        <v>274128</v>
      </c>
      <c r="AV16" s="39">
        <f>IF(IF[[#This Row],[SITUATION
 CONTRAT]]&lt;&gt;"PRESTATION",(MAX(0,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-(IF(S16=1.5,MIN(300000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10%,100000)),IF(S16=2,MIN(650000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15%,200000)),IF(S16=2.5,MIN(1100000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20%,300000)),IF(S16=3,MIN(1650000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25%,400000)),IF(S16=3.5,MIN(2030000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30%,500000)),IF(S16=4,MIN(2490000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35%,600000)),IF(S16=4.5,MIN(2755000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40%,700000)),IF(S16=5,MIN(3180000,MAX((IF(ROUNDDOWN((AU16*12-MIN(AU16*12*30%,900000)),-3)&gt;13500000,4359000+(ROUNDDOWN((AU16*12-MIN(AU16*12*30%,900000)),-3)-13500000)*40%,IF(ROUNDDOWN((AU16*12-MIN(AU16*12*30%,900000)),-3)&gt;8000000,2324000+(ROUNDDOWN((AU16*12-MIN(AU16*12*30%,900000)),-3)-8000000)*37%,IF(ROUNDDOWN((AU16*12-MIN(AU16*12*30%,900000)),-3)&gt;4000000,924000+(ROUNDDOWN((AU16*12-MIN(AU16*12*30%,900000)),-3)-4000000)*35%,IF(ROUNDDOWN((AU16*12-MIN(AU16*12*30%,900000)),-3)&gt;1500000,174000+(ROUNDDOWN((AU16*12-MIN(AU16*12*30%,900000)),-3)-1500000)*30%,IF(ROUNDDOWN((AU16*12-MIN(AU16*12*30%,900000)),-3)&gt;630000,(ROUNDDOWN((AU16*12-MIN(AU16*12*30%,900000)),-3)-630000)*20%,IF(ROUNDDOWN((AU16*12-MIN(AU16*12*30%,900000)),-3)&lt;630000,ROUNDDOWN((AU16*12-MIN(AU16*12*30%,900000)),-3)*0%)))))))*45%,800000)),0))))))))))/12),0)</f>
        <v>11725</v>
      </c>
      <c r="AW16" s="22">
        <f>IF(IF[[#This Row],[SITUATION
 CONTRAT]]&lt;&gt;"PRESTATION",(IF(IF[[#This Row],[BRUT]]*12&gt;=12000000,IF[[#This Row],[PART TRIMF]]*36000,IF(IF[[#This Row],[BRUT]]*12&gt;=7000000,IF[[#This Row],[PART TRIMF]]*18000,IF(IF[[#This Row],[BRUT]]*12&gt;=2000000,IF[[#This Row],[PART TRIMF]]*12000,IF(IF[[#This Row],[BRUT]]*12&gt;=1000000,IF[[#This Row],[PART TRIMF]]*4800,IF(IF[[#This Row],[BRUT]]*12&gt;=600000,IF[[#This Row],[PART TRIMF]]*3600,900)))))/12),0)</f>
        <v>2000</v>
      </c>
      <c r="AX16" s="22">
        <f>IF(IF[[#This Row],[SITUATION
 CONTRAT]]&lt;&gt;"PRESTATION",IF[[#This Row],[BRUT]]*3%,0)</f>
        <v>8223.84</v>
      </c>
      <c r="AY16" s="22">
        <f>IF(OR(A16&lt;&gt;"00015EA",IF[[#This Row],[SITUATION
 CONTRAT]]&lt;&gt;"PRESTATION"),0,IF[[#This Row],[BRUT]]*5%)</f>
        <v>0</v>
      </c>
      <c r="AZ16" s="22">
        <f>SUM(IF[[#This Row],[Impôt sur le revenu]:[BRS(5%)]])</f>
        <v>21948.84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40">
        <v>0</v>
      </c>
      <c r="BO16" s="40">
        <v>0</v>
      </c>
      <c r="BP16" s="38">
        <v>0</v>
      </c>
      <c r="BQ16" s="38">
        <v>0</v>
      </c>
      <c r="BR16" s="22">
        <f>SUM(IF[[#This Row],[Impôt sur le revenu]],IF[[#This Row],[Retenue T.R.I.M.F]],IF[[#This Row],[BRS(5%)]],IF[[#This Row],[I.P.R.E.S R.G part salarié]],IF[[#This Row],[I.P.R.E.S R.C. part salarié]],IF[[#This Row],[IPM PART SALARIALE]])</f>
        <v>13725</v>
      </c>
      <c r="BS16" s="22">
        <f>SUM(IF[[#This Row],[C.F.C.E.]],IF[[#This Row],[I.P.R.E.S R.G. part patronale]],IF[[#This Row],[I.P.R.E.S R.C. part patronale]],IF[[#This Row],[Total CSS]],IF[[#This Row],[IPM PAR PATRONALE]])</f>
        <v>8223.84</v>
      </c>
      <c r="BT16" s="22">
        <f>+SUM(IF[[#This Row],[TOTAL RETENUES]:[CHARGES PATRONALES]])</f>
        <v>21948.84</v>
      </c>
      <c r="BU16" s="23">
        <f>IF[[#This Row],[BRUT]]-IF[[#This Row],[TOTAL RETENUES]]</f>
        <v>260403</v>
      </c>
      <c r="BV16" s="28">
        <v>20800</v>
      </c>
      <c r="BW16" s="42">
        <v>0</v>
      </c>
      <c r="BX16" s="34">
        <v>0</v>
      </c>
      <c r="BY16" s="34">
        <v>0</v>
      </c>
      <c r="BZ16" s="34">
        <v>0</v>
      </c>
      <c r="CA16" s="34">
        <v>10000</v>
      </c>
      <c r="CB16" s="34">
        <v>0</v>
      </c>
      <c r="CC16" s="34">
        <v>0</v>
      </c>
      <c r="CD16" s="34"/>
      <c r="CE16" s="34">
        <v>0</v>
      </c>
      <c r="CF16" s="34"/>
      <c r="CG16" s="34">
        <v>143.68372266663937</v>
      </c>
      <c r="CH16" s="22">
        <f>+IF[[#This Row],[NET A 
PAYER]]-IF[[#This Row],[net actuel]]</f>
        <v>153.31627733336063</v>
      </c>
      <c r="CI16" s="23">
        <f>IF(IF[[#This Row],[net actuel]]&gt;0,MROUND(IF[[#This Row],[net actuel]],500),MROUND(IF[[#This Row],[net actuel]],-500))</f>
        <v>291500</v>
      </c>
      <c r="CJ16" s="44">
        <f>+IF[[#This Row],[Remunération nette]]+SUM(IF[[#This Row],[indemnité de
transport]:[appoint m-1]])</f>
        <v>291346.68372266664</v>
      </c>
      <c r="CK16" s="34">
        <v>2697500</v>
      </c>
    </row>
    <row r="19" spans="7:79" x14ac:dyDescent="0.3">
      <c r="CA19">
        <v>-1</v>
      </c>
    </row>
    <row r="21" spans="7:79" x14ac:dyDescent="0.3">
      <c r="G21">
        <v>17.5</v>
      </c>
      <c r="AG21">
        <f>+AE2/173.33</f>
        <v>0</v>
      </c>
      <c r="AH21">
        <f>+AG21*8</f>
        <v>0</v>
      </c>
    </row>
  </sheetData>
  <phoneticPr fontId="4" type="noConversion"/>
  <dataValidations count="3">
    <dataValidation type="list" allowBlank="1" showInputMessage="1" showErrorMessage="1" sqref="S2:S16" xr:uid="{00000000-0002-0000-0300-000001000000}">
      <mc:AlternateContent xmlns:x12ac="http://schemas.microsoft.com/office/spreadsheetml/2011/1/ac" xmlns:mc="http://schemas.openxmlformats.org/markup-compatibility/2006">
        <mc:Choice Requires="x12ac">
          <x12ac:list>1,"1,5",2,"2,5",3,"3,5",4,"4,5",5</x12ac:list>
        </mc:Choice>
        <mc:Fallback>
          <formula1>"1,1,5,2,2,5,3,3,5,4,4,5,5"</formula1>
        </mc:Fallback>
      </mc:AlternateContent>
    </dataValidation>
    <dataValidation type="list" allowBlank="1" showInputMessage="1" showErrorMessage="1" sqref="T2:T16" xr:uid="{79F7CCC8-E7D0-4D86-9D4B-EA1A690FB1F3}">
      <formula1>"OUI,NON"</formula1>
    </dataValidation>
    <dataValidation type="list" allowBlank="1" showInputMessage="1" showErrorMessage="1" sqref="R2:R16" xr:uid="{2401900E-9BC4-47AF-AE88-82544FFED3CE}">
      <formula1>"1,2,3,4,5"</formula1>
    </dataValidation>
  </dataValidations>
  <pageMargins left="0.19685039370078741" right="0.19685039370078741" top="0.19685039370078741" bottom="0.19685039370078741" header="0.31496062992125984" footer="0.31496062992125984"/>
  <pageSetup paperSize="9" pageOrder="overThenDown" orientation="landscape" r:id="rId1"/>
  <colBreaks count="5" manualBreakCount="5">
    <brk id="20" max="1048575" man="1"/>
    <brk id="32" max="1048575" man="1"/>
    <brk id="54" max="1048575" man="1"/>
    <brk id="85" max="1048575" man="1"/>
    <brk id="90" max="1048575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/>
  <dimension ref="B2:C2"/>
  <sheetViews>
    <sheetView zoomScaleNormal="100" workbookViewId="0">
      <selection activeCell="M16" sqref="M16"/>
    </sheetView>
  </sheetViews>
  <sheetFormatPr baseColWidth="10" defaultColWidth="11.44140625" defaultRowHeight="18" x14ac:dyDescent="0.35"/>
  <cols>
    <col min="1" max="1" width="19.5546875" style="2" customWidth="1"/>
    <col min="2" max="2" width="19.5546875" style="7" customWidth="1"/>
    <col min="3" max="3" width="20.33203125" style="8" bestFit="1" customWidth="1"/>
    <col min="4" max="4" width="20.33203125" style="2" bestFit="1" customWidth="1"/>
    <col min="5" max="5" width="17" style="2" customWidth="1"/>
    <col min="6" max="7" width="11.5546875" style="2" bestFit="1" customWidth="1"/>
    <col min="8" max="8" width="13.33203125" style="2" bestFit="1" customWidth="1"/>
    <col min="9" max="9" width="13.5546875" style="2" customWidth="1"/>
    <col min="10" max="10" width="18" style="2" customWidth="1"/>
    <col min="11" max="16384" width="11.44140625" style="2"/>
  </cols>
  <sheetData>
    <row r="2" ht="18.75" customHeight="1" x14ac:dyDescent="0.35"/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élements de salaires</vt:lpstr>
      <vt:lpstr>TABLE CONVENTION</vt:lpstr>
      <vt:lpstr>'élements de salaires'!Impression_des_titres</vt:lpstr>
      <vt:lpstr>MATRICULE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ibrahimafall481@gmail.com;+221778268028</dc:creator>
  <cp:keywords/>
  <dc:description/>
  <cp:lastModifiedBy>ibrahimafall481@gmail.com</cp:lastModifiedBy>
  <cp:revision/>
  <cp:lastPrinted>2022-11-13T20:44:52Z</cp:lastPrinted>
  <dcterms:created xsi:type="dcterms:W3CDTF">2017-07-12T09:50:03Z</dcterms:created>
  <dcterms:modified xsi:type="dcterms:W3CDTF">2022-11-14T11:53:11Z</dcterms:modified>
  <cp:category/>
  <cp:contentStatus/>
</cp:coreProperties>
</file>