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pivotTables/pivotTable3.xml" ContentType="application/vnd.openxmlformats-officedocument.spreadsheetml.pivotTable+xml"/>
  <Override PartName="/xl/drawings/drawing5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pivotTables/pivotTable4.xml" ContentType="application/vnd.openxmlformats-officedocument.spreadsheetml.pivotTable+xml"/>
  <Override PartName="/xl/drawings/drawing6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pivotTables/pivotTable5.xml" ContentType="application/vnd.openxmlformats-officedocument.spreadsheetml.pivotTable+xml"/>
  <Override PartName="/xl/drawings/drawing7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pivotTables/pivotTable6.xml" ContentType="application/vnd.openxmlformats-officedocument.spreadsheetml.pivotTable+xml"/>
  <Override PartName="/xl/drawings/drawing8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pivotTables/pivotTable7.xml" ContentType="application/vnd.openxmlformats-officedocument.spreadsheetml.pivotTable+xml"/>
  <Override PartName="/xl/drawings/drawing9.xml" ContentType="application/vnd.openxmlformats-officedocument.drawing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pivotTables/pivotTable8.xml" ContentType="application/vnd.openxmlformats-officedocument.spreadsheetml.pivotTable+xml"/>
  <Override PartName="/xl/drawings/drawing10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pivotTables/pivotTable9.xml" ContentType="application/vnd.openxmlformats-officedocument.spreadsheetml.pivotTable+xml"/>
  <Override PartName="/xl/drawings/drawing11.xml" ContentType="application/vnd.openxmlformats-officedocument.drawing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pivotTables/pivotTable10.xml" ContentType="application/vnd.openxmlformats-officedocument.spreadsheetml.pivotTable+xml"/>
  <Override PartName="/xl/drawings/drawing12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pivotTables/pivotTable11.xml" ContentType="application/vnd.openxmlformats-officedocument.spreadsheetml.pivotTable+xml"/>
  <Override PartName="/xl/drawings/drawing13.xml" ContentType="application/vnd.openxmlformats-officedocument.drawing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pivotTables/pivotTable12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08"/>
  <workbookPr defaultThemeVersion="166925"/>
  <mc:AlternateContent xmlns:mc="http://schemas.openxmlformats.org/markup-compatibility/2006">
    <mc:Choice Requires="x15">
      <x15ac:absPath xmlns:x15ac="http://schemas.microsoft.com/office/spreadsheetml/2010/11/ac" url="\\Zeus\dax\user\Maintenance\104 - Gestion_SAP_BW\Backlog\01 - KPI annuels\2022\"/>
    </mc:Choice>
  </mc:AlternateContent>
  <xr:revisionPtr revIDLastSave="0" documentId="13_ncr:1_{705F99FA-B7B6-4784-B5E5-85CACFED23D2}" xr6:coauthVersionLast="45" xr6:coauthVersionMax="47" xr10:uidLastSave="{00000000-0000-0000-0000-000000000000}"/>
  <bookViews>
    <workbookView xWindow="-108" yWindow="-108" windowWidth="23256" windowHeight="14016" tabRatio="816" activeTab="3" xr2:uid="{745DAC55-DBC2-4C7C-BE3A-B69CC8EE8C98}"/>
  </bookViews>
  <sheets>
    <sheet name="Global en heures" sheetId="7" r:id="rId1"/>
    <sheet name="Global en %" sheetId="10" r:id="rId2"/>
    <sheet name="Graph mensu MWE" sheetId="24" r:id="rId3"/>
    <sheet name="Biamonique" sheetId="23" r:id="rId4"/>
    <sheet name="Autres" sheetId="30" r:id="rId5"/>
    <sheet name="D1" sheetId="31" r:id="rId6"/>
    <sheet name="Fertilisants" sheetId="32" r:id="rId7"/>
    <sheet name="Maintenance" sheetId="33" r:id="rId8"/>
    <sheet name="Silox" sheetId="34" r:id="rId9"/>
    <sheet name="P2O5" sheetId="35" r:id="rId10"/>
    <sheet name="STPP" sheetId="36" r:id="rId11"/>
    <sheet name="S&amp;E" sheetId="37" r:id="rId12"/>
    <sheet name="Zéoline" sheetId="38" r:id="rId13"/>
    <sheet name="Données" sheetId="1" r:id="rId14"/>
  </sheets>
  <calcPr calcId="191029"/>
  <pivotCaches>
    <pivotCache cacheId="0" r:id="rId1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9" i="38" l="1"/>
  <c r="H9" i="38"/>
  <c r="I8" i="38"/>
  <c r="H8" i="38"/>
  <c r="I7" i="38"/>
  <c r="H7" i="38"/>
  <c r="I6" i="38"/>
  <c r="H6" i="38"/>
  <c r="I5" i="38"/>
  <c r="H5" i="38"/>
  <c r="I4" i="38"/>
  <c r="H4" i="38"/>
  <c r="I9" i="37"/>
  <c r="H9" i="37"/>
  <c r="I8" i="37"/>
  <c r="H8" i="37"/>
  <c r="I7" i="37"/>
  <c r="H7" i="37"/>
  <c r="I6" i="37"/>
  <c r="H6" i="37"/>
  <c r="I5" i="37"/>
  <c r="H5" i="37"/>
  <c r="I4" i="37"/>
  <c r="H4" i="37"/>
  <c r="I9" i="36"/>
  <c r="H9" i="36"/>
  <c r="I8" i="36"/>
  <c r="H8" i="36"/>
  <c r="I7" i="36"/>
  <c r="H7" i="36"/>
  <c r="I6" i="36"/>
  <c r="H6" i="36"/>
  <c r="I5" i="36"/>
  <c r="H5" i="36"/>
  <c r="I4" i="36"/>
  <c r="H4" i="36"/>
  <c r="I9" i="35"/>
  <c r="H9" i="35"/>
  <c r="I8" i="35"/>
  <c r="H8" i="35"/>
  <c r="I7" i="35"/>
  <c r="H7" i="35"/>
  <c r="I6" i="35"/>
  <c r="H6" i="35"/>
  <c r="I5" i="35"/>
  <c r="H5" i="35"/>
  <c r="I4" i="35"/>
  <c r="H4" i="35"/>
  <c r="I8" i="34"/>
  <c r="H8" i="34"/>
  <c r="I7" i="34"/>
  <c r="H7" i="34"/>
  <c r="I6" i="34"/>
  <c r="H6" i="34"/>
  <c r="I5" i="34"/>
  <c r="H5" i="34"/>
  <c r="I4" i="34"/>
  <c r="H4" i="34"/>
  <c r="I9" i="33"/>
  <c r="H9" i="33"/>
  <c r="I8" i="33"/>
  <c r="H8" i="33"/>
  <c r="I7" i="33"/>
  <c r="H7" i="33"/>
  <c r="I6" i="33"/>
  <c r="H6" i="33"/>
  <c r="I5" i="33"/>
  <c r="H5" i="33"/>
  <c r="I4" i="33"/>
  <c r="H4" i="33"/>
  <c r="I9" i="32"/>
  <c r="H9" i="32"/>
  <c r="I8" i="32"/>
  <c r="H8" i="32"/>
  <c r="I7" i="32"/>
  <c r="H7" i="32"/>
  <c r="I6" i="32"/>
  <c r="H6" i="32"/>
  <c r="I5" i="32"/>
  <c r="H5" i="32"/>
  <c r="I4" i="32"/>
  <c r="H4" i="32"/>
  <c r="I9" i="31"/>
  <c r="H9" i="31"/>
  <c r="I8" i="31"/>
  <c r="H8" i="31"/>
  <c r="I7" i="31"/>
  <c r="H7" i="31"/>
  <c r="I6" i="31"/>
  <c r="H6" i="31"/>
  <c r="I5" i="31"/>
  <c r="H5" i="31"/>
  <c r="I4" i="31"/>
  <c r="H4" i="31"/>
  <c r="I9" i="30"/>
  <c r="H9" i="30"/>
  <c r="I8" i="30"/>
  <c r="H8" i="30"/>
  <c r="I7" i="30"/>
  <c r="H7" i="30"/>
  <c r="I6" i="30"/>
  <c r="H6" i="30"/>
  <c r="I5" i="30"/>
  <c r="H5" i="30"/>
  <c r="I4" i="30"/>
  <c r="H4" i="30"/>
  <c r="I5" i="23"/>
  <c r="I6" i="23"/>
  <c r="I7" i="23"/>
  <c r="I8" i="23"/>
  <c r="I9" i="23"/>
  <c r="I4" i="23"/>
  <c r="H5" i="23"/>
  <c r="H6" i="23"/>
  <c r="H7" i="23"/>
  <c r="H8" i="23"/>
  <c r="H9" i="23"/>
  <c r="H4" i="23"/>
  <c r="L8" i="34"/>
  <c r="K8" i="34"/>
  <c r="J8" i="34"/>
  <c r="K8" i="38"/>
  <c r="J9" i="38"/>
  <c r="J5" i="38"/>
  <c r="K4" i="38"/>
  <c r="J8" i="38"/>
  <c r="K7" i="38"/>
  <c r="J4" i="38"/>
  <c r="L9" i="38"/>
  <c r="J7" i="38"/>
  <c r="L5" i="38"/>
  <c r="L8" i="38"/>
  <c r="K6" i="38"/>
  <c r="L4" i="38"/>
  <c r="J9" i="37"/>
  <c r="K8" i="37"/>
  <c r="J5" i="37"/>
  <c r="K4" i="37"/>
  <c r="J8" i="37"/>
  <c r="K7" i="37"/>
  <c r="J4" i="37"/>
  <c r="K5" i="37"/>
  <c r="L8" i="37"/>
  <c r="K6" i="37"/>
  <c r="L4" i="37"/>
  <c r="L9" i="37"/>
  <c r="J7" i="37"/>
  <c r="L5" i="37"/>
  <c r="K7" i="36"/>
  <c r="J7" i="36"/>
  <c r="K6" i="36"/>
  <c r="J6" i="36"/>
  <c r="K5" i="36"/>
  <c r="L9" i="36"/>
  <c r="L7" i="36"/>
  <c r="J5" i="36"/>
  <c r="L8" i="36"/>
  <c r="L6" i="36"/>
  <c r="K4" i="36"/>
  <c r="K7" i="35"/>
  <c r="J7" i="35"/>
  <c r="K6" i="35"/>
  <c r="K9" i="35"/>
  <c r="J6" i="35"/>
  <c r="K5" i="35"/>
  <c r="L9" i="35"/>
  <c r="L7" i="35"/>
  <c r="J5" i="35"/>
  <c r="K8" i="35"/>
  <c r="L6" i="35"/>
  <c r="K4" i="35"/>
  <c r="K7" i="34"/>
  <c r="J7" i="34"/>
  <c r="K6" i="34"/>
  <c r="J6" i="34"/>
  <c r="K5" i="34"/>
  <c r="L6" i="34"/>
  <c r="K4" i="34"/>
  <c r="L7" i="34"/>
  <c r="J5" i="34"/>
  <c r="K8" i="33"/>
  <c r="K4" i="33"/>
  <c r="J8" i="33"/>
  <c r="J4" i="33"/>
  <c r="J9" i="33"/>
  <c r="J5" i="33"/>
  <c r="K7" i="33"/>
  <c r="L9" i="33"/>
  <c r="J7" i="33"/>
  <c r="L5" i="33"/>
  <c r="L8" i="33"/>
  <c r="K6" i="33"/>
  <c r="L4" i="33"/>
  <c r="J6" i="32"/>
  <c r="K7" i="32"/>
  <c r="J7" i="32"/>
  <c r="K6" i="32"/>
  <c r="K9" i="32"/>
  <c r="K5" i="32"/>
  <c r="L9" i="32"/>
  <c r="L7" i="32"/>
  <c r="J5" i="32"/>
  <c r="K8" i="32"/>
  <c r="K4" i="32"/>
  <c r="L6" i="32"/>
  <c r="J7" i="31"/>
  <c r="K5" i="31"/>
  <c r="K7" i="31"/>
  <c r="K6" i="31"/>
  <c r="K9" i="31"/>
  <c r="J6" i="31"/>
  <c r="K8" i="31"/>
  <c r="L6" i="31"/>
  <c r="K4" i="31"/>
  <c r="J9" i="31"/>
  <c r="L7" i="31"/>
  <c r="J5" i="31"/>
  <c r="K7" i="30"/>
  <c r="J7" i="30"/>
  <c r="K6" i="30"/>
  <c r="J6" i="30"/>
  <c r="K5" i="30"/>
  <c r="L8" i="30"/>
  <c r="L6" i="30"/>
  <c r="K4" i="30"/>
  <c r="L9" i="30"/>
  <c r="L7" i="30"/>
  <c r="J5" i="30"/>
  <c r="L9" i="23"/>
  <c r="L8" i="23"/>
  <c r="L7" i="23"/>
  <c r="L6" i="23"/>
  <c r="L5" i="23"/>
  <c r="L4" i="23"/>
  <c r="K9" i="23"/>
  <c r="K8" i="23"/>
  <c r="K7" i="23"/>
  <c r="K6" i="23"/>
  <c r="K5" i="23"/>
  <c r="K4" i="23"/>
  <c r="J9" i="23"/>
  <c r="J8" i="23"/>
  <c r="J7" i="23"/>
  <c r="J6" i="23"/>
  <c r="J5" i="23"/>
  <c r="J4" i="23"/>
  <c r="K2" i="1" l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2" i="1"/>
  <c r="D16" i="10"/>
  <c r="D15" i="10"/>
  <c r="D14" i="10"/>
  <c r="D13" i="10"/>
  <c r="D12" i="10"/>
  <c r="D11" i="10"/>
  <c r="D10" i="10"/>
  <c r="D9" i="10"/>
  <c r="D8" i="10"/>
  <c r="D7" i="10"/>
  <c r="D6" i="10"/>
  <c r="C16" i="10"/>
  <c r="C15" i="10"/>
  <c r="C14" i="10"/>
  <c r="C13" i="10"/>
  <c r="C12" i="10"/>
  <c r="C11" i="10"/>
  <c r="C10" i="10"/>
  <c r="C9" i="10"/>
  <c r="C8" i="10"/>
  <c r="C7" i="10"/>
  <c r="C6" i="10"/>
  <c r="B16" i="10"/>
  <c r="B15" i="10"/>
  <c r="B14" i="10"/>
  <c r="B13" i="10"/>
  <c r="B12" i="10"/>
  <c r="B11" i="10"/>
  <c r="B10" i="10"/>
  <c r="B9" i="10"/>
  <c r="B8" i="10"/>
  <c r="B7" i="10"/>
  <c r="B6" i="10"/>
  <c r="D5" i="10"/>
  <c r="C5" i="10"/>
  <c r="B5" i="10"/>
  <c r="K5" i="38"/>
  <c r="L7" i="38"/>
  <c r="L6" i="38"/>
  <c r="J6" i="38"/>
  <c r="K9" i="38"/>
  <c r="J6" i="37"/>
  <c r="K9" i="37"/>
  <c r="L6" i="37"/>
  <c r="L7" i="37"/>
  <c r="L4" i="36"/>
  <c r="K8" i="36"/>
  <c r="K9" i="36"/>
  <c r="J8" i="36"/>
  <c r="L5" i="36"/>
  <c r="J9" i="36"/>
  <c r="J4" i="36"/>
  <c r="L4" i="35"/>
  <c r="J8" i="35"/>
  <c r="L8" i="35"/>
  <c r="J9" i="35"/>
  <c r="L5" i="35"/>
  <c r="J4" i="35"/>
  <c r="L4" i="34"/>
  <c r="J4" i="34"/>
  <c r="L5" i="34"/>
  <c r="K5" i="33"/>
  <c r="L7" i="33"/>
  <c r="L6" i="33"/>
  <c r="J6" i="33"/>
  <c r="K9" i="33"/>
  <c r="L4" i="32"/>
  <c r="J8" i="32"/>
  <c r="L8" i="32"/>
  <c r="J9" i="32"/>
  <c r="L5" i="32"/>
  <c r="J4" i="32"/>
  <c r="L4" i="31"/>
  <c r="J4" i="31"/>
  <c r="L8" i="31"/>
  <c r="J8" i="31"/>
  <c r="L5" i="31"/>
  <c r="L9" i="31"/>
  <c r="L4" i="30"/>
  <c r="K8" i="30"/>
  <c r="L5" i="30"/>
  <c r="J9" i="30"/>
  <c r="J4" i="30"/>
  <c r="K9" i="30"/>
  <c r="J8" i="30"/>
  <c r="E5" i="10" l="1"/>
  <c r="F5" i="10" s="1"/>
  <c r="E6" i="10"/>
  <c r="F6" i="10" s="1"/>
  <c r="E7" i="10"/>
  <c r="F7" i="10" s="1"/>
  <c r="E8" i="10"/>
  <c r="F8" i="10" s="1"/>
  <c r="E9" i="10"/>
  <c r="F9" i="10" s="1"/>
  <c r="E10" i="10"/>
  <c r="F10" i="10" s="1"/>
  <c r="E11" i="10"/>
  <c r="F11" i="10" s="1"/>
  <c r="E12" i="10"/>
  <c r="F12" i="10" s="1"/>
  <c r="E13" i="10"/>
  <c r="F13" i="10" s="1"/>
  <c r="E14" i="10"/>
  <c r="F14" i="10" s="1"/>
  <c r="E15" i="10"/>
  <c r="F15" i="10" s="1"/>
  <c r="E16" i="10"/>
  <c r="F16" i="10" s="1"/>
  <c r="H15" i="10" l="1"/>
  <c r="H11" i="10"/>
  <c r="H7" i="10"/>
  <c r="H14" i="10"/>
  <c r="H10" i="10"/>
  <c r="H6" i="10"/>
  <c r="G9" i="10"/>
  <c r="H13" i="10"/>
  <c r="H9" i="10"/>
  <c r="H16" i="10"/>
  <c r="H12" i="10"/>
  <c r="H8" i="10"/>
  <c r="H5" i="10"/>
  <c r="G15" i="10"/>
  <c r="G7" i="10"/>
  <c r="G14" i="10"/>
  <c r="G10" i="10"/>
  <c r="G6" i="10"/>
  <c r="G13" i="10"/>
  <c r="G5" i="10"/>
  <c r="G16" i="10"/>
  <c r="G12" i="10"/>
  <c r="G8" i="10"/>
  <c r="G11" i="10"/>
  <c r="C515" i="1"/>
  <c r="D515" i="1" s="1"/>
  <c r="C516" i="1"/>
  <c r="D516" i="1" s="1"/>
  <c r="C517" i="1"/>
  <c r="D517" i="1" s="1"/>
  <c r="C518" i="1"/>
  <c r="D518" i="1" s="1"/>
  <c r="C519" i="1"/>
  <c r="D519" i="1" s="1"/>
  <c r="C520" i="1"/>
  <c r="D520" i="1" s="1"/>
  <c r="C521" i="1"/>
  <c r="D521" i="1" s="1"/>
  <c r="C522" i="1"/>
  <c r="D522" i="1" s="1"/>
  <c r="C514" i="1"/>
  <c r="D514" i="1" s="1"/>
  <c r="E522" i="1" l="1"/>
  <c r="F522" i="1" s="1"/>
  <c r="L522" i="1" s="1"/>
  <c r="E518" i="1"/>
  <c r="F518" i="1" s="1"/>
  <c r="L518" i="1" s="1"/>
  <c r="E521" i="1"/>
  <c r="F521" i="1" s="1"/>
  <c r="L521" i="1" s="1"/>
  <c r="E517" i="1"/>
  <c r="F517" i="1" s="1"/>
  <c r="L517" i="1" s="1"/>
  <c r="E520" i="1"/>
  <c r="F520" i="1" s="1"/>
  <c r="L520" i="1" s="1"/>
  <c r="E516" i="1"/>
  <c r="F516" i="1" s="1"/>
  <c r="L516" i="1" s="1"/>
  <c r="E514" i="1"/>
  <c r="F514" i="1" s="1"/>
  <c r="L514" i="1" s="1"/>
  <c r="E519" i="1"/>
  <c r="F519" i="1" s="1"/>
  <c r="L519" i="1" s="1"/>
  <c r="E515" i="1"/>
  <c r="F515" i="1" s="1"/>
  <c r="L515" i="1" s="1"/>
  <c r="C504" i="1"/>
  <c r="D504" i="1" s="1"/>
  <c r="C505" i="1"/>
  <c r="D505" i="1" s="1"/>
  <c r="C506" i="1"/>
  <c r="D506" i="1" s="1"/>
  <c r="C507" i="1"/>
  <c r="D507" i="1" s="1"/>
  <c r="C508" i="1"/>
  <c r="D508" i="1" s="1"/>
  <c r="C509" i="1"/>
  <c r="D509" i="1" s="1"/>
  <c r="C510" i="1"/>
  <c r="D510" i="1" s="1"/>
  <c r="C511" i="1"/>
  <c r="D511" i="1" s="1"/>
  <c r="C512" i="1"/>
  <c r="D512" i="1" s="1"/>
  <c r="C513" i="1"/>
  <c r="D513" i="1" s="1"/>
  <c r="E509" i="1" l="1"/>
  <c r="F509" i="1" s="1"/>
  <c r="L509" i="1" s="1"/>
  <c r="E513" i="1"/>
  <c r="F513" i="1" s="1"/>
  <c r="L513" i="1" s="1"/>
  <c r="E505" i="1"/>
  <c r="F505" i="1" s="1"/>
  <c r="L505" i="1" s="1"/>
  <c r="E512" i="1"/>
  <c r="F512" i="1" s="1"/>
  <c r="L512" i="1" s="1"/>
  <c r="E508" i="1"/>
  <c r="F508" i="1" s="1"/>
  <c r="L508" i="1" s="1"/>
  <c r="E504" i="1"/>
  <c r="F504" i="1" s="1"/>
  <c r="L504" i="1" s="1"/>
  <c r="E511" i="1"/>
  <c r="F511" i="1" s="1"/>
  <c r="L511" i="1" s="1"/>
  <c r="E507" i="1"/>
  <c r="F507" i="1" s="1"/>
  <c r="L507" i="1" s="1"/>
  <c r="E510" i="1"/>
  <c r="F510" i="1" s="1"/>
  <c r="L510" i="1" s="1"/>
  <c r="E506" i="1"/>
  <c r="F506" i="1" s="1"/>
  <c r="L506" i="1" s="1"/>
  <c r="C495" i="1"/>
  <c r="D495" i="1" s="1"/>
  <c r="C496" i="1"/>
  <c r="D496" i="1" s="1"/>
  <c r="C497" i="1"/>
  <c r="D497" i="1" s="1"/>
  <c r="C498" i="1"/>
  <c r="D498" i="1" s="1"/>
  <c r="C499" i="1"/>
  <c r="D499" i="1" s="1"/>
  <c r="C500" i="1"/>
  <c r="D500" i="1" s="1"/>
  <c r="C501" i="1"/>
  <c r="D501" i="1" s="1"/>
  <c r="C502" i="1"/>
  <c r="D502" i="1" s="1"/>
  <c r="C503" i="1"/>
  <c r="D503" i="1" s="1"/>
  <c r="E502" i="1" l="1"/>
  <c r="F502" i="1" s="1"/>
  <c r="L502" i="1" s="1"/>
  <c r="E501" i="1"/>
  <c r="F501" i="1" s="1"/>
  <c r="L501" i="1" s="1"/>
  <c r="E500" i="1"/>
  <c r="F500" i="1" s="1"/>
  <c r="L500" i="1" s="1"/>
  <c r="E498" i="1"/>
  <c r="F498" i="1" s="1"/>
  <c r="L498" i="1" s="1"/>
  <c r="E497" i="1"/>
  <c r="F497" i="1" s="1"/>
  <c r="L497" i="1" s="1"/>
  <c r="E503" i="1"/>
  <c r="F503" i="1" s="1"/>
  <c r="L503" i="1" s="1"/>
  <c r="E496" i="1"/>
  <c r="F496" i="1" s="1"/>
  <c r="L496" i="1" s="1"/>
  <c r="E499" i="1"/>
  <c r="F499" i="1" s="1"/>
  <c r="L499" i="1" s="1"/>
  <c r="E495" i="1"/>
  <c r="F495" i="1" s="1"/>
  <c r="L495" i="1" s="1"/>
  <c r="C494" i="1"/>
  <c r="D494" i="1" s="1"/>
  <c r="E494" i="1" l="1"/>
  <c r="F494" i="1" s="1"/>
  <c r="L494" i="1" s="1"/>
  <c r="C485" i="1"/>
  <c r="D485" i="1" s="1"/>
  <c r="C486" i="1"/>
  <c r="D486" i="1" s="1"/>
  <c r="C487" i="1"/>
  <c r="D487" i="1" s="1"/>
  <c r="C488" i="1"/>
  <c r="D488" i="1" s="1"/>
  <c r="C489" i="1"/>
  <c r="D489" i="1" s="1"/>
  <c r="C490" i="1"/>
  <c r="D490" i="1" s="1"/>
  <c r="C491" i="1"/>
  <c r="D491" i="1" s="1"/>
  <c r="C492" i="1"/>
  <c r="D492" i="1" s="1"/>
  <c r="C493" i="1"/>
  <c r="D493" i="1" s="1"/>
  <c r="C484" i="1"/>
  <c r="D484" i="1" s="1"/>
  <c r="E490" i="1" l="1"/>
  <c r="F490" i="1" s="1"/>
  <c r="L490" i="1" s="1"/>
  <c r="E493" i="1"/>
  <c r="F493" i="1" s="1"/>
  <c r="L493" i="1" s="1"/>
  <c r="E488" i="1"/>
  <c r="F488" i="1" s="1"/>
  <c r="L488" i="1" s="1"/>
  <c r="E487" i="1"/>
  <c r="F487" i="1" s="1"/>
  <c r="L487" i="1" s="1"/>
  <c r="E486" i="1"/>
  <c r="F486" i="1" s="1"/>
  <c r="L486" i="1" s="1"/>
  <c r="E489" i="1"/>
  <c r="F489" i="1" s="1"/>
  <c r="L489" i="1" s="1"/>
  <c r="E485" i="1"/>
  <c r="F485" i="1" s="1"/>
  <c r="L485" i="1" s="1"/>
  <c r="E492" i="1"/>
  <c r="F492" i="1" s="1"/>
  <c r="L492" i="1" s="1"/>
  <c r="E484" i="1"/>
  <c r="F484" i="1" s="1"/>
  <c r="L484" i="1" s="1"/>
  <c r="E491" i="1"/>
  <c r="F491" i="1" s="1"/>
  <c r="L491" i="1" s="1"/>
  <c r="C474" i="1"/>
  <c r="D474" i="1" s="1"/>
  <c r="C475" i="1"/>
  <c r="D475" i="1" s="1"/>
  <c r="C476" i="1"/>
  <c r="D476" i="1" s="1"/>
  <c r="C477" i="1"/>
  <c r="D477" i="1" s="1"/>
  <c r="C478" i="1"/>
  <c r="D478" i="1" s="1"/>
  <c r="C479" i="1"/>
  <c r="D479" i="1" s="1"/>
  <c r="C480" i="1"/>
  <c r="D480" i="1" s="1"/>
  <c r="C481" i="1"/>
  <c r="D481" i="1" s="1"/>
  <c r="C482" i="1"/>
  <c r="D482" i="1" s="1"/>
  <c r="C483" i="1"/>
  <c r="D483" i="1" s="1"/>
  <c r="C473" i="1"/>
  <c r="D473" i="1" s="1"/>
  <c r="E477" i="1" l="1"/>
  <c r="F477" i="1" s="1"/>
  <c r="L477" i="1" s="1"/>
  <c r="E473" i="1"/>
  <c r="F473" i="1" s="1"/>
  <c r="L473" i="1" s="1"/>
  <c r="E476" i="1"/>
  <c r="F476" i="1" s="1"/>
  <c r="L476" i="1" s="1"/>
  <c r="E483" i="1"/>
  <c r="F483" i="1" s="1"/>
  <c r="L483" i="1" s="1"/>
  <c r="E475" i="1"/>
  <c r="F475" i="1" s="1"/>
  <c r="L475" i="1" s="1"/>
  <c r="E481" i="1"/>
  <c r="F481" i="1" s="1"/>
  <c r="L481" i="1" s="1"/>
  <c r="E480" i="1"/>
  <c r="F480" i="1" s="1"/>
  <c r="L480" i="1" s="1"/>
  <c r="E479" i="1"/>
  <c r="F479" i="1" s="1"/>
  <c r="L479" i="1" s="1"/>
  <c r="E482" i="1"/>
  <c r="F482" i="1" s="1"/>
  <c r="L482" i="1" s="1"/>
  <c r="E478" i="1"/>
  <c r="F478" i="1" s="1"/>
  <c r="L478" i="1" s="1"/>
  <c r="E474" i="1"/>
  <c r="F474" i="1" s="1"/>
  <c r="L474" i="1" s="1"/>
  <c r="C464" i="1"/>
  <c r="D464" i="1" s="1"/>
  <c r="C465" i="1"/>
  <c r="D465" i="1" s="1"/>
  <c r="C466" i="1"/>
  <c r="D466" i="1" s="1"/>
  <c r="C467" i="1"/>
  <c r="D467" i="1" s="1"/>
  <c r="C468" i="1"/>
  <c r="D468" i="1" s="1"/>
  <c r="C469" i="1"/>
  <c r="D469" i="1" s="1"/>
  <c r="C470" i="1"/>
  <c r="D470" i="1" s="1"/>
  <c r="C471" i="1"/>
  <c r="D471" i="1" s="1"/>
  <c r="C472" i="1"/>
  <c r="D472" i="1" s="1"/>
  <c r="E468" i="1" l="1"/>
  <c r="F468" i="1" s="1"/>
  <c r="L468" i="1" s="1"/>
  <c r="E469" i="1"/>
  <c r="F469" i="1" s="1"/>
  <c r="L469" i="1" s="1"/>
  <c r="E465" i="1"/>
  <c r="F465" i="1" s="1"/>
  <c r="L465" i="1" s="1"/>
  <c r="E472" i="1"/>
  <c r="F472" i="1" s="1"/>
  <c r="L472" i="1" s="1"/>
  <c r="E464" i="1"/>
  <c r="F464" i="1" s="1"/>
  <c r="L464" i="1" s="1"/>
  <c r="E467" i="1"/>
  <c r="F467" i="1" s="1"/>
  <c r="L467" i="1" s="1"/>
  <c r="E471" i="1"/>
  <c r="F471" i="1" s="1"/>
  <c r="L471" i="1" s="1"/>
  <c r="E470" i="1"/>
  <c r="F470" i="1" s="1"/>
  <c r="L470" i="1" s="1"/>
  <c r="E466" i="1"/>
  <c r="F466" i="1" s="1"/>
  <c r="L466" i="1" s="1"/>
  <c r="C463" i="1"/>
  <c r="D463" i="1" s="1"/>
  <c r="C453" i="1"/>
  <c r="D453" i="1" s="1"/>
  <c r="C454" i="1"/>
  <c r="D454" i="1" s="1"/>
  <c r="C455" i="1"/>
  <c r="C456" i="1"/>
  <c r="D456" i="1" s="1"/>
  <c r="C457" i="1"/>
  <c r="D457" i="1" s="1"/>
  <c r="C458" i="1"/>
  <c r="D458" i="1" s="1"/>
  <c r="C459" i="1"/>
  <c r="D459" i="1" s="1"/>
  <c r="C460" i="1"/>
  <c r="D460" i="1" s="1"/>
  <c r="C461" i="1"/>
  <c r="D461" i="1" s="1"/>
  <c r="C462" i="1"/>
  <c r="D462" i="1" s="1"/>
  <c r="D455" i="1"/>
  <c r="E461" i="1" l="1"/>
  <c r="F461" i="1" s="1"/>
  <c r="L461" i="1" s="1"/>
  <c r="E457" i="1"/>
  <c r="F457" i="1" s="1"/>
  <c r="L457" i="1" s="1"/>
  <c r="E453" i="1"/>
  <c r="F453" i="1" s="1"/>
  <c r="L453" i="1" s="1"/>
  <c r="E456" i="1"/>
  <c r="F456" i="1" s="1"/>
  <c r="L456" i="1" s="1"/>
  <c r="E460" i="1"/>
  <c r="F460" i="1" s="1"/>
  <c r="L460" i="1" s="1"/>
  <c r="E463" i="1"/>
  <c r="F463" i="1" s="1"/>
  <c r="L463" i="1" s="1"/>
  <c r="E455" i="1"/>
  <c r="F455" i="1" s="1"/>
  <c r="L455" i="1" s="1"/>
  <c r="E459" i="1"/>
  <c r="F459" i="1" s="1"/>
  <c r="L459" i="1" s="1"/>
  <c r="E462" i="1"/>
  <c r="F462" i="1" s="1"/>
  <c r="L462" i="1" s="1"/>
  <c r="E458" i="1"/>
  <c r="F458" i="1" s="1"/>
  <c r="L458" i="1" s="1"/>
  <c r="E454" i="1"/>
  <c r="F454" i="1" s="1"/>
  <c r="L454" i="1" s="1"/>
  <c r="C446" i="1"/>
  <c r="D446" i="1" s="1"/>
  <c r="C447" i="1"/>
  <c r="D447" i="1" s="1"/>
  <c r="C448" i="1"/>
  <c r="D448" i="1" s="1"/>
  <c r="C449" i="1"/>
  <c r="D449" i="1" s="1"/>
  <c r="C450" i="1"/>
  <c r="D450" i="1" s="1"/>
  <c r="C451" i="1"/>
  <c r="D451" i="1" s="1"/>
  <c r="C452" i="1"/>
  <c r="D452" i="1" s="1"/>
  <c r="C445" i="1"/>
  <c r="D445" i="1" s="1"/>
  <c r="C444" i="1"/>
  <c r="D444" i="1" s="1"/>
  <c r="E447" i="1" l="1"/>
  <c r="F447" i="1" s="1"/>
  <c r="L447" i="1" s="1"/>
  <c r="E444" i="1"/>
  <c r="F444" i="1" s="1"/>
  <c r="L444" i="1" s="1"/>
  <c r="E446" i="1"/>
  <c r="F446" i="1" s="1"/>
  <c r="L446" i="1" s="1"/>
  <c r="E449" i="1"/>
  <c r="F449" i="1" s="1"/>
  <c r="L449" i="1" s="1"/>
  <c r="E451" i="1"/>
  <c r="F451" i="1" s="1"/>
  <c r="L451" i="1" s="1"/>
  <c r="E450" i="1"/>
  <c r="F450" i="1" s="1"/>
  <c r="L450" i="1" s="1"/>
  <c r="E445" i="1"/>
  <c r="F445" i="1" s="1"/>
  <c r="L445" i="1" s="1"/>
  <c r="E452" i="1"/>
  <c r="F452" i="1" s="1"/>
  <c r="L452" i="1" s="1"/>
  <c r="E448" i="1"/>
  <c r="F448" i="1" s="1"/>
  <c r="L448" i="1" s="1"/>
  <c r="C432" i="1"/>
  <c r="D432" i="1" s="1"/>
  <c r="C433" i="1"/>
  <c r="D433" i="1" s="1"/>
  <c r="C434" i="1"/>
  <c r="D434" i="1" s="1"/>
  <c r="C435" i="1"/>
  <c r="D435" i="1" s="1"/>
  <c r="C436" i="1"/>
  <c r="D436" i="1" s="1"/>
  <c r="C437" i="1"/>
  <c r="D437" i="1" s="1"/>
  <c r="C438" i="1"/>
  <c r="D438" i="1" s="1"/>
  <c r="C439" i="1"/>
  <c r="D439" i="1" s="1"/>
  <c r="C440" i="1"/>
  <c r="D440" i="1" s="1"/>
  <c r="C441" i="1"/>
  <c r="D441" i="1" s="1"/>
  <c r="C442" i="1"/>
  <c r="D442" i="1" s="1"/>
  <c r="C443" i="1"/>
  <c r="D443" i="1" s="1"/>
  <c r="E441" i="1" l="1"/>
  <c r="F441" i="1" s="1"/>
  <c r="L441" i="1" s="1"/>
  <c r="E433" i="1"/>
  <c r="F433" i="1" s="1"/>
  <c r="L433" i="1" s="1"/>
  <c r="E436" i="1"/>
  <c r="F436" i="1" s="1"/>
  <c r="L436" i="1" s="1"/>
  <c r="E435" i="1"/>
  <c r="F435" i="1" s="1"/>
  <c r="L435" i="1" s="1"/>
  <c r="E437" i="1"/>
  <c r="F437" i="1" s="1"/>
  <c r="L437" i="1" s="1"/>
  <c r="E440" i="1"/>
  <c r="F440" i="1" s="1"/>
  <c r="L440" i="1" s="1"/>
  <c r="E432" i="1"/>
  <c r="F432" i="1" s="1"/>
  <c r="L432" i="1" s="1"/>
  <c r="E443" i="1"/>
  <c r="F443" i="1" s="1"/>
  <c r="L443" i="1" s="1"/>
  <c r="E439" i="1"/>
  <c r="F439" i="1" s="1"/>
  <c r="L439" i="1" s="1"/>
  <c r="E442" i="1"/>
  <c r="F442" i="1" s="1"/>
  <c r="L442" i="1" s="1"/>
  <c r="E438" i="1"/>
  <c r="F438" i="1" s="1"/>
  <c r="L438" i="1" s="1"/>
  <c r="E434" i="1"/>
  <c r="F434" i="1" s="1"/>
  <c r="L434" i="1" s="1"/>
  <c r="C422" i="1"/>
  <c r="D422" i="1" s="1"/>
  <c r="C423" i="1"/>
  <c r="D423" i="1" s="1"/>
  <c r="C424" i="1"/>
  <c r="D424" i="1" s="1"/>
  <c r="C425" i="1"/>
  <c r="D425" i="1" s="1"/>
  <c r="C426" i="1"/>
  <c r="D426" i="1" s="1"/>
  <c r="C427" i="1"/>
  <c r="D427" i="1" s="1"/>
  <c r="C428" i="1"/>
  <c r="D428" i="1" s="1"/>
  <c r="C429" i="1"/>
  <c r="D429" i="1" s="1"/>
  <c r="C430" i="1"/>
  <c r="D430" i="1" s="1"/>
  <c r="C431" i="1"/>
  <c r="D431" i="1" s="1"/>
  <c r="E425" i="1" l="1"/>
  <c r="F425" i="1" s="1"/>
  <c r="L425" i="1" s="1"/>
  <c r="E424" i="1"/>
  <c r="F424" i="1" s="1"/>
  <c r="L424" i="1" s="1"/>
  <c r="E423" i="1"/>
  <c r="F423" i="1" s="1"/>
  <c r="L423" i="1" s="1"/>
  <c r="E429" i="1"/>
  <c r="F429" i="1" s="1"/>
  <c r="L429" i="1" s="1"/>
  <c r="E428" i="1"/>
  <c r="F428" i="1" s="1"/>
  <c r="L428" i="1" s="1"/>
  <c r="E431" i="1"/>
  <c r="F431" i="1" s="1"/>
  <c r="L431" i="1" s="1"/>
  <c r="E427" i="1"/>
  <c r="F427" i="1" s="1"/>
  <c r="L427" i="1" s="1"/>
  <c r="E430" i="1"/>
  <c r="F430" i="1" s="1"/>
  <c r="L430" i="1" s="1"/>
  <c r="E426" i="1"/>
  <c r="F426" i="1" s="1"/>
  <c r="L426" i="1" s="1"/>
  <c r="E422" i="1"/>
  <c r="F422" i="1" s="1"/>
  <c r="L422" i="1" s="1"/>
  <c r="C421" i="1"/>
  <c r="D421" i="1" s="1"/>
  <c r="E421" i="1" l="1"/>
  <c r="F421" i="1" s="1"/>
  <c r="L421" i="1" s="1"/>
  <c r="C410" i="1"/>
  <c r="D410" i="1" s="1"/>
  <c r="C411" i="1"/>
  <c r="D411" i="1" s="1"/>
  <c r="C412" i="1"/>
  <c r="D412" i="1" s="1"/>
  <c r="C413" i="1"/>
  <c r="D413" i="1" s="1"/>
  <c r="C414" i="1"/>
  <c r="D414" i="1" s="1"/>
  <c r="C415" i="1"/>
  <c r="D415" i="1" s="1"/>
  <c r="C416" i="1"/>
  <c r="D416" i="1" s="1"/>
  <c r="C417" i="1"/>
  <c r="D417" i="1" s="1"/>
  <c r="C418" i="1"/>
  <c r="D418" i="1" s="1"/>
  <c r="C419" i="1"/>
  <c r="D419" i="1" s="1"/>
  <c r="C420" i="1"/>
  <c r="D420" i="1" s="1"/>
  <c r="E419" i="1" l="1"/>
  <c r="F419" i="1" s="1"/>
  <c r="L419" i="1" s="1"/>
  <c r="E411" i="1"/>
  <c r="F411" i="1" s="1"/>
  <c r="L411" i="1" s="1"/>
  <c r="E417" i="1"/>
  <c r="F417" i="1" s="1"/>
  <c r="L417" i="1" s="1"/>
  <c r="E415" i="1"/>
  <c r="F415" i="1" s="1"/>
  <c r="L415" i="1" s="1"/>
  <c r="E418" i="1"/>
  <c r="F418" i="1" s="1"/>
  <c r="L418" i="1" s="1"/>
  <c r="E414" i="1"/>
  <c r="F414" i="1" s="1"/>
  <c r="L414" i="1" s="1"/>
  <c r="E410" i="1"/>
  <c r="F410" i="1" s="1"/>
  <c r="L410" i="1" s="1"/>
  <c r="E413" i="1"/>
  <c r="F413" i="1" s="1"/>
  <c r="L413" i="1" s="1"/>
  <c r="E420" i="1"/>
  <c r="F420" i="1" s="1"/>
  <c r="L420" i="1" s="1"/>
  <c r="E416" i="1"/>
  <c r="F416" i="1" s="1"/>
  <c r="L416" i="1" s="1"/>
  <c r="E412" i="1"/>
  <c r="F412" i="1" s="1"/>
  <c r="L412" i="1" s="1"/>
  <c r="C402" i="1"/>
  <c r="D402" i="1" s="1"/>
  <c r="C403" i="1"/>
  <c r="D403" i="1" s="1"/>
  <c r="C404" i="1"/>
  <c r="D404" i="1" s="1"/>
  <c r="C405" i="1"/>
  <c r="D405" i="1" s="1"/>
  <c r="C406" i="1"/>
  <c r="D406" i="1" s="1"/>
  <c r="C407" i="1"/>
  <c r="D407" i="1" s="1"/>
  <c r="C408" i="1"/>
  <c r="D408" i="1" s="1"/>
  <c r="C409" i="1"/>
  <c r="D409" i="1" s="1"/>
  <c r="E403" i="1" l="1"/>
  <c r="F403" i="1" s="1"/>
  <c r="L403" i="1" s="1"/>
  <c r="E406" i="1"/>
  <c r="F406" i="1" s="1"/>
  <c r="L406" i="1" s="1"/>
  <c r="E405" i="1"/>
  <c r="F405" i="1" s="1"/>
  <c r="L405" i="1" s="1"/>
  <c r="E407" i="1"/>
  <c r="F407" i="1" s="1"/>
  <c r="L407" i="1" s="1"/>
  <c r="E402" i="1"/>
  <c r="F402" i="1" s="1"/>
  <c r="L402" i="1" s="1"/>
  <c r="E409" i="1"/>
  <c r="F409" i="1" s="1"/>
  <c r="L409" i="1" s="1"/>
  <c r="E408" i="1"/>
  <c r="F408" i="1" s="1"/>
  <c r="L408" i="1" s="1"/>
  <c r="E404" i="1"/>
  <c r="F404" i="1" s="1"/>
  <c r="L404" i="1" s="1"/>
  <c r="C391" i="1"/>
  <c r="D391" i="1" s="1"/>
  <c r="C392" i="1"/>
  <c r="D392" i="1" s="1"/>
  <c r="C393" i="1"/>
  <c r="D393" i="1" s="1"/>
  <c r="C394" i="1"/>
  <c r="D394" i="1" s="1"/>
  <c r="C395" i="1"/>
  <c r="D395" i="1" s="1"/>
  <c r="C396" i="1"/>
  <c r="D396" i="1" s="1"/>
  <c r="C397" i="1"/>
  <c r="D397" i="1" s="1"/>
  <c r="C398" i="1"/>
  <c r="D398" i="1" s="1"/>
  <c r="C399" i="1"/>
  <c r="D399" i="1" s="1"/>
  <c r="C400" i="1"/>
  <c r="D400" i="1" s="1"/>
  <c r="C401" i="1"/>
  <c r="D401" i="1" s="1"/>
  <c r="E398" i="1" l="1"/>
  <c r="F398" i="1" s="1"/>
  <c r="L398" i="1" s="1"/>
  <c r="E394" i="1"/>
  <c r="F394" i="1" s="1"/>
  <c r="L394" i="1" s="1"/>
  <c r="E401" i="1"/>
  <c r="F401" i="1" s="1"/>
  <c r="L401" i="1" s="1"/>
  <c r="E397" i="1"/>
  <c r="F397" i="1" s="1"/>
  <c r="L397" i="1" s="1"/>
  <c r="E393" i="1"/>
  <c r="F393" i="1" s="1"/>
  <c r="L393" i="1" s="1"/>
  <c r="E400" i="1"/>
  <c r="F400" i="1" s="1"/>
  <c r="L400" i="1" s="1"/>
  <c r="E396" i="1"/>
  <c r="F396" i="1" s="1"/>
  <c r="L396" i="1" s="1"/>
  <c r="E392" i="1"/>
  <c r="F392" i="1" s="1"/>
  <c r="L392" i="1" s="1"/>
  <c r="E399" i="1"/>
  <c r="F399" i="1" s="1"/>
  <c r="L399" i="1" s="1"/>
  <c r="E395" i="1"/>
  <c r="F395" i="1" s="1"/>
  <c r="L395" i="1" s="1"/>
  <c r="E391" i="1"/>
  <c r="F391" i="1" s="1"/>
  <c r="L391" i="1" s="1"/>
  <c r="C383" i="1"/>
  <c r="D383" i="1" s="1"/>
  <c r="C384" i="1"/>
  <c r="D384" i="1" s="1"/>
  <c r="C385" i="1"/>
  <c r="D385" i="1" s="1"/>
  <c r="C386" i="1"/>
  <c r="D386" i="1" s="1"/>
  <c r="C387" i="1"/>
  <c r="D387" i="1" s="1"/>
  <c r="C388" i="1"/>
  <c r="D388" i="1" s="1"/>
  <c r="C389" i="1"/>
  <c r="D389" i="1" s="1"/>
  <c r="C390" i="1"/>
  <c r="D390" i="1" s="1"/>
  <c r="E384" i="1" l="1"/>
  <c r="F384" i="1" s="1"/>
  <c r="L384" i="1" s="1"/>
  <c r="E388" i="1"/>
  <c r="F388" i="1" s="1"/>
  <c r="L388" i="1" s="1"/>
  <c r="E387" i="1"/>
  <c r="F387" i="1" s="1"/>
  <c r="L387" i="1" s="1"/>
  <c r="E383" i="1"/>
  <c r="F383" i="1" s="1"/>
  <c r="L383" i="1" s="1"/>
  <c r="E390" i="1"/>
  <c r="F390" i="1" s="1"/>
  <c r="L390" i="1" s="1"/>
  <c r="E386" i="1"/>
  <c r="F386" i="1" s="1"/>
  <c r="L386" i="1" s="1"/>
  <c r="E389" i="1"/>
  <c r="F389" i="1" s="1"/>
  <c r="L389" i="1" s="1"/>
  <c r="E385" i="1"/>
  <c r="F385" i="1" s="1"/>
  <c r="L385" i="1" s="1"/>
  <c r="C382" i="1"/>
  <c r="D382" i="1" s="1"/>
  <c r="C373" i="1"/>
  <c r="D373" i="1" s="1"/>
  <c r="C374" i="1"/>
  <c r="D374" i="1" s="1"/>
  <c r="C375" i="1"/>
  <c r="D375" i="1" s="1"/>
  <c r="C376" i="1"/>
  <c r="D376" i="1" s="1"/>
  <c r="C377" i="1"/>
  <c r="D377" i="1" s="1"/>
  <c r="C378" i="1"/>
  <c r="D378" i="1" s="1"/>
  <c r="C379" i="1"/>
  <c r="D379" i="1" s="1"/>
  <c r="C380" i="1"/>
  <c r="D380" i="1" s="1"/>
  <c r="C381" i="1"/>
  <c r="D381" i="1" s="1"/>
  <c r="E379" i="1" l="1"/>
  <c r="F379" i="1" s="1"/>
  <c r="L379" i="1" s="1"/>
  <c r="E378" i="1"/>
  <c r="F378" i="1" s="1"/>
  <c r="L378" i="1" s="1"/>
  <c r="E373" i="1"/>
  <c r="F373" i="1" s="1"/>
  <c r="L373" i="1" s="1"/>
  <c r="E375" i="1"/>
  <c r="F375" i="1" s="1"/>
  <c r="L375" i="1" s="1"/>
  <c r="E374" i="1"/>
  <c r="F374" i="1" s="1"/>
  <c r="L374" i="1" s="1"/>
  <c r="E381" i="1"/>
  <c r="F381" i="1" s="1"/>
  <c r="L381" i="1" s="1"/>
  <c r="E377" i="1"/>
  <c r="F377" i="1" s="1"/>
  <c r="L377" i="1" s="1"/>
  <c r="E380" i="1"/>
  <c r="F380" i="1" s="1"/>
  <c r="L380" i="1" s="1"/>
  <c r="E376" i="1"/>
  <c r="F376" i="1" s="1"/>
  <c r="L376" i="1" s="1"/>
  <c r="E382" i="1"/>
  <c r="F382" i="1" s="1"/>
  <c r="L382" i="1" s="1"/>
  <c r="C372" i="1"/>
  <c r="D372" i="1" s="1"/>
  <c r="C363" i="1"/>
  <c r="D363" i="1" s="1"/>
  <c r="C364" i="1"/>
  <c r="D364" i="1" s="1"/>
  <c r="C365" i="1"/>
  <c r="D365" i="1" s="1"/>
  <c r="C366" i="1"/>
  <c r="D366" i="1" s="1"/>
  <c r="C367" i="1"/>
  <c r="D367" i="1" s="1"/>
  <c r="C368" i="1"/>
  <c r="D368" i="1" s="1"/>
  <c r="C369" i="1"/>
  <c r="D369" i="1" s="1"/>
  <c r="C370" i="1"/>
  <c r="D370" i="1" s="1"/>
  <c r="C371" i="1"/>
  <c r="D371" i="1" s="1"/>
  <c r="C362" i="1"/>
  <c r="D362" i="1" s="1"/>
  <c r="E369" i="1" l="1"/>
  <c r="F369" i="1" s="1"/>
  <c r="L369" i="1" s="1"/>
  <c r="E368" i="1"/>
  <c r="F368" i="1" s="1"/>
  <c r="L368" i="1" s="1"/>
  <c r="E371" i="1"/>
  <c r="F371" i="1" s="1"/>
  <c r="L371" i="1" s="1"/>
  <c r="E363" i="1"/>
  <c r="F363" i="1" s="1"/>
  <c r="L363" i="1" s="1"/>
  <c r="E365" i="1"/>
  <c r="F365" i="1" s="1"/>
  <c r="L365" i="1" s="1"/>
  <c r="E362" i="1"/>
  <c r="F362" i="1" s="1"/>
  <c r="L362" i="1" s="1"/>
  <c r="E364" i="1"/>
  <c r="F364" i="1" s="1"/>
  <c r="L364" i="1" s="1"/>
  <c r="E367" i="1"/>
  <c r="F367" i="1" s="1"/>
  <c r="L367" i="1" s="1"/>
  <c r="E370" i="1"/>
  <c r="F370" i="1" s="1"/>
  <c r="L370" i="1" s="1"/>
  <c r="E366" i="1"/>
  <c r="F366" i="1" s="1"/>
  <c r="L366" i="1" s="1"/>
  <c r="E372" i="1"/>
  <c r="F372" i="1" s="1"/>
  <c r="L372" i="1" s="1"/>
  <c r="C353" i="1"/>
  <c r="D353" i="1" s="1"/>
  <c r="C354" i="1"/>
  <c r="D354" i="1" s="1"/>
  <c r="C355" i="1"/>
  <c r="D355" i="1" s="1"/>
  <c r="C356" i="1"/>
  <c r="D356" i="1" s="1"/>
  <c r="C357" i="1"/>
  <c r="D357" i="1" s="1"/>
  <c r="C358" i="1"/>
  <c r="D358" i="1" s="1"/>
  <c r="C359" i="1"/>
  <c r="D359" i="1" s="1"/>
  <c r="C360" i="1"/>
  <c r="D360" i="1" s="1"/>
  <c r="C361" i="1"/>
  <c r="D361" i="1" s="1"/>
  <c r="C352" i="1"/>
  <c r="D352" i="1" s="1"/>
  <c r="E358" i="1" l="1"/>
  <c r="F358" i="1" s="1"/>
  <c r="L358" i="1" s="1"/>
  <c r="E357" i="1"/>
  <c r="F357" i="1" s="1"/>
  <c r="L357" i="1" s="1"/>
  <c r="E360" i="1"/>
  <c r="F360" i="1" s="1"/>
  <c r="L360" i="1" s="1"/>
  <c r="E352" i="1"/>
  <c r="F352" i="1" s="1"/>
  <c r="L352" i="1" s="1"/>
  <c r="E354" i="1"/>
  <c r="F354" i="1" s="1"/>
  <c r="L354" i="1" s="1"/>
  <c r="E361" i="1"/>
  <c r="F361" i="1" s="1"/>
  <c r="L361" i="1" s="1"/>
  <c r="E353" i="1"/>
  <c r="F353" i="1" s="1"/>
  <c r="L353" i="1" s="1"/>
  <c r="E356" i="1"/>
  <c r="F356" i="1" s="1"/>
  <c r="L356" i="1" s="1"/>
  <c r="E359" i="1"/>
  <c r="F359" i="1" s="1"/>
  <c r="L359" i="1" s="1"/>
  <c r="E355" i="1"/>
  <c r="F355" i="1" s="1"/>
  <c r="L355" i="1" s="1"/>
  <c r="C343" i="1"/>
  <c r="D343" i="1" s="1"/>
  <c r="C344" i="1"/>
  <c r="D344" i="1" s="1"/>
  <c r="C345" i="1"/>
  <c r="D345" i="1" s="1"/>
  <c r="C346" i="1"/>
  <c r="D346" i="1" s="1"/>
  <c r="C347" i="1"/>
  <c r="D347" i="1" s="1"/>
  <c r="C348" i="1"/>
  <c r="D348" i="1" s="1"/>
  <c r="C349" i="1"/>
  <c r="D349" i="1" s="1"/>
  <c r="C350" i="1"/>
  <c r="D350" i="1" s="1"/>
  <c r="C351" i="1"/>
  <c r="D351" i="1" s="1"/>
  <c r="C342" i="1"/>
  <c r="D342" i="1" s="1"/>
  <c r="E345" i="1" l="1"/>
  <c r="F345" i="1" s="1"/>
  <c r="L345" i="1" s="1"/>
  <c r="E342" i="1"/>
  <c r="F342" i="1" s="1"/>
  <c r="L342" i="1" s="1"/>
  <c r="E344" i="1"/>
  <c r="F344" i="1" s="1"/>
  <c r="L344" i="1" s="1"/>
  <c r="E350" i="1"/>
  <c r="F350" i="1" s="1"/>
  <c r="L350" i="1" s="1"/>
  <c r="E346" i="1"/>
  <c r="F346" i="1" s="1"/>
  <c r="L346" i="1" s="1"/>
  <c r="E349" i="1"/>
  <c r="F349" i="1" s="1"/>
  <c r="L349" i="1" s="1"/>
  <c r="E348" i="1"/>
  <c r="F348" i="1" s="1"/>
  <c r="L348" i="1" s="1"/>
  <c r="E351" i="1"/>
  <c r="F351" i="1" s="1"/>
  <c r="L351" i="1" s="1"/>
  <c r="E347" i="1"/>
  <c r="F347" i="1" s="1"/>
  <c r="L347" i="1" s="1"/>
  <c r="E343" i="1"/>
  <c r="F343" i="1" s="1"/>
  <c r="L343" i="1" s="1"/>
  <c r="C332" i="1"/>
  <c r="D332" i="1" s="1"/>
  <c r="C333" i="1"/>
  <c r="D333" i="1" s="1"/>
  <c r="C334" i="1"/>
  <c r="D334" i="1" s="1"/>
  <c r="C335" i="1"/>
  <c r="D335" i="1" s="1"/>
  <c r="C336" i="1"/>
  <c r="D336" i="1" s="1"/>
  <c r="C337" i="1"/>
  <c r="D337" i="1" s="1"/>
  <c r="C338" i="1"/>
  <c r="D338" i="1" s="1"/>
  <c r="C339" i="1"/>
  <c r="D339" i="1" s="1"/>
  <c r="C340" i="1"/>
  <c r="D340" i="1" s="1"/>
  <c r="C341" i="1"/>
  <c r="D341" i="1" s="1"/>
  <c r="C331" i="1"/>
  <c r="D331" i="1" s="1"/>
  <c r="E339" i="1" l="1"/>
  <c r="F339" i="1" s="1"/>
  <c r="L339" i="1" s="1"/>
  <c r="E334" i="1"/>
  <c r="F334" i="1" s="1"/>
  <c r="L334" i="1" s="1"/>
  <c r="E333" i="1"/>
  <c r="F333" i="1" s="1"/>
  <c r="L333" i="1" s="1"/>
  <c r="E335" i="1"/>
  <c r="F335" i="1" s="1"/>
  <c r="L335" i="1" s="1"/>
  <c r="E331" i="1"/>
  <c r="F331" i="1" s="1"/>
  <c r="L331" i="1" s="1"/>
  <c r="E338" i="1"/>
  <c r="F338" i="1" s="1"/>
  <c r="L338" i="1" s="1"/>
  <c r="E341" i="1"/>
  <c r="F341" i="1" s="1"/>
  <c r="L341" i="1" s="1"/>
  <c r="E337" i="1"/>
  <c r="F337" i="1" s="1"/>
  <c r="L337" i="1" s="1"/>
  <c r="E340" i="1"/>
  <c r="F340" i="1" s="1"/>
  <c r="L340" i="1" s="1"/>
  <c r="E336" i="1"/>
  <c r="F336" i="1" s="1"/>
  <c r="L336" i="1" s="1"/>
  <c r="E332" i="1"/>
  <c r="F332" i="1" s="1"/>
  <c r="L332" i="1" s="1"/>
  <c r="C322" i="1"/>
  <c r="D322" i="1" s="1"/>
  <c r="C323" i="1"/>
  <c r="D323" i="1" s="1"/>
  <c r="C324" i="1"/>
  <c r="D324" i="1" s="1"/>
  <c r="C325" i="1"/>
  <c r="D325" i="1" s="1"/>
  <c r="C326" i="1"/>
  <c r="D326" i="1" s="1"/>
  <c r="C327" i="1"/>
  <c r="D327" i="1" s="1"/>
  <c r="C328" i="1"/>
  <c r="D328" i="1" s="1"/>
  <c r="C329" i="1"/>
  <c r="D329" i="1" s="1"/>
  <c r="C330" i="1"/>
  <c r="D330" i="1" s="1"/>
  <c r="C321" i="1"/>
  <c r="D321" i="1" s="1"/>
  <c r="E327" i="1" l="1"/>
  <c r="F327" i="1" s="1"/>
  <c r="L327" i="1" s="1"/>
  <c r="E326" i="1"/>
  <c r="F326" i="1" s="1"/>
  <c r="L326" i="1" s="1"/>
  <c r="E325" i="1"/>
  <c r="F325" i="1" s="1"/>
  <c r="L325" i="1" s="1"/>
  <c r="E322" i="1"/>
  <c r="F322" i="1" s="1"/>
  <c r="L322" i="1" s="1"/>
  <c r="E323" i="1"/>
  <c r="F323" i="1" s="1"/>
  <c r="L323" i="1" s="1"/>
  <c r="E330" i="1"/>
  <c r="F330" i="1" s="1"/>
  <c r="L330" i="1" s="1"/>
  <c r="E329" i="1"/>
  <c r="F329" i="1" s="1"/>
  <c r="L329" i="1" s="1"/>
  <c r="E321" i="1"/>
  <c r="F321" i="1" s="1"/>
  <c r="L321" i="1" s="1"/>
  <c r="E328" i="1"/>
  <c r="F328" i="1" s="1"/>
  <c r="L328" i="1" s="1"/>
  <c r="E324" i="1"/>
  <c r="F324" i="1" s="1"/>
  <c r="L324" i="1" s="1"/>
  <c r="C312" i="1"/>
  <c r="D312" i="1" s="1"/>
  <c r="C313" i="1"/>
  <c r="D313" i="1" s="1"/>
  <c r="C314" i="1"/>
  <c r="D314" i="1" s="1"/>
  <c r="C315" i="1"/>
  <c r="D315" i="1" s="1"/>
  <c r="C316" i="1"/>
  <c r="D316" i="1" s="1"/>
  <c r="C317" i="1"/>
  <c r="D317" i="1" s="1"/>
  <c r="C318" i="1"/>
  <c r="D318" i="1" s="1"/>
  <c r="C319" i="1"/>
  <c r="D319" i="1" s="1"/>
  <c r="C320" i="1"/>
  <c r="D320" i="1" s="1"/>
  <c r="C311" i="1"/>
  <c r="D311" i="1" s="1"/>
  <c r="E315" i="1" l="1"/>
  <c r="F315" i="1" s="1"/>
  <c r="L315" i="1" s="1"/>
  <c r="E314" i="1"/>
  <c r="F314" i="1" s="1"/>
  <c r="L314" i="1" s="1"/>
  <c r="E311" i="1"/>
  <c r="F311" i="1" s="1"/>
  <c r="L311" i="1" s="1"/>
  <c r="E313" i="1"/>
  <c r="F313" i="1" s="1"/>
  <c r="L313" i="1" s="1"/>
  <c r="E319" i="1"/>
  <c r="F319" i="1" s="1"/>
  <c r="L319" i="1" s="1"/>
  <c r="E318" i="1"/>
  <c r="F318" i="1" s="1"/>
  <c r="L318" i="1" s="1"/>
  <c r="E317" i="1"/>
  <c r="F317" i="1" s="1"/>
  <c r="L317" i="1" s="1"/>
  <c r="E320" i="1"/>
  <c r="F320" i="1" s="1"/>
  <c r="L320" i="1" s="1"/>
  <c r="E316" i="1"/>
  <c r="F316" i="1" s="1"/>
  <c r="L316" i="1" s="1"/>
  <c r="E312" i="1"/>
  <c r="F312" i="1" s="1"/>
  <c r="L312" i="1" s="1"/>
  <c r="C302" i="1"/>
  <c r="D302" i="1" s="1"/>
  <c r="C303" i="1"/>
  <c r="D303" i="1" s="1"/>
  <c r="C304" i="1"/>
  <c r="D304" i="1" s="1"/>
  <c r="C305" i="1"/>
  <c r="D305" i="1" s="1"/>
  <c r="C306" i="1"/>
  <c r="D306" i="1" s="1"/>
  <c r="C307" i="1"/>
  <c r="D307" i="1" s="1"/>
  <c r="C308" i="1"/>
  <c r="D308" i="1" s="1"/>
  <c r="C309" i="1"/>
  <c r="D309" i="1" s="1"/>
  <c r="C310" i="1"/>
  <c r="D310" i="1" s="1"/>
  <c r="C301" i="1"/>
  <c r="D301" i="1" s="1"/>
  <c r="E305" i="1" l="1"/>
  <c r="F305" i="1" s="1"/>
  <c r="L305" i="1" s="1"/>
  <c r="E308" i="1"/>
  <c r="F308" i="1" s="1"/>
  <c r="L308" i="1" s="1"/>
  <c r="E303" i="1"/>
  <c r="F303" i="1" s="1"/>
  <c r="L303" i="1" s="1"/>
  <c r="E309" i="1"/>
  <c r="F309" i="1" s="1"/>
  <c r="L309" i="1" s="1"/>
  <c r="E304" i="1"/>
  <c r="F304" i="1" s="1"/>
  <c r="L304" i="1" s="1"/>
  <c r="E301" i="1"/>
  <c r="F301" i="1" s="1"/>
  <c r="L301" i="1" s="1"/>
  <c r="E307" i="1"/>
  <c r="F307" i="1" s="1"/>
  <c r="L307" i="1" s="1"/>
  <c r="E310" i="1"/>
  <c r="F310" i="1" s="1"/>
  <c r="L310" i="1" s="1"/>
  <c r="E306" i="1"/>
  <c r="F306" i="1" s="1"/>
  <c r="L306" i="1" s="1"/>
  <c r="E302" i="1"/>
  <c r="F302" i="1" s="1"/>
  <c r="L302" i="1" s="1"/>
  <c r="C293" i="1"/>
  <c r="D293" i="1" s="1"/>
  <c r="C294" i="1"/>
  <c r="D294" i="1" s="1"/>
  <c r="C295" i="1"/>
  <c r="D295" i="1" s="1"/>
  <c r="C296" i="1"/>
  <c r="D296" i="1" s="1"/>
  <c r="C297" i="1"/>
  <c r="D297" i="1" s="1"/>
  <c r="C298" i="1"/>
  <c r="D298" i="1" s="1"/>
  <c r="C299" i="1"/>
  <c r="D299" i="1" s="1"/>
  <c r="C300" i="1"/>
  <c r="D300" i="1" s="1"/>
  <c r="C292" i="1"/>
  <c r="D292" i="1" s="1"/>
  <c r="E296" i="1" l="1"/>
  <c r="F296" i="1" s="1"/>
  <c r="L296" i="1" s="1"/>
  <c r="E299" i="1"/>
  <c r="F299" i="1" s="1"/>
  <c r="L299" i="1" s="1"/>
  <c r="E294" i="1"/>
  <c r="F294" i="1" s="1"/>
  <c r="L294" i="1" s="1"/>
  <c r="E300" i="1"/>
  <c r="F300" i="1" s="1"/>
  <c r="L300" i="1" s="1"/>
  <c r="E295" i="1"/>
  <c r="F295" i="1" s="1"/>
  <c r="L295" i="1" s="1"/>
  <c r="E298" i="1"/>
  <c r="F298" i="1" s="1"/>
  <c r="L298" i="1" s="1"/>
  <c r="E292" i="1"/>
  <c r="F292" i="1" s="1"/>
  <c r="L292" i="1" s="1"/>
  <c r="E297" i="1"/>
  <c r="F297" i="1" s="1"/>
  <c r="L297" i="1" s="1"/>
  <c r="E293" i="1"/>
  <c r="F293" i="1" s="1"/>
  <c r="L293" i="1" s="1"/>
  <c r="C283" i="1"/>
  <c r="D283" i="1" s="1"/>
  <c r="C284" i="1"/>
  <c r="D284" i="1" s="1"/>
  <c r="C285" i="1"/>
  <c r="D285" i="1" s="1"/>
  <c r="C286" i="1"/>
  <c r="D286" i="1" s="1"/>
  <c r="C287" i="1"/>
  <c r="D287" i="1" s="1"/>
  <c r="C288" i="1"/>
  <c r="D288" i="1" s="1"/>
  <c r="C289" i="1"/>
  <c r="D289" i="1" s="1"/>
  <c r="C290" i="1"/>
  <c r="D290" i="1" s="1"/>
  <c r="C291" i="1"/>
  <c r="D291" i="1" s="1"/>
  <c r="C282" i="1"/>
  <c r="D282" i="1" s="1"/>
  <c r="E282" i="1" l="1"/>
  <c r="F282" i="1" s="1"/>
  <c r="L282" i="1" s="1"/>
  <c r="E284" i="1"/>
  <c r="F284" i="1" s="1"/>
  <c r="L284" i="1" s="1"/>
  <c r="E283" i="1"/>
  <c r="F283" i="1" s="1"/>
  <c r="L283" i="1" s="1"/>
  <c r="E290" i="1"/>
  <c r="F290" i="1" s="1"/>
  <c r="L290" i="1" s="1"/>
  <c r="E288" i="1"/>
  <c r="F288" i="1" s="1"/>
  <c r="L288" i="1" s="1"/>
  <c r="E291" i="1"/>
  <c r="F291" i="1" s="1"/>
  <c r="L291" i="1" s="1"/>
  <c r="E287" i="1"/>
  <c r="F287" i="1" s="1"/>
  <c r="L287" i="1" s="1"/>
  <c r="E286" i="1"/>
  <c r="F286" i="1" s="1"/>
  <c r="L286" i="1" s="1"/>
  <c r="E289" i="1"/>
  <c r="F289" i="1" s="1"/>
  <c r="L289" i="1" s="1"/>
  <c r="E285" i="1"/>
  <c r="F285" i="1" s="1"/>
  <c r="L285" i="1" s="1"/>
  <c r="C274" i="1"/>
  <c r="C275" i="1"/>
  <c r="D275" i="1" s="1"/>
  <c r="C276" i="1"/>
  <c r="D276" i="1" s="1"/>
  <c r="C277" i="1"/>
  <c r="D277" i="1" s="1"/>
  <c r="C278" i="1"/>
  <c r="D278" i="1" s="1"/>
  <c r="C279" i="1"/>
  <c r="D279" i="1" s="1"/>
  <c r="C280" i="1"/>
  <c r="D280" i="1" s="1"/>
  <c r="C281" i="1"/>
  <c r="D281" i="1" s="1"/>
  <c r="D274" i="1"/>
  <c r="C273" i="1"/>
  <c r="D273" i="1" s="1"/>
  <c r="E281" i="1" l="1"/>
  <c r="F281" i="1" s="1"/>
  <c r="L281" i="1" s="1"/>
  <c r="E277" i="1"/>
  <c r="F277" i="1" s="1"/>
  <c r="L277" i="1" s="1"/>
  <c r="E280" i="1"/>
  <c r="F280" i="1" s="1"/>
  <c r="L280" i="1" s="1"/>
  <c r="E276" i="1"/>
  <c r="F276" i="1" s="1"/>
  <c r="L276" i="1" s="1"/>
  <c r="E273" i="1"/>
  <c r="F273" i="1" s="1"/>
  <c r="L273" i="1" s="1"/>
  <c r="E279" i="1"/>
  <c r="F279" i="1" s="1"/>
  <c r="L279" i="1" s="1"/>
  <c r="E275" i="1"/>
  <c r="F275" i="1" s="1"/>
  <c r="L275" i="1" s="1"/>
  <c r="E274" i="1"/>
  <c r="F274" i="1" s="1"/>
  <c r="L274" i="1" s="1"/>
  <c r="E278" i="1"/>
  <c r="F278" i="1" s="1"/>
  <c r="L278" i="1" s="1"/>
  <c r="C264" i="1"/>
  <c r="D264" i="1" s="1"/>
  <c r="C265" i="1"/>
  <c r="D265" i="1" s="1"/>
  <c r="C266" i="1"/>
  <c r="D266" i="1" s="1"/>
  <c r="C267" i="1"/>
  <c r="D267" i="1" s="1"/>
  <c r="C268" i="1"/>
  <c r="D268" i="1" s="1"/>
  <c r="C269" i="1"/>
  <c r="D269" i="1" s="1"/>
  <c r="C270" i="1"/>
  <c r="D270" i="1" s="1"/>
  <c r="C271" i="1"/>
  <c r="D271" i="1" s="1"/>
  <c r="C272" i="1"/>
  <c r="D272" i="1" s="1"/>
  <c r="C263" i="1"/>
  <c r="D263" i="1" s="1"/>
  <c r="E269" i="1" l="1"/>
  <c r="F269" i="1" s="1"/>
  <c r="L269" i="1" s="1"/>
  <c r="E263" i="1"/>
  <c r="F263" i="1" s="1"/>
  <c r="L263" i="1" s="1"/>
  <c r="E265" i="1"/>
  <c r="F265" i="1" s="1"/>
  <c r="L265" i="1" s="1"/>
  <c r="E272" i="1"/>
  <c r="F272" i="1" s="1"/>
  <c r="L272" i="1" s="1"/>
  <c r="E268" i="1"/>
  <c r="F268" i="1" s="1"/>
  <c r="L268" i="1" s="1"/>
  <c r="E264" i="1"/>
  <c r="F264" i="1" s="1"/>
  <c r="L264" i="1" s="1"/>
  <c r="E271" i="1"/>
  <c r="F271" i="1" s="1"/>
  <c r="L271" i="1" s="1"/>
  <c r="E267" i="1"/>
  <c r="F267" i="1" s="1"/>
  <c r="L267" i="1" s="1"/>
  <c r="E270" i="1"/>
  <c r="F270" i="1" s="1"/>
  <c r="L270" i="1" s="1"/>
  <c r="E266" i="1"/>
  <c r="F266" i="1" s="1"/>
  <c r="L266" i="1" s="1"/>
  <c r="C254" i="1"/>
  <c r="D254" i="1" s="1"/>
  <c r="C255" i="1"/>
  <c r="D255" i="1" s="1"/>
  <c r="C256" i="1"/>
  <c r="D256" i="1" s="1"/>
  <c r="C257" i="1"/>
  <c r="D257" i="1" s="1"/>
  <c r="C258" i="1"/>
  <c r="D258" i="1" s="1"/>
  <c r="C259" i="1"/>
  <c r="D259" i="1" s="1"/>
  <c r="C260" i="1"/>
  <c r="D260" i="1" s="1"/>
  <c r="C261" i="1"/>
  <c r="D261" i="1" s="1"/>
  <c r="C262" i="1"/>
  <c r="D262" i="1" s="1"/>
  <c r="C253" i="1"/>
  <c r="D253" i="1" s="1"/>
  <c r="E261" i="1" l="1"/>
  <c r="F261" i="1" s="1"/>
  <c r="L261" i="1" s="1"/>
  <c r="E256" i="1"/>
  <c r="F256" i="1" s="1"/>
  <c r="L256" i="1" s="1"/>
  <c r="E259" i="1"/>
  <c r="F259" i="1" s="1"/>
  <c r="L259" i="1" s="1"/>
  <c r="E255" i="1"/>
  <c r="F255" i="1" s="1"/>
  <c r="L255" i="1" s="1"/>
  <c r="E257" i="1"/>
  <c r="F257" i="1" s="1"/>
  <c r="L257" i="1" s="1"/>
  <c r="E260" i="1"/>
  <c r="F260" i="1" s="1"/>
  <c r="L260" i="1" s="1"/>
  <c r="E253" i="1"/>
  <c r="F253" i="1" s="1"/>
  <c r="L253" i="1" s="1"/>
  <c r="E262" i="1"/>
  <c r="F262" i="1" s="1"/>
  <c r="L262" i="1" s="1"/>
  <c r="E258" i="1"/>
  <c r="F258" i="1" s="1"/>
  <c r="L258" i="1" s="1"/>
  <c r="E254" i="1"/>
  <c r="F254" i="1" s="1"/>
  <c r="L254" i="1" s="1"/>
  <c r="C245" i="1"/>
  <c r="D245" i="1" s="1"/>
  <c r="C246" i="1"/>
  <c r="D246" i="1" s="1"/>
  <c r="C247" i="1"/>
  <c r="D247" i="1" s="1"/>
  <c r="C248" i="1"/>
  <c r="D248" i="1" s="1"/>
  <c r="C249" i="1"/>
  <c r="D249" i="1" s="1"/>
  <c r="C250" i="1"/>
  <c r="D250" i="1" s="1"/>
  <c r="C251" i="1"/>
  <c r="D251" i="1" s="1"/>
  <c r="C252" i="1"/>
  <c r="D252" i="1" s="1"/>
  <c r="C244" i="1"/>
  <c r="D244" i="1" s="1"/>
  <c r="E247" i="1" l="1"/>
  <c r="F247" i="1" s="1"/>
  <c r="L247" i="1" s="1"/>
  <c r="E246" i="1"/>
  <c r="F246" i="1" s="1"/>
  <c r="L246" i="1" s="1"/>
  <c r="E252" i="1"/>
  <c r="F252" i="1" s="1"/>
  <c r="L252" i="1" s="1"/>
  <c r="E248" i="1"/>
  <c r="F248" i="1" s="1"/>
  <c r="L248" i="1" s="1"/>
  <c r="E251" i="1"/>
  <c r="F251" i="1" s="1"/>
  <c r="L251" i="1" s="1"/>
  <c r="E250" i="1"/>
  <c r="F250" i="1" s="1"/>
  <c r="L250" i="1" s="1"/>
  <c r="E244" i="1"/>
  <c r="F244" i="1" s="1"/>
  <c r="L244" i="1" s="1"/>
  <c r="E249" i="1"/>
  <c r="F249" i="1" s="1"/>
  <c r="L249" i="1" s="1"/>
  <c r="E245" i="1"/>
  <c r="F245" i="1" s="1"/>
  <c r="L245" i="1" s="1"/>
  <c r="C235" i="1"/>
  <c r="D235" i="1" s="1"/>
  <c r="C236" i="1"/>
  <c r="D236" i="1" s="1"/>
  <c r="C237" i="1"/>
  <c r="D237" i="1" s="1"/>
  <c r="C238" i="1"/>
  <c r="D238" i="1" s="1"/>
  <c r="C239" i="1"/>
  <c r="D239" i="1" s="1"/>
  <c r="C240" i="1"/>
  <c r="D240" i="1" s="1"/>
  <c r="C241" i="1"/>
  <c r="D241" i="1" s="1"/>
  <c r="C242" i="1"/>
  <c r="D242" i="1" s="1"/>
  <c r="C243" i="1"/>
  <c r="D243" i="1" s="1"/>
  <c r="E236" i="1" l="1"/>
  <c r="F236" i="1" s="1"/>
  <c r="L236" i="1" s="1"/>
  <c r="E239" i="1"/>
  <c r="F239" i="1" s="1"/>
  <c r="L239" i="1" s="1"/>
  <c r="E238" i="1"/>
  <c r="F238" i="1" s="1"/>
  <c r="L238" i="1" s="1"/>
  <c r="E240" i="1"/>
  <c r="F240" i="1" s="1"/>
  <c r="L240" i="1" s="1"/>
  <c r="E243" i="1"/>
  <c r="F243" i="1" s="1"/>
  <c r="L243" i="1" s="1"/>
  <c r="E235" i="1"/>
  <c r="F235" i="1" s="1"/>
  <c r="L235" i="1" s="1"/>
  <c r="E242" i="1"/>
  <c r="F242" i="1" s="1"/>
  <c r="L242" i="1" s="1"/>
  <c r="E241" i="1"/>
  <c r="F241" i="1" s="1"/>
  <c r="L241" i="1" s="1"/>
  <c r="E237" i="1"/>
  <c r="F237" i="1" s="1"/>
  <c r="L237" i="1" s="1"/>
  <c r="C234" i="1"/>
  <c r="D234" i="1" s="1"/>
  <c r="C225" i="1"/>
  <c r="D225" i="1" s="1"/>
  <c r="C226" i="1"/>
  <c r="D226" i="1" s="1"/>
  <c r="C227" i="1"/>
  <c r="D227" i="1" s="1"/>
  <c r="C228" i="1"/>
  <c r="D228" i="1" s="1"/>
  <c r="C229" i="1"/>
  <c r="D229" i="1" s="1"/>
  <c r="C230" i="1"/>
  <c r="D230" i="1" s="1"/>
  <c r="C231" i="1"/>
  <c r="D231" i="1" s="1"/>
  <c r="C232" i="1"/>
  <c r="D232" i="1" s="1"/>
  <c r="C233" i="1"/>
  <c r="D233" i="1" s="1"/>
  <c r="C224" i="1"/>
  <c r="D224" i="1" s="1"/>
  <c r="E233" i="1" l="1"/>
  <c r="F233" i="1" s="1"/>
  <c r="L233" i="1" s="1"/>
  <c r="E232" i="1"/>
  <c r="F232" i="1" s="1"/>
  <c r="L232" i="1" s="1"/>
  <c r="E234" i="1"/>
  <c r="F234" i="1" s="1"/>
  <c r="L234" i="1" s="1"/>
  <c r="E227" i="1"/>
  <c r="F227" i="1" s="1"/>
  <c r="L227" i="1" s="1"/>
  <c r="E229" i="1"/>
  <c r="F229" i="1" s="1"/>
  <c r="L229" i="1" s="1"/>
  <c r="E225" i="1"/>
  <c r="F225" i="1" s="1"/>
  <c r="L225" i="1" s="1"/>
  <c r="E228" i="1"/>
  <c r="F228" i="1" s="1"/>
  <c r="L228" i="1" s="1"/>
  <c r="E231" i="1"/>
  <c r="F231" i="1" s="1"/>
  <c r="L231" i="1" s="1"/>
  <c r="E224" i="1"/>
  <c r="F224" i="1" s="1"/>
  <c r="L224" i="1" s="1"/>
  <c r="E230" i="1"/>
  <c r="F230" i="1" s="1"/>
  <c r="L230" i="1" s="1"/>
  <c r="E226" i="1"/>
  <c r="F226" i="1" s="1"/>
  <c r="L226" i="1" s="1"/>
  <c r="C214" i="1"/>
  <c r="D214" i="1" s="1"/>
  <c r="C215" i="1"/>
  <c r="D215" i="1" s="1"/>
  <c r="C216" i="1"/>
  <c r="D216" i="1" s="1"/>
  <c r="C217" i="1"/>
  <c r="D217" i="1" s="1"/>
  <c r="C218" i="1"/>
  <c r="D218" i="1" s="1"/>
  <c r="C219" i="1"/>
  <c r="D219" i="1" s="1"/>
  <c r="C220" i="1"/>
  <c r="D220" i="1" s="1"/>
  <c r="C221" i="1"/>
  <c r="D221" i="1" s="1"/>
  <c r="C222" i="1"/>
  <c r="D222" i="1" s="1"/>
  <c r="C223" i="1"/>
  <c r="D223" i="1" s="1"/>
  <c r="E219" i="1" l="1"/>
  <c r="F219" i="1" s="1"/>
  <c r="L219" i="1" s="1"/>
  <c r="E218" i="1"/>
  <c r="F218" i="1" s="1"/>
  <c r="L218" i="1" s="1"/>
  <c r="E217" i="1"/>
  <c r="F217" i="1" s="1"/>
  <c r="L217" i="1" s="1"/>
  <c r="E223" i="1"/>
  <c r="F223" i="1" s="1"/>
  <c r="L223" i="1" s="1"/>
  <c r="E215" i="1"/>
  <c r="F215" i="1" s="1"/>
  <c r="L215" i="1" s="1"/>
  <c r="E222" i="1"/>
  <c r="F222" i="1" s="1"/>
  <c r="L222" i="1" s="1"/>
  <c r="E214" i="1"/>
  <c r="F214" i="1" s="1"/>
  <c r="L214" i="1" s="1"/>
  <c r="E221" i="1"/>
  <c r="F221" i="1" s="1"/>
  <c r="L221" i="1" s="1"/>
  <c r="E220" i="1"/>
  <c r="F220" i="1" s="1"/>
  <c r="L220" i="1" s="1"/>
  <c r="E216" i="1"/>
  <c r="F216" i="1" s="1"/>
  <c r="L216" i="1" s="1"/>
  <c r="C203" i="1"/>
  <c r="D203" i="1" s="1"/>
  <c r="C204" i="1"/>
  <c r="D204" i="1" s="1"/>
  <c r="C205" i="1"/>
  <c r="D205" i="1" s="1"/>
  <c r="C206" i="1"/>
  <c r="D206" i="1" s="1"/>
  <c r="C207" i="1"/>
  <c r="D207" i="1" s="1"/>
  <c r="C208" i="1"/>
  <c r="D208" i="1" s="1"/>
  <c r="C209" i="1"/>
  <c r="D209" i="1" s="1"/>
  <c r="C210" i="1"/>
  <c r="D210" i="1" s="1"/>
  <c r="C211" i="1"/>
  <c r="D211" i="1" s="1"/>
  <c r="C212" i="1"/>
  <c r="D212" i="1" s="1"/>
  <c r="C213" i="1"/>
  <c r="D213" i="1" s="1"/>
  <c r="E210" i="1" l="1"/>
  <c r="F210" i="1" s="1"/>
  <c r="L210" i="1" s="1"/>
  <c r="E206" i="1"/>
  <c r="F206" i="1" s="1"/>
  <c r="L206" i="1" s="1"/>
  <c r="E213" i="1"/>
  <c r="F213" i="1" s="1"/>
  <c r="L213" i="1" s="1"/>
  <c r="E209" i="1"/>
  <c r="F209" i="1" s="1"/>
  <c r="L209" i="1" s="1"/>
  <c r="E205" i="1"/>
  <c r="F205" i="1" s="1"/>
  <c r="L205" i="1" s="1"/>
  <c r="E212" i="1"/>
  <c r="F212" i="1" s="1"/>
  <c r="L212" i="1" s="1"/>
  <c r="E208" i="1"/>
  <c r="F208" i="1" s="1"/>
  <c r="L208" i="1" s="1"/>
  <c r="E204" i="1"/>
  <c r="F204" i="1" s="1"/>
  <c r="L204" i="1" s="1"/>
  <c r="E211" i="1"/>
  <c r="F211" i="1" s="1"/>
  <c r="L211" i="1" s="1"/>
  <c r="E207" i="1"/>
  <c r="F207" i="1" s="1"/>
  <c r="L207" i="1" s="1"/>
  <c r="E203" i="1"/>
  <c r="F203" i="1" s="1"/>
  <c r="L203" i="1" s="1"/>
  <c r="C192" i="1"/>
  <c r="D192" i="1" s="1"/>
  <c r="C193" i="1"/>
  <c r="D193" i="1" s="1"/>
  <c r="C194" i="1"/>
  <c r="D194" i="1" s="1"/>
  <c r="C195" i="1"/>
  <c r="D195" i="1" s="1"/>
  <c r="C196" i="1"/>
  <c r="D196" i="1" s="1"/>
  <c r="C197" i="1"/>
  <c r="D197" i="1" s="1"/>
  <c r="C198" i="1"/>
  <c r="D198" i="1" s="1"/>
  <c r="C199" i="1"/>
  <c r="D199" i="1" s="1"/>
  <c r="C200" i="1"/>
  <c r="D200" i="1" s="1"/>
  <c r="C201" i="1"/>
  <c r="D201" i="1" s="1"/>
  <c r="C202" i="1"/>
  <c r="D202" i="1" s="1"/>
  <c r="E197" i="1" l="1"/>
  <c r="F197" i="1" s="1"/>
  <c r="L197" i="1" s="1"/>
  <c r="E192" i="1"/>
  <c r="F192" i="1" s="1"/>
  <c r="L192" i="1" s="1"/>
  <c r="E195" i="1"/>
  <c r="F195" i="1" s="1"/>
  <c r="L195" i="1" s="1"/>
  <c r="E201" i="1"/>
  <c r="F201" i="1" s="1"/>
  <c r="L201" i="1" s="1"/>
  <c r="E193" i="1"/>
  <c r="F193" i="1" s="1"/>
  <c r="L193" i="1" s="1"/>
  <c r="E200" i="1"/>
  <c r="F200" i="1" s="1"/>
  <c r="L200" i="1" s="1"/>
  <c r="E196" i="1"/>
  <c r="F196" i="1" s="1"/>
  <c r="L196" i="1" s="1"/>
  <c r="E199" i="1"/>
  <c r="F199" i="1" s="1"/>
  <c r="L199" i="1" s="1"/>
  <c r="E202" i="1"/>
  <c r="F202" i="1" s="1"/>
  <c r="L202" i="1" s="1"/>
  <c r="E198" i="1"/>
  <c r="F198" i="1" s="1"/>
  <c r="L198" i="1" s="1"/>
  <c r="E194" i="1"/>
  <c r="F194" i="1" s="1"/>
  <c r="L194" i="1" s="1"/>
  <c r="C182" i="1"/>
  <c r="D182" i="1" s="1"/>
  <c r="C183" i="1"/>
  <c r="D183" i="1" s="1"/>
  <c r="C184" i="1"/>
  <c r="D184" i="1" s="1"/>
  <c r="C185" i="1"/>
  <c r="D185" i="1" s="1"/>
  <c r="C186" i="1"/>
  <c r="D186" i="1" s="1"/>
  <c r="C187" i="1"/>
  <c r="D187" i="1" s="1"/>
  <c r="C188" i="1"/>
  <c r="D188" i="1" s="1"/>
  <c r="C189" i="1"/>
  <c r="D189" i="1" s="1"/>
  <c r="C190" i="1"/>
  <c r="D190" i="1" s="1"/>
  <c r="C191" i="1"/>
  <c r="D191" i="1" s="1"/>
  <c r="E183" i="1" l="1"/>
  <c r="F183" i="1" s="1"/>
  <c r="L183" i="1" s="1"/>
  <c r="E186" i="1"/>
  <c r="F186" i="1" s="1"/>
  <c r="L186" i="1" s="1"/>
  <c r="E189" i="1"/>
  <c r="F189" i="1" s="1"/>
  <c r="L189" i="1" s="1"/>
  <c r="E191" i="1"/>
  <c r="F191" i="1" s="1"/>
  <c r="L191" i="1" s="1"/>
  <c r="E187" i="1"/>
  <c r="F187" i="1" s="1"/>
  <c r="L187" i="1" s="1"/>
  <c r="E190" i="1"/>
  <c r="F190" i="1" s="1"/>
  <c r="L190" i="1" s="1"/>
  <c r="E182" i="1"/>
  <c r="F182" i="1" s="1"/>
  <c r="L182" i="1" s="1"/>
  <c r="E185" i="1"/>
  <c r="F185" i="1" s="1"/>
  <c r="L185" i="1" s="1"/>
  <c r="E188" i="1"/>
  <c r="F188" i="1" s="1"/>
  <c r="L188" i="1" s="1"/>
  <c r="E184" i="1"/>
  <c r="F184" i="1" s="1"/>
  <c r="L184" i="1" s="1"/>
  <c r="C181" i="1"/>
  <c r="D181" i="1" s="1"/>
  <c r="C172" i="1"/>
  <c r="D172" i="1" s="1"/>
  <c r="C173" i="1"/>
  <c r="D173" i="1" s="1"/>
  <c r="C174" i="1"/>
  <c r="D174" i="1" s="1"/>
  <c r="C175" i="1"/>
  <c r="D175" i="1" s="1"/>
  <c r="C176" i="1"/>
  <c r="D176" i="1" s="1"/>
  <c r="C177" i="1"/>
  <c r="D177" i="1" s="1"/>
  <c r="C178" i="1"/>
  <c r="D178" i="1" s="1"/>
  <c r="C179" i="1"/>
  <c r="D179" i="1" s="1"/>
  <c r="C180" i="1"/>
  <c r="D180" i="1" s="1"/>
  <c r="E174" i="1" l="1"/>
  <c r="F174" i="1" s="1"/>
  <c r="L174" i="1" s="1"/>
  <c r="E177" i="1"/>
  <c r="F177" i="1" s="1"/>
  <c r="L177" i="1" s="1"/>
  <c r="E176" i="1"/>
  <c r="F176" i="1" s="1"/>
  <c r="L176" i="1" s="1"/>
  <c r="E172" i="1"/>
  <c r="F172" i="1" s="1"/>
  <c r="L172" i="1" s="1"/>
  <c r="E178" i="1"/>
  <c r="F178" i="1" s="1"/>
  <c r="L178" i="1" s="1"/>
  <c r="E173" i="1"/>
  <c r="F173" i="1" s="1"/>
  <c r="L173" i="1" s="1"/>
  <c r="E180" i="1"/>
  <c r="F180" i="1" s="1"/>
  <c r="L180" i="1" s="1"/>
  <c r="E179" i="1"/>
  <c r="F179" i="1" s="1"/>
  <c r="L179" i="1" s="1"/>
  <c r="E175" i="1"/>
  <c r="F175" i="1" s="1"/>
  <c r="L175" i="1" s="1"/>
  <c r="E181" i="1"/>
  <c r="F181" i="1" s="1"/>
  <c r="L181" i="1" s="1"/>
  <c r="C171" i="1"/>
  <c r="D171" i="1" s="1"/>
  <c r="C161" i="1"/>
  <c r="D161" i="1" s="1"/>
  <c r="C162" i="1"/>
  <c r="D162" i="1" s="1"/>
  <c r="C163" i="1"/>
  <c r="D163" i="1" s="1"/>
  <c r="C164" i="1"/>
  <c r="D164" i="1" s="1"/>
  <c r="C165" i="1"/>
  <c r="D165" i="1" s="1"/>
  <c r="C166" i="1"/>
  <c r="D166" i="1" s="1"/>
  <c r="C167" i="1"/>
  <c r="D167" i="1" s="1"/>
  <c r="C168" i="1"/>
  <c r="D168" i="1" s="1"/>
  <c r="C169" i="1"/>
  <c r="D169" i="1" s="1"/>
  <c r="C170" i="1"/>
  <c r="D170" i="1" s="1"/>
  <c r="C160" i="1"/>
  <c r="D160" i="1" s="1"/>
  <c r="E167" i="1" l="1"/>
  <c r="F167" i="1" s="1"/>
  <c r="L167" i="1" s="1"/>
  <c r="E166" i="1"/>
  <c r="F166" i="1" s="1"/>
  <c r="L166" i="1" s="1"/>
  <c r="E169" i="1"/>
  <c r="F169" i="1" s="1"/>
  <c r="L169" i="1" s="1"/>
  <c r="E161" i="1"/>
  <c r="F161" i="1" s="1"/>
  <c r="L161" i="1" s="1"/>
  <c r="E160" i="1"/>
  <c r="F160" i="1" s="1"/>
  <c r="L160" i="1" s="1"/>
  <c r="E163" i="1"/>
  <c r="F163" i="1" s="1"/>
  <c r="L163" i="1" s="1"/>
  <c r="E170" i="1"/>
  <c r="F170" i="1" s="1"/>
  <c r="L170" i="1" s="1"/>
  <c r="E162" i="1"/>
  <c r="F162" i="1" s="1"/>
  <c r="L162" i="1" s="1"/>
  <c r="E165" i="1"/>
  <c r="F165" i="1" s="1"/>
  <c r="L165" i="1" s="1"/>
  <c r="E168" i="1"/>
  <c r="F168" i="1" s="1"/>
  <c r="L168" i="1" s="1"/>
  <c r="E164" i="1"/>
  <c r="F164" i="1" s="1"/>
  <c r="L164" i="1" s="1"/>
  <c r="E171" i="1"/>
  <c r="F171" i="1" s="1"/>
  <c r="L171" i="1" s="1"/>
  <c r="C151" i="1"/>
  <c r="D151" i="1" s="1"/>
  <c r="C152" i="1"/>
  <c r="D152" i="1" s="1"/>
  <c r="C153" i="1"/>
  <c r="D153" i="1" s="1"/>
  <c r="C154" i="1"/>
  <c r="D154" i="1" s="1"/>
  <c r="C155" i="1"/>
  <c r="D155" i="1" s="1"/>
  <c r="C156" i="1"/>
  <c r="D156" i="1" s="1"/>
  <c r="C157" i="1"/>
  <c r="D157" i="1" s="1"/>
  <c r="C158" i="1"/>
  <c r="D158" i="1" s="1"/>
  <c r="C159" i="1"/>
  <c r="D159" i="1" s="1"/>
  <c r="E158" i="1" l="1"/>
  <c r="F158" i="1" s="1"/>
  <c r="L158" i="1" s="1"/>
  <c r="E153" i="1"/>
  <c r="F153" i="1" s="1"/>
  <c r="L153" i="1" s="1"/>
  <c r="E156" i="1"/>
  <c r="F156" i="1" s="1"/>
  <c r="L156" i="1" s="1"/>
  <c r="E152" i="1"/>
  <c r="F152" i="1" s="1"/>
  <c r="L152" i="1" s="1"/>
  <c r="E154" i="1"/>
  <c r="F154" i="1" s="1"/>
  <c r="L154" i="1" s="1"/>
  <c r="E157" i="1"/>
  <c r="F157" i="1" s="1"/>
  <c r="L157" i="1" s="1"/>
  <c r="E159" i="1"/>
  <c r="F159" i="1" s="1"/>
  <c r="L159" i="1" s="1"/>
  <c r="E155" i="1"/>
  <c r="F155" i="1" s="1"/>
  <c r="L155" i="1" s="1"/>
  <c r="E151" i="1"/>
  <c r="F151" i="1" s="1"/>
  <c r="L151" i="1" s="1"/>
  <c r="C150" i="1"/>
  <c r="D150" i="1" s="1"/>
  <c r="C139" i="1"/>
  <c r="D139" i="1" s="1"/>
  <c r="C140" i="1"/>
  <c r="D140" i="1" s="1"/>
  <c r="C141" i="1"/>
  <c r="D141" i="1" s="1"/>
  <c r="C142" i="1"/>
  <c r="D142" i="1" s="1"/>
  <c r="C143" i="1"/>
  <c r="D143" i="1" s="1"/>
  <c r="C144" i="1"/>
  <c r="D144" i="1" s="1"/>
  <c r="C145" i="1"/>
  <c r="D145" i="1" s="1"/>
  <c r="C146" i="1"/>
  <c r="D146" i="1" s="1"/>
  <c r="C147" i="1"/>
  <c r="D147" i="1" s="1"/>
  <c r="C148" i="1"/>
  <c r="D148" i="1" s="1"/>
  <c r="C149" i="1"/>
  <c r="D149" i="1" s="1"/>
  <c r="C130" i="1"/>
  <c r="D130" i="1" s="1"/>
  <c r="C131" i="1"/>
  <c r="D131" i="1" s="1"/>
  <c r="C132" i="1"/>
  <c r="D132" i="1" s="1"/>
  <c r="C133" i="1"/>
  <c r="D133" i="1" s="1"/>
  <c r="C134" i="1"/>
  <c r="D134" i="1" s="1"/>
  <c r="C135" i="1"/>
  <c r="D135" i="1" s="1"/>
  <c r="C136" i="1"/>
  <c r="D136" i="1" s="1"/>
  <c r="C137" i="1"/>
  <c r="D137" i="1" s="1"/>
  <c r="C138" i="1"/>
  <c r="D138" i="1" s="1"/>
  <c r="C120" i="1"/>
  <c r="D120" i="1" s="1"/>
  <c r="C121" i="1"/>
  <c r="D121" i="1" s="1"/>
  <c r="C122" i="1"/>
  <c r="D122" i="1" s="1"/>
  <c r="C123" i="1"/>
  <c r="D123" i="1" s="1"/>
  <c r="C124" i="1"/>
  <c r="D124" i="1" s="1"/>
  <c r="C125" i="1"/>
  <c r="D125" i="1" s="1"/>
  <c r="C126" i="1"/>
  <c r="D126" i="1" s="1"/>
  <c r="C127" i="1"/>
  <c r="D127" i="1" s="1"/>
  <c r="C128" i="1"/>
  <c r="D128" i="1" s="1"/>
  <c r="C129" i="1"/>
  <c r="D129" i="1" s="1"/>
  <c r="E128" i="1" l="1"/>
  <c r="F128" i="1" s="1"/>
  <c r="L128" i="1" s="1"/>
  <c r="E124" i="1"/>
  <c r="F124" i="1" s="1"/>
  <c r="L124" i="1" s="1"/>
  <c r="E120" i="1"/>
  <c r="F120" i="1" s="1"/>
  <c r="L120" i="1" s="1"/>
  <c r="E135" i="1"/>
  <c r="F135" i="1" s="1"/>
  <c r="L135" i="1" s="1"/>
  <c r="E131" i="1"/>
  <c r="F131" i="1" s="1"/>
  <c r="L131" i="1" s="1"/>
  <c r="E147" i="1"/>
  <c r="F147" i="1" s="1"/>
  <c r="L147" i="1" s="1"/>
  <c r="E143" i="1"/>
  <c r="F143" i="1" s="1"/>
  <c r="L143" i="1" s="1"/>
  <c r="E139" i="1"/>
  <c r="F139" i="1" s="1"/>
  <c r="L139" i="1" s="1"/>
  <c r="E127" i="1"/>
  <c r="F127" i="1" s="1"/>
  <c r="L127" i="1" s="1"/>
  <c r="E123" i="1"/>
  <c r="F123" i="1" s="1"/>
  <c r="L123" i="1" s="1"/>
  <c r="E138" i="1"/>
  <c r="F138" i="1" s="1"/>
  <c r="L138" i="1" s="1"/>
  <c r="E134" i="1"/>
  <c r="F134" i="1" s="1"/>
  <c r="L134" i="1" s="1"/>
  <c r="E130" i="1"/>
  <c r="F130" i="1" s="1"/>
  <c r="L130" i="1" s="1"/>
  <c r="E146" i="1"/>
  <c r="F146" i="1" s="1"/>
  <c r="L146" i="1" s="1"/>
  <c r="E142" i="1"/>
  <c r="F142" i="1" s="1"/>
  <c r="L142" i="1" s="1"/>
  <c r="E150" i="1"/>
  <c r="F150" i="1" s="1"/>
  <c r="L150" i="1" s="1"/>
  <c r="E126" i="1"/>
  <c r="F126" i="1" s="1"/>
  <c r="L126" i="1" s="1"/>
  <c r="E122" i="1"/>
  <c r="F122" i="1" s="1"/>
  <c r="L122" i="1" s="1"/>
  <c r="E137" i="1"/>
  <c r="F137" i="1" s="1"/>
  <c r="L137" i="1" s="1"/>
  <c r="E133" i="1"/>
  <c r="F133" i="1" s="1"/>
  <c r="L133" i="1" s="1"/>
  <c r="E149" i="1"/>
  <c r="F149" i="1" s="1"/>
  <c r="L149" i="1" s="1"/>
  <c r="E145" i="1"/>
  <c r="F145" i="1" s="1"/>
  <c r="L145" i="1" s="1"/>
  <c r="E141" i="1"/>
  <c r="F141" i="1" s="1"/>
  <c r="L141" i="1" s="1"/>
  <c r="E129" i="1"/>
  <c r="F129" i="1" s="1"/>
  <c r="L129" i="1" s="1"/>
  <c r="E125" i="1"/>
  <c r="F125" i="1" s="1"/>
  <c r="L125" i="1" s="1"/>
  <c r="E121" i="1"/>
  <c r="F121" i="1" s="1"/>
  <c r="L121" i="1" s="1"/>
  <c r="E136" i="1"/>
  <c r="F136" i="1" s="1"/>
  <c r="L136" i="1" s="1"/>
  <c r="E132" i="1"/>
  <c r="F132" i="1" s="1"/>
  <c r="L132" i="1" s="1"/>
  <c r="E148" i="1"/>
  <c r="F148" i="1" s="1"/>
  <c r="L148" i="1" s="1"/>
  <c r="E144" i="1"/>
  <c r="F144" i="1" s="1"/>
  <c r="L144" i="1" s="1"/>
  <c r="E140" i="1"/>
  <c r="F140" i="1" s="1"/>
  <c r="L140" i="1" s="1"/>
  <c r="C111" i="1"/>
  <c r="D111" i="1" s="1"/>
  <c r="C112" i="1"/>
  <c r="D112" i="1" s="1"/>
  <c r="C113" i="1"/>
  <c r="D113" i="1" s="1"/>
  <c r="C114" i="1"/>
  <c r="D114" i="1" s="1"/>
  <c r="C115" i="1"/>
  <c r="D115" i="1" s="1"/>
  <c r="C116" i="1"/>
  <c r="D116" i="1" s="1"/>
  <c r="C117" i="1"/>
  <c r="D117" i="1" s="1"/>
  <c r="C118" i="1"/>
  <c r="D118" i="1" s="1"/>
  <c r="C119" i="1"/>
  <c r="D119" i="1" s="1"/>
  <c r="E116" i="1" l="1"/>
  <c r="F116" i="1" s="1"/>
  <c r="L116" i="1" s="1"/>
  <c r="E115" i="1"/>
  <c r="F115" i="1" s="1"/>
  <c r="L115" i="1" s="1"/>
  <c r="E118" i="1"/>
  <c r="F118" i="1" s="1"/>
  <c r="L118" i="1" s="1"/>
  <c r="E112" i="1"/>
  <c r="F112" i="1" s="1"/>
  <c r="L112" i="1" s="1"/>
  <c r="E119" i="1"/>
  <c r="F119" i="1" s="1"/>
  <c r="L119" i="1" s="1"/>
  <c r="E111" i="1"/>
  <c r="F111" i="1" s="1"/>
  <c r="L111" i="1" s="1"/>
  <c r="E114" i="1"/>
  <c r="F114" i="1" s="1"/>
  <c r="L114" i="1" s="1"/>
  <c r="E117" i="1"/>
  <c r="F117" i="1" s="1"/>
  <c r="L117" i="1" s="1"/>
  <c r="E113" i="1"/>
  <c r="F113" i="1" s="1"/>
  <c r="L113" i="1" s="1"/>
  <c r="C101" i="1"/>
  <c r="D101" i="1" s="1"/>
  <c r="C102" i="1"/>
  <c r="D102" i="1" s="1"/>
  <c r="C103" i="1"/>
  <c r="D103" i="1" s="1"/>
  <c r="C104" i="1"/>
  <c r="D104" i="1" s="1"/>
  <c r="C105" i="1"/>
  <c r="D105" i="1" s="1"/>
  <c r="C106" i="1"/>
  <c r="D106" i="1" s="1"/>
  <c r="C107" i="1"/>
  <c r="D107" i="1" s="1"/>
  <c r="C108" i="1"/>
  <c r="D108" i="1" s="1"/>
  <c r="C109" i="1"/>
  <c r="D109" i="1" s="1"/>
  <c r="C110" i="1"/>
  <c r="D110" i="1" s="1"/>
  <c r="E110" i="1" l="1"/>
  <c r="F110" i="1" s="1"/>
  <c r="L110" i="1" s="1"/>
  <c r="E102" i="1"/>
  <c r="F102" i="1" s="1"/>
  <c r="L102" i="1" s="1"/>
  <c r="E105" i="1"/>
  <c r="F105" i="1" s="1"/>
  <c r="L105" i="1" s="1"/>
  <c r="E104" i="1"/>
  <c r="F104" i="1" s="1"/>
  <c r="L104" i="1" s="1"/>
  <c r="E106" i="1"/>
  <c r="F106" i="1" s="1"/>
  <c r="L106" i="1" s="1"/>
  <c r="E109" i="1"/>
  <c r="F109" i="1" s="1"/>
  <c r="L109" i="1" s="1"/>
  <c r="E101" i="1"/>
  <c r="F101" i="1" s="1"/>
  <c r="L101" i="1" s="1"/>
  <c r="E108" i="1"/>
  <c r="F108" i="1" s="1"/>
  <c r="L108" i="1" s="1"/>
  <c r="E107" i="1"/>
  <c r="F107" i="1" s="1"/>
  <c r="L107" i="1" s="1"/>
  <c r="E103" i="1"/>
  <c r="F103" i="1" s="1"/>
  <c r="L103" i="1" s="1"/>
  <c r="C2" i="1"/>
  <c r="D2" i="1" s="1"/>
  <c r="C3" i="1"/>
  <c r="D3" i="1" s="1"/>
  <c r="C4" i="1"/>
  <c r="D4" i="1" s="1"/>
  <c r="C5" i="1"/>
  <c r="D5" i="1" s="1"/>
  <c r="C6" i="1"/>
  <c r="D6" i="1" s="1"/>
  <c r="C7" i="1"/>
  <c r="D7" i="1" s="1"/>
  <c r="C8" i="1"/>
  <c r="D8" i="1" s="1"/>
  <c r="C9" i="1"/>
  <c r="D9" i="1" s="1"/>
  <c r="C10" i="1"/>
  <c r="D10" i="1" s="1"/>
  <c r="C11" i="1"/>
  <c r="D11" i="1" s="1"/>
  <c r="C12" i="1"/>
  <c r="D12" i="1" s="1"/>
  <c r="C13" i="1"/>
  <c r="D13" i="1" s="1"/>
  <c r="C14" i="1"/>
  <c r="D14" i="1" s="1"/>
  <c r="C15" i="1"/>
  <c r="D15" i="1" s="1"/>
  <c r="C16" i="1"/>
  <c r="D16" i="1" s="1"/>
  <c r="C17" i="1"/>
  <c r="D17" i="1" s="1"/>
  <c r="C18" i="1"/>
  <c r="D18" i="1" s="1"/>
  <c r="C19" i="1"/>
  <c r="D19" i="1" s="1"/>
  <c r="C20" i="1"/>
  <c r="D20" i="1" s="1"/>
  <c r="C21" i="1"/>
  <c r="D21" i="1" s="1"/>
  <c r="C22" i="1"/>
  <c r="D22" i="1" s="1"/>
  <c r="C23" i="1"/>
  <c r="D23" i="1" s="1"/>
  <c r="C24" i="1"/>
  <c r="D24" i="1" s="1"/>
  <c r="C25" i="1"/>
  <c r="D25" i="1" s="1"/>
  <c r="C26" i="1"/>
  <c r="D26" i="1" s="1"/>
  <c r="C27" i="1"/>
  <c r="D27" i="1" s="1"/>
  <c r="C28" i="1"/>
  <c r="D28" i="1" s="1"/>
  <c r="C29" i="1"/>
  <c r="D29" i="1" s="1"/>
  <c r="C30" i="1"/>
  <c r="D30" i="1" s="1"/>
  <c r="C31" i="1"/>
  <c r="D31" i="1" s="1"/>
  <c r="C32" i="1"/>
  <c r="D32" i="1" s="1"/>
  <c r="C33" i="1"/>
  <c r="D33" i="1" s="1"/>
  <c r="C34" i="1"/>
  <c r="D34" i="1" s="1"/>
  <c r="C35" i="1"/>
  <c r="D35" i="1" s="1"/>
  <c r="C36" i="1"/>
  <c r="D36" i="1" s="1"/>
  <c r="C37" i="1"/>
  <c r="D37" i="1" s="1"/>
  <c r="C38" i="1"/>
  <c r="D38" i="1" s="1"/>
  <c r="C39" i="1"/>
  <c r="D39" i="1" s="1"/>
  <c r="C40" i="1"/>
  <c r="D40" i="1" s="1"/>
  <c r="C41" i="1"/>
  <c r="D41" i="1" s="1"/>
  <c r="C42" i="1"/>
  <c r="D42" i="1" s="1"/>
  <c r="C43" i="1"/>
  <c r="D43" i="1" s="1"/>
  <c r="C44" i="1"/>
  <c r="D44" i="1" s="1"/>
  <c r="C45" i="1"/>
  <c r="D45" i="1" s="1"/>
  <c r="C46" i="1"/>
  <c r="D46" i="1" s="1"/>
  <c r="C47" i="1"/>
  <c r="D47" i="1" s="1"/>
  <c r="C48" i="1"/>
  <c r="D48" i="1" s="1"/>
  <c r="C49" i="1"/>
  <c r="D49" i="1" s="1"/>
  <c r="C50" i="1"/>
  <c r="D50" i="1" s="1"/>
  <c r="C51" i="1"/>
  <c r="D51" i="1" s="1"/>
  <c r="C52" i="1"/>
  <c r="D52" i="1" s="1"/>
  <c r="C53" i="1"/>
  <c r="D53" i="1" s="1"/>
  <c r="C54" i="1"/>
  <c r="D54" i="1" s="1"/>
  <c r="C55" i="1"/>
  <c r="D55" i="1" s="1"/>
  <c r="C56" i="1"/>
  <c r="D56" i="1" s="1"/>
  <c r="C57" i="1"/>
  <c r="D57" i="1" s="1"/>
  <c r="C58" i="1"/>
  <c r="D58" i="1" s="1"/>
  <c r="C59" i="1"/>
  <c r="D59" i="1" s="1"/>
  <c r="C60" i="1"/>
  <c r="D60" i="1" s="1"/>
  <c r="C61" i="1"/>
  <c r="D61" i="1" s="1"/>
  <c r="C62" i="1"/>
  <c r="D62" i="1" s="1"/>
  <c r="C63" i="1"/>
  <c r="D63" i="1" s="1"/>
  <c r="C64" i="1"/>
  <c r="D64" i="1" s="1"/>
  <c r="C65" i="1"/>
  <c r="D65" i="1" s="1"/>
  <c r="C66" i="1"/>
  <c r="D66" i="1" s="1"/>
  <c r="C67" i="1"/>
  <c r="D67" i="1" s="1"/>
  <c r="C68" i="1"/>
  <c r="D68" i="1" s="1"/>
  <c r="C69" i="1"/>
  <c r="D69" i="1" s="1"/>
  <c r="C70" i="1"/>
  <c r="D70" i="1" s="1"/>
  <c r="C71" i="1"/>
  <c r="D71" i="1" s="1"/>
  <c r="C72" i="1"/>
  <c r="D72" i="1" s="1"/>
  <c r="C73" i="1"/>
  <c r="D73" i="1" s="1"/>
  <c r="C74" i="1"/>
  <c r="D74" i="1" s="1"/>
  <c r="C75" i="1"/>
  <c r="D75" i="1" s="1"/>
  <c r="C76" i="1"/>
  <c r="D76" i="1" s="1"/>
  <c r="C77" i="1"/>
  <c r="D77" i="1" s="1"/>
  <c r="C78" i="1"/>
  <c r="D78" i="1" s="1"/>
  <c r="C79" i="1"/>
  <c r="D79" i="1" s="1"/>
  <c r="C80" i="1"/>
  <c r="D80" i="1" s="1"/>
  <c r="C81" i="1"/>
  <c r="D81" i="1" s="1"/>
  <c r="C82" i="1"/>
  <c r="D82" i="1" s="1"/>
  <c r="C83" i="1"/>
  <c r="D83" i="1" s="1"/>
  <c r="C84" i="1"/>
  <c r="D84" i="1" s="1"/>
  <c r="C85" i="1"/>
  <c r="D85" i="1" s="1"/>
  <c r="C86" i="1"/>
  <c r="D86" i="1" s="1"/>
  <c r="C87" i="1"/>
  <c r="D87" i="1" s="1"/>
  <c r="C88" i="1"/>
  <c r="D88" i="1" s="1"/>
  <c r="C89" i="1"/>
  <c r="D89" i="1" s="1"/>
  <c r="C90" i="1"/>
  <c r="D90" i="1" s="1"/>
  <c r="C91" i="1"/>
  <c r="D91" i="1" s="1"/>
  <c r="C92" i="1"/>
  <c r="D92" i="1" s="1"/>
  <c r="C93" i="1"/>
  <c r="D93" i="1" s="1"/>
  <c r="C94" i="1"/>
  <c r="D94" i="1" s="1"/>
  <c r="C95" i="1"/>
  <c r="D95" i="1" s="1"/>
  <c r="C96" i="1"/>
  <c r="D96" i="1" s="1"/>
  <c r="C97" i="1"/>
  <c r="D97" i="1" s="1"/>
  <c r="C98" i="1"/>
  <c r="D98" i="1" s="1"/>
  <c r="C99" i="1"/>
  <c r="D99" i="1" s="1"/>
  <c r="C100" i="1"/>
  <c r="D100" i="1" s="1"/>
  <c r="E97" i="1" l="1"/>
  <c r="F97" i="1" s="1"/>
  <c r="L97" i="1" s="1"/>
  <c r="E89" i="1"/>
  <c r="F89" i="1" s="1"/>
  <c r="L89" i="1" s="1"/>
  <c r="E81" i="1"/>
  <c r="F81" i="1" s="1"/>
  <c r="L81" i="1" s="1"/>
  <c r="E73" i="1"/>
  <c r="F73" i="1" s="1"/>
  <c r="L73" i="1" s="1"/>
  <c r="E65" i="1"/>
  <c r="F65" i="1" s="1"/>
  <c r="L65" i="1" s="1"/>
  <c r="E57" i="1"/>
  <c r="F57" i="1" s="1"/>
  <c r="L57" i="1" s="1"/>
  <c r="E49" i="1"/>
  <c r="F49" i="1" s="1"/>
  <c r="L49" i="1" s="1"/>
  <c r="E41" i="1"/>
  <c r="F41" i="1" s="1"/>
  <c r="L41" i="1" s="1"/>
  <c r="E33" i="1"/>
  <c r="F33" i="1" s="1"/>
  <c r="L33" i="1" s="1"/>
  <c r="E25" i="1"/>
  <c r="F25" i="1" s="1"/>
  <c r="L25" i="1" s="1"/>
  <c r="E21" i="1"/>
  <c r="F21" i="1" s="1"/>
  <c r="L21" i="1" s="1"/>
  <c r="E13" i="1"/>
  <c r="F13" i="1" s="1"/>
  <c r="L13" i="1" s="1"/>
  <c r="E5" i="1"/>
  <c r="F5" i="1" s="1"/>
  <c r="L5" i="1" s="1"/>
  <c r="E100" i="1"/>
  <c r="F100" i="1" s="1"/>
  <c r="L100" i="1" s="1"/>
  <c r="E92" i="1"/>
  <c r="F92" i="1" s="1"/>
  <c r="L92" i="1" s="1"/>
  <c r="E84" i="1"/>
  <c r="F84" i="1" s="1"/>
  <c r="L84" i="1" s="1"/>
  <c r="E76" i="1"/>
  <c r="F76" i="1" s="1"/>
  <c r="L76" i="1" s="1"/>
  <c r="E68" i="1"/>
  <c r="F68" i="1" s="1"/>
  <c r="L68" i="1" s="1"/>
  <c r="E60" i="1"/>
  <c r="F60" i="1" s="1"/>
  <c r="L60" i="1" s="1"/>
  <c r="E52" i="1"/>
  <c r="F52" i="1" s="1"/>
  <c r="L52" i="1" s="1"/>
  <c r="E44" i="1"/>
  <c r="F44" i="1" s="1"/>
  <c r="L44" i="1" s="1"/>
  <c r="E36" i="1"/>
  <c r="F36" i="1" s="1"/>
  <c r="L36" i="1" s="1"/>
  <c r="E28" i="1"/>
  <c r="F28" i="1" s="1"/>
  <c r="L28" i="1" s="1"/>
  <c r="E20" i="1"/>
  <c r="F20" i="1" s="1"/>
  <c r="L20" i="1" s="1"/>
  <c r="E12" i="1"/>
  <c r="F12" i="1" s="1"/>
  <c r="L12" i="1" s="1"/>
  <c r="E4" i="1"/>
  <c r="F4" i="1" s="1"/>
  <c r="L4" i="1" s="1"/>
  <c r="E99" i="1"/>
  <c r="F99" i="1" s="1"/>
  <c r="L99" i="1" s="1"/>
  <c r="E91" i="1"/>
  <c r="F91" i="1" s="1"/>
  <c r="L91" i="1" s="1"/>
  <c r="E87" i="1"/>
  <c r="F87" i="1" s="1"/>
  <c r="L87" i="1" s="1"/>
  <c r="E83" i="1"/>
  <c r="F83" i="1" s="1"/>
  <c r="L83" i="1" s="1"/>
  <c r="E79" i="1"/>
  <c r="F79" i="1" s="1"/>
  <c r="L79" i="1" s="1"/>
  <c r="E75" i="1"/>
  <c r="F75" i="1" s="1"/>
  <c r="L75" i="1" s="1"/>
  <c r="E71" i="1"/>
  <c r="F71" i="1" s="1"/>
  <c r="L71" i="1" s="1"/>
  <c r="E67" i="1"/>
  <c r="F67" i="1" s="1"/>
  <c r="L67" i="1" s="1"/>
  <c r="E63" i="1"/>
  <c r="F63" i="1" s="1"/>
  <c r="L63" i="1" s="1"/>
  <c r="E59" i="1"/>
  <c r="F59" i="1" s="1"/>
  <c r="L59" i="1" s="1"/>
  <c r="E55" i="1"/>
  <c r="F55" i="1" s="1"/>
  <c r="L55" i="1" s="1"/>
  <c r="E51" i="1"/>
  <c r="F51" i="1" s="1"/>
  <c r="L51" i="1" s="1"/>
  <c r="E47" i="1"/>
  <c r="F47" i="1" s="1"/>
  <c r="L47" i="1" s="1"/>
  <c r="E43" i="1"/>
  <c r="F43" i="1" s="1"/>
  <c r="L43" i="1" s="1"/>
  <c r="E39" i="1"/>
  <c r="F39" i="1" s="1"/>
  <c r="L39" i="1" s="1"/>
  <c r="E35" i="1"/>
  <c r="F35" i="1" s="1"/>
  <c r="L35" i="1" s="1"/>
  <c r="E31" i="1"/>
  <c r="F31" i="1" s="1"/>
  <c r="L31" i="1" s="1"/>
  <c r="E27" i="1"/>
  <c r="F27" i="1" s="1"/>
  <c r="L27" i="1" s="1"/>
  <c r="E23" i="1"/>
  <c r="F23" i="1" s="1"/>
  <c r="L23" i="1" s="1"/>
  <c r="E19" i="1"/>
  <c r="F19" i="1" s="1"/>
  <c r="L19" i="1" s="1"/>
  <c r="E15" i="1"/>
  <c r="F15" i="1" s="1"/>
  <c r="L15" i="1" s="1"/>
  <c r="E11" i="1"/>
  <c r="F11" i="1" s="1"/>
  <c r="L11" i="1" s="1"/>
  <c r="E7" i="1"/>
  <c r="F7" i="1" s="1"/>
  <c r="L7" i="1" s="1"/>
  <c r="E3" i="1"/>
  <c r="F3" i="1" s="1"/>
  <c r="L3" i="1" s="1"/>
  <c r="E93" i="1"/>
  <c r="F93" i="1" s="1"/>
  <c r="L93" i="1" s="1"/>
  <c r="E85" i="1"/>
  <c r="F85" i="1" s="1"/>
  <c r="L85" i="1" s="1"/>
  <c r="E77" i="1"/>
  <c r="F77" i="1" s="1"/>
  <c r="L77" i="1" s="1"/>
  <c r="E69" i="1"/>
  <c r="F69" i="1" s="1"/>
  <c r="L69" i="1" s="1"/>
  <c r="E61" i="1"/>
  <c r="F61" i="1" s="1"/>
  <c r="L61" i="1" s="1"/>
  <c r="E53" i="1"/>
  <c r="F53" i="1" s="1"/>
  <c r="L53" i="1" s="1"/>
  <c r="E45" i="1"/>
  <c r="F45" i="1" s="1"/>
  <c r="L45" i="1" s="1"/>
  <c r="E37" i="1"/>
  <c r="F37" i="1" s="1"/>
  <c r="L37" i="1" s="1"/>
  <c r="E29" i="1"/>
  <c r="F29" i="1" s="1"/>
  <c r="L29" i="1" s="1"/>
  <c r="E17" i="1"/>
  <c r="F17" i="1" s="1"/>
  <c r="L17" i="1" s="1"/>
  <c r="E9" i="1"/>
  <c r="F9" i="1" s="1"/>
  <c r="L9" i="1" s="1"/>
  <c r="E96" i="1"/>
  <c r="F96" i="1" s="1"/>
  <c r="L96" i="1" s="1"/>
  <c r="E88" i="1"/>
  <c r="F88" i="1" s="1"/>
  <c r="L88" i="1" s="1"/>
  <c r="E80" i="1"/>
  <c r="F80" i="1" s="1"/>
  <c r="L80" i="1" s="1"/>
  <c r="E72" i="1"/>
  <c r="F72" i="1" s="1"/>
  <c r="L72" i="1" s="1"/>
  <c r="E64" i="1"/>
  <c r="F64" i="1" s="1"/>
  <c r="L64" i="1" s="1"/>
  <c r="E56" i="1"/>
  <c r="F56" i="1" s="1"/>
  <c r="L56" i="1" s="1"/>
  <c r="E48" i="1"/>
  <c r="F48" i="1" s="1"/>
  <c r="L48" i="1" s="1"/>
  <c r="E40" i="1"/>
  <c r="F40" i="1" s="1"/>
  <c r="L40" i="1" s="1"/>
  <c r="E32" i="1"/>
  <c r="F32" i="1" s="1"/>
  <c r="L32" i="1" s="1"/>
  <c r="E24" i="1"/>
  <c r="F24" i="1" s="1"/>
  <c r="L24" i="1" s="1"/>
  <c r="E16" i="1"/>
  <c r="F16" i="1" s="1"/>
  <c r="L16" i="1" s="1"/>
  <c r="E8" i="1"/>
  <c r="F8" i="1" s="1"/>
  <c r="L8" i="1" s="1"/>
  <c r="E95" i="1"/>
  <c r="F95" i="1" s="1"/>
  <c r="L95" i="1" s="1"/>
  <c r="E98" i="1"/>
  <c r="F98" i="1" s="1"/>
  <c r="L98" i="1" s="1"/>
  <c r="E94" i="1"/>
  <c r="F94" i="1" s="1"/>
  <c r="L94" i="1" s="1"/>
  <c r="E90" i="1"/>
  <c r="F90" i="1" s="1"/>
  <c r="L90" i="1" s="1"/>
  <c r="E86" i="1"/>
  <c r="F86" i="1" s="1"/>
  <c r="L86" i="1" s="1"/>
  <c r="E82" i="1"/>
  <c r="F82" i="1" s="1"/>
  <c r="L82" i="1" s="1"/>
  <c r="E78" i="1"/>
  <c r="F78" i="1" s="1"/>
  <c r="L78" i="1" s="1"/>
  <c r="E74" i="1"/>
  <c r="F74" i="1" s="1"/>
  <c r="L74" i="1" s="1"/>
  <c r="E70" i="1"/>
  <c r="F70" i="1" s="1"/>
  <c r="L70" i="1" s="1"/>
  <c r="E66" i="1"/>
  <c r="F66" i="1" s="1"/>
  <c r="L66" i="1" s="1"/>
  <c r="E62" i="1"/>
  <c r="F62" i="1" s="1"/>
  <c r="L62" i="1" s="1"/>
  <c r="E58" i="1"/>
  <c r="F58" i="1" s="1"/>
  <c r="L58" i="1" s="1"/>
  <c r="E54" i="1"/>
  <c r="F54" i="1" s="1"/>
  <c r="L54" i="1" s="1"/>
  <c r="E50" i="1"/>
  <c r="F50" i="1" s="1"/>
  <c r="L50" i="1" s="1"/>
  <c r="E46" i="1"/>
  <c r="F46" i="1" s="1"/>
  <c r="L46" i="1" s="1"/>
  <c r="E42" i="1"/>
  <c r="F42" i="1" s="1"/>
  <c r="L42" i="1" s="1"/>
  <c r="E38" i="1"/>
  <c r="F38" i="1" s="1"/>
  <c r="L38" i="1" s="1"/>
  <c r="E34" i="1"/>
  <c r="F34" i="1" s="1"/>
  <c r="L34" i="1" s="1"/>
  <c r="E30" i="1"/>
  <c r="F30" i="1" s="1"/>
  <c r="L30" i="1" s="1"/>
  <c r="E26" i="1"/>
  <c r="F26" i="1" s="1"/>
  <c r="L26" i="1" s="1"/>
  <c r="E22" i="1"/>
  <c r="F22" i="1" s="1"/>
  <c r="L22" i="1" s="1"/>
  <c r="E18" i="1"/>
  <c r="F18" i="1" s="1"/>
  <c r="L18" i="1" s="1"/>
  <c r="E14" i="1"/>
  <c r="F14" i="1" s="1"/>
  <c r="L14" i="1" s="1"/>
  <c r="E10" i="1"/>
  <c r="F10" i="1" s="1"/>
  <c r="L10" i="1" s="1"/>
  <c r="E6" i="1"/>
  <c r="F6" i="1" s="1"/>
  <c r="L6" i="1" s="1"/>
  <c r="E2" i="1"/>
  <c r="F2" i="1" s="1"/>
  <c r="L2" i="1" s="1"/>
</calcChain>
</file>

<file path=xl/sharedStrings.xml><?xml version="1.0" encoding="utf-8"?>
<sst xmlns="http://schemas.openxmlformats.org/spreadsheetml/2006/main" count="479" uniqueCount="54">
  <si>
    <t>Colonne1</t>
  </si>
  <si>
    <t>Usine</t>
  </si>
  <si>
    <t xml:space="preserve">Non Planifié Non urgent </t>
  </si>
  <si>
    <t xml:space="preserve">Non Planifié Urgent </t>
  </si>
  <si>
    <t xml:space="preserve">Planifié </t>
  </si>
  <si>
    <t>Autres</t>
  </si>
  <si>
    <t>Biamonique</t>
  </si>
  <si>
    <t>D1</t>
  </si>
  <si>
    <t>Engrais</t>
  </si>
  <si>
    <t>Entretien</t>
  </si>
  <si>
    <t>P2O5</t>
  </si>
  <si>
    <t>PTA</t>
  </si>
  <si>
    <t>Soufre &amp; Energie - Sulfine</t>
  </si>
  <si>
    <t>Zéoline</t>
  </si>
  <si>
    <t>#N/A</t>
  </si>
  <si>
    <t>Étiquettes de lignes</t>
  </si>
  <si>
    <t>Total général</t>
  </si>
  <si>
    <t>Hydro</t>
  </si>
  <si>
    <t>(Tous)</t>
  </si>
  <si>
    <t xml:space="preserve">Date </t>
  </si>
  <si>
    <t>N° Semaine</t>
  </si>
  <si>
    <t xml:space="preserve">Semaine </t>
  </si>
  <si>
    <t xml:space="preserve">Planifié  </t>
  </si>
  <si>
    <t xml:space="preserve">Non Planifié : Non urgent </t>
  </si>
  <si>
    <t xml:space="preserve">Non Planifié : Urgent </t>
  </si>
  <si>
    <t>Silox</t>
  </si>
  <si>
    <t>Division</t>
  </si>
  <si>
    <t>Non Planifié urgent %</t>
  </si>
  <si>
    <t xml:space="preserve">Non Planifié urgent </t>
  </si>
  <si>
    <t xml:space="preserve">Non planifié non urgent </t>
  </si>
  <si>
    <t>Total</t>
  </si>
  <si>
    <t>Planifié %</t>
  </si>
  <si>
    <t>Non planifié non urgent %</t>
  </si>
  <si>
    <t>(vide)</t>
  </si>
  <si>
    <t>Planification par unité de production</t>
  </si>
  <si>
    <t>Div et Sem</t>
  </si>
  <si>
    <t xml:space="preserve">Somme de Non Planifié Non urgent </t>
  </si>
  <si>
    <t xml:space="preserve">Somme de Non Planifié Urgent </t>
  </si>
  <si>
    <t xml:space="preserve">Somme de Planifié </t>
  </si>
  <si>
    <t>Colonne2</t>
  </si>
  <si>
    <t xml:space="preserve">Mois texte </t>
  </si>
  <si>
    <t>janvier</t>
  </si>
  <si>
    <t>février</t>
  </si>
  <si>
    <t>mars</t>
  </si>
  <si>
    <t>avril</t>
  </si>
  <si>
    <t>mai</t>
  </si>
  <si>
    <t>juin</t>
  </si>
  <si>
    <t xml:space="preserve">Total </t>
  </si>
  <si>
    <t xml:space="preserve">%Planifié </t>
  </si>
  <si>
    <t>%NP-Non Urgent</t>
  </si>
  <si>
    <t>%NP-Urgent</t>
  </si>
  <si>
    <t>Mois</t>
  </si>
  <si>
    <t>(Plusieurs éléments)</t>
  </si>
  <si>
    <t>Planification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</si>
</sst>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PT Sans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left" vertical="top"/>
    </xf>
    <xf numFmtId="164" fontId="0" fillId="0" borderId="0" xfId="0" applyNumberFormat="1" applyAlignment="1">
      <alignment vertical="top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 vertical="top"/>
    </xf>
    <xf numFmtId="0" fontId="0" fillId="2" borderId="0" xfId="0" applyFill="1"/>
    <xf numFmtId="0" fontId="0" fillId="0" borderId="0" xfId="0" applyNumberFormat="1" applyAlignment="1">
      <alignment vertical="top"/>
    </xf>
    <xf numFmtId="9" fontId="0" fillId="0" borderId="0" xfId="1" applyFont="1"/>
    <xf numFmtId="165" fontId="0" fillId="0" borderId="0" xfId="0" applyNumberFormat="1"/>
    <xf numFmtId="165" fontId="0" fillId="0" borderId="10" xfId="0" applyNumberFormat="1" applyBorder="1"/>
    <xf numFmtId="0" fontId="0" fillId="0" borderId="11" xfId="0" applyBorder="1"/>
    <xf numFmtId="165" fontId="0" fillId="0" borderId="12" xfId="0" applyNumberFormat="1" applyBorder="1"/>
    <xf numFmtId="0" fontId="0" fillId="0" borderId="13" xfId="0" applyBorder="1"/>
    <xf numFmtId="165" fontId="0" fillId="0" borderId="14" xfId="0" applyNumberFormat="1" applyBorder="1"/>
    <xf numFmtId="165" fontId="0" fillId="0" borderId="15" xfId="0" applyNumberFormat="1" applyBorder="1"/>
    <xf numFmtId="0" fontId="0" fillId="0" borderId="16" xfId="0" applyBorder="1"/>
    <xf numFmtId="165" fontId="0" fillId="0" borderId="17" xfId="0" applyNumberFormat="1" applyBorder="1"/>
    <xf numFmtId="165" fontId="0" fillId="0" borderId="18" xfId="0" applyNumberFormat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1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[01 - KPI annuel - par division de production.xlsx]Global en heures!Tableau croisé dynamique4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Charge</a:t>
            </a:r>
            <a:r>
              <a:rPr lang="fr-BE" baseline="0"/>
              <a:t> travail maintenance par division en heures</a:t>
            </a:r>
          </a:p>
        </c:rich>
      </c:tx>
      <c:layout>
        <c:manualLayout>
          <c:xMode val="edge"/>
          <c:yMode val="edge"/>
          <c:x val="0.3908619002861129"/>
          <c:y val="2.861449512207200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  <c:dLbl>
          <c:idx val="0"/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  <c:dLbl>
          <c:idx val="0"/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6"/>
          </a:solidFill>
          <a:ln>
            <a:noFill/>
          </a:ln>
          <a:effectLst/>
        </c:spPr>
        <c:marker>
          <c:symbol val="none"/>
        </c:marker>
        <c:dLbl>
          <c:idx val="0"/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056438165817508"/>
          <c:y val="9.3245189589396565E-2"/>
          <c:w val="0.75252480522535736"/>
          <c:h val="0.7252684323550465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'Global en heures'!$B$4</c:f>
              <c:strCache>
                <c:ptCount val="1"/>
                <c:pt idx="0">
                  <c:v>Planifié  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'Global en heures'!$A$5:$A$18</c:f>
              <c:strCache>
                <c:ptCount val="13"/>
                <c:pt idx="0">
                  <c:v>#N/A</c:v>
                </c:pt>
                <c:pt idx="1">
                  <c:v>Autres</c:v>
                </c:pt>
                <c:pt idx="2">
                  <c:v>Biamonique</c:v>
                </c:pt>
                <c:pt idx="3">
                  <c:v>D1</c:v>
                </c:pt>
                <c:pt idx="4">
                  <c:v>Engrais</c:v>
                </c:pt>
                <c:pt idx="5">
                  <c:v>Entretien</c:v>
                </c:pt>
                <c:pt idx="6">
                  <c:v>Hydro</c:v>
                </c:pt>
                <c:pt idx="7">
                  <c:v>P2O5</c:v>
                </c:pt>
                <c:pt idx="8">
                  <c:v>PTA</c:v>
                </c:pt>
                <c:pt idx="9">
                  <c:v>Soufre &amp; Energie - Sulfine</c:v>
                </c:pt>
                <c:pt idx="10">
                  <c:v>Zéoline</c:v>
                </c:pt>
                <c:pt idx="11">
                  <c:v>Silox</c:v>
                </c:pt>
                <c:pt idx="12">
                  <c:v>(vide)</c:v>
                </c:pt>
              </c:strCache>
            </c:strRef>
          </c:cat>
          <c:val>
            <c:numRef>
              <c:f>'Global en heures'!$B$5:$B$18</c:f>
              <c:numCache>
                <c:formatCode>General</c:formatCode>
                <c:ptCount val="13"/>
                <c:pt idx="0">
                  <c:v>533.75</c:v>
                </c:pt>
                <c:pt idx="1">
                  <c:v>663.25</c:v>
                </c:pt>
                <c:pt idx="2">
                  <c:v>477.5</c:v>
                </c:pt>
                <c:pt idx="3">
                  <c:v>109</c:v>
                </c:pt>
                <c:pt idx="4">
                  <c:v>1214</c:v>
                </c:pt>
                <c:pt idx="5">
                  <c:v>110.5</c:v>
                </c:pt>
                <c:pt idx="7">
                  <c:v>9213</c:v>
                </c:pt>
                <c:pt idx="8">
                  <c:v>1449.5</c:v>
                </c:pt>
                <c:pt idx="9">
                  <c:v>657</c:v>
                </c:pt>
                <c:pt idx="10">
                  <c:v>861.75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B6-4CAC-96D6-BF98DDD21B6C}"/>
            </c:ext>
          </c:extLst>
        </c:ser>
        <c:ser>
          <c:idx val="1"/>
          <c:order val="1"/>
          <c:tx>
            <c:strRef>
              <c:f>'Global en heures'!$C$4</c:f>
              <c:strCache>
                <c:ptCount val="1"/>
                <c:pt idx="0">
                  <c:v>Non Planifié : Urgent 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'Global en heures'!$A$5:$A$18</c:f>
              <c:strCache>
                <c:ptCount val="13"/>
                <c:pt idx="0">
                  <c:v>#N/A</c:v>
                </c:pt>
                <c:pt idx="1">
                  <c:v>Autres</c:v>
                </c:pt>
                <c:pt idx="2">
                  <c:v>Biamonique</c:v>
                </c:pt>
                <c:pt idx="3">
                  <c:v>D1</c:v>
                </c:pt>
                <c:pt idx="4">
                  <c:v>Engrais</c:v>
                </c:pt>
                <c:pt idx="5">
                  <c:v>Entretien</c:v>
                </c:pt>
                <c:pt idx="6">
                  <c:v>Hydro</c:v>
                </c:pt>
                <c:pt idx="7">
                  <c:v>P2O5</c:v>
                </c:pt>
                <c:pt idx="8">
                  <c:v>PTA</c:v>
                </c:pt>
                <c:pt idx="9">
                  <c:v>Soufre &amp; Energie - Sulfine</c:v>
                </c:pt>
                <c:pt idx="10">
                  <c:v>Zéoline</c:v>
                </c:pt>
                <c:pt idx="11">
                  <c:v>Silox</c:v>
                </c:pt>
                <c:pt idx="12">
                  <c:v>(vide)</c:v>
                </c:pt>
              </c:strCache>
            </c:strRef>
          </c:cat>
          <c:val>
            <c:numRef>
              <c:f>'Global en heures'!$C$5:$C$18</c:f>
              <c:numCache>
                <c:formatCode>General</c:formatCode>
                <c:ptCount val="13"/>
                <c:pt idx="0">
                  <c:v>617.5</c:v>
                </c:pt>
                <c:pt idx="1">
                  <c:v>87</c:v>
                </c:pt>
                <c:pt idx="2">
                  <c:v>449.81</c:v>
                </c:pt>
                <c:pt idx="3">
                  <c:v>431</c:v>
                </c:pt>
                <c:pt idx="4">
                  <c:v>1074</c:v>
                </c:pt>
                <c:pt idx="5">
                  <c:v>62</c:v>
                </c:pt>
                <c:pt idx="6">
                  <c:v>58.5</c:v>
                </c:pt>
                <c:pt idx="7">
                  <c:v>3245.25</c:v>
                </c:pt>
                <c:pt idx="8">
                  <c:v>2854</c:v>
                </c:pt>
                <c:pt idx="9">
                  <c:v>3660.75</c:v>
                </c:pt>
                <c:pt idx="10">
                  <c:v>599.5</c:v>
                </c:pt>
                <c:pt idx="11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B6-4CAC-96D6-BF98DDD21B6C}"/>
            </c:ext>
          </c:extLst>
        </c:ser>
        <c:ser>
          <c:idx val="2"/>
          <c:order val="2"/>
          <c:tx>
            <c:strRef>
              <c:f>'Global en heures'!$D$4</c:f>
              <c:strCache>
                <c:ptCount val="1"/>
                <c:pt idx="0">
                  <c:v>Non Planifié : Non urgent 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'Global en heures'!$A$5:$A$18</c:f>
              <c:strCache>
                <c:ptCount val="13"/>
                <c:pt idx="0">
                  <c:v>#N/A</c:v>
                </c:pt>
                <c:pt idx="1">
                  <c:v>Autres</c:v>
                </c:pt>
                <c:pt idx="2">
                  <c:v>Biamonique</c:v>
                </c:pt>
                <c:pt idx="3">
                  <c:v>D1</c:v>
                </c:pt>
                <c:pt idx="4">
                  <c:v>Engrais</c:v>
                </c:pt>
                <c:pt idx="5">
                  <c:v>Entretien</c:v>
                </c:pt>
                <c:pt idx="6">
                  <c:v>Hydro</c:v>
                </c:pt>
                <c:pt idx="7">
                  <c:v>P2O5</c:v>
                </c:pt>
                <c:pt idx="8">
                  <c:v>PTA</c:v>
                </c:pt>
                <c:pt idx="9">
                  <c:v>Soufre &amp; Energie - Sulfine</c:v>
                </c:pt>
                <c:pt idx="10">
                  <c:v>Zéoline</c:v>
                </c:pt>
                <c:pt idx="11">
                  <c:v>Silox</c:v>
                </c:pt>
                <c:pt idx="12">
                  <c:v>(vide)</c:v>
                </c:pt>
              </c:strCache>
            </c:strRef>
          </c:cat>
          <c:val>
            <c:numRef>
              <c:f>'Global en heures'!$D$5:$D$18</c:f>
              <c:numCache>
                <c:formatCode>General</c:formatCode>
                <c:ptCount val="13"/>
                <c:pt idx="0">
                  <c:v>771.5</c:v>
                </c:pt>
                <c:pt idx="1">
                  <c:v>394</c:v>
                </c:pt>
                <c:pt idx="2">
                  <c:v>143.5</c:v>
                </c:pt>
                <c:pt idx="3">
                  <c:v>221.5</c:v>
                </c:pt>
                <c:pt idx="4">
                  <c:v>763.75</c:v>
                </c:pt>
                <c:pt idx="5">
                  <c:v>289.25</c:v>
                </c:pt>
                <c:pt idx="6">
                  <c:v>2.5</c:v>
                </c:pt>
                <c:pt idx="7">
                  <c:v>2279.75</c:v>
                </c:pt>
                <c:pt idx="8">
                  <c:v>1025.25</c:v>
                </c:pt>
                <c:pt idx="9">
                  <c:v>1656.5</c:v>
                </c:pt>
                <c:pt idx="10">
                  <c:v>362.5</c:v>
                </c:pt>
                <c:pt idx="11">
                  <c:v>1.5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FB6-4CAC-96D6-BF98DDD21B6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673337480"/>
        <c:axId val="673334200"/>
      </c:barChart>
      <c:catAx>
        <c:axId val="673337480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3334200"/>
        <c:crosses val="autoZero"/>
        <c:auto val="1"/>
        <c:lblAlgn val="ctr"/>
        <c:lblOffset val="100"/>
        <c:noMultiLvlLbl val="0"/>
      </c:catAx>
      <c:valAx>
        <c:axId val="673334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333748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0089591667463483E-2"/>
          <c:y val="3.0153594437059002E-2"/>
          <c:w val="0.95673145700052109"/>
          <c:h val="0.87445411326904554"/>
        </c:manualLayout>
      </c:layout>
      <c:barChart>
        <c:barDir val="col"/>
        <c:grouping val="percentStacked"/>
        <c:varyColors val="0"/>
        <c:ser>
          <c:idx val="0"/>
          <c:order val="0"/>
          <c:tx>
            <c:strRef>
              <c:f>'Global en %'!$F$4</c:f>
              <c:strCache>
                <c:ptCount val="1"/>
                <c:pt idx="0">
                  <c:v>Planifié %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'Global en %'!$A$5:$A$16</c:f>
              <c:strCache>
                <c:ptCount val="12"/>
                <c:pt idx="0">
                  <c:v>#N/A</c:v>
                </c:pt>
                <c:pt idx="1">
                  <c:v>Autres</c:v>
                </c:pt>
                <c:pt idx="2">
                  <c:v>Biamonique</c:v>
                </c:pt>
                <c:pt idx="3">
                  <c:v>D1</c:v>
                </c:pt>
                <c:pt idx="4">
                  <c:v>Engrais</c:v>
                </c:pt>
                <c:pt idx="5">
                  <c:v>Entretien</c:v>
                </c:pt>
                <c:pt idx="6">
                  <c:v>Hydro</c:v>
                </c:pt>
                <c:pt idx="7">
                  <c:v>P2O5</c:v>
                </c:pt>
                <c:pt idx="8">
                  <c:v>PTA</c:v>
                </c:pt>
                <c:pt idx="9">
                  <c:v>Soufre &amp; Energie - Sulfine</c:v>
                </c:pt>
                <c:pt idx="10">
                  <c:v>Zéoline</c:v>
                </c:pt>
                <c:pt idx="11">
                  <c:v>Silox</c:v>
                </c:pt>
              </c:strCache>
            </c:strRef>
          </c:cat>
          <c:val>
            <c:numRef>
              <c:f>'Global en %'!$F$5:$F$16</c:f>
              <c:numCache>
                <c:formatCode>0%</c:formatCode>
                <c:ptCount val="12"/>
                <c:pt idx="0">
                  <c:v>0.27759719152255885</c:v>
                </c:pt>
                <c:pt idx="1">
                  <c:v>0.57963731701988197</c:v>
                </c:pt>
                <c:pt idx="2">
                  <c:v>0.44592411352153977</c:v>
                </c:pt>
                <c:pt idx="3">
                  <c:v>0.14313854235062376</c:v>
                </c:pt>
                <c:pt idx="4">
                  <c:v>0.39780453837961827</c:v>
                </c:pt>
                <c:pt idx="5">
                  <c:v>0.23930698429886302</c:v>
                </c:pt>
                <c:pt idx="6">
                  <c:v>0</c:v>
                </c:pt>
                <c:pt idx="7">
                  <c:v>0.62511874067037587</c:v>
                </c:pt>
                <c:pt idx="8">
                  <c:v>0.27201501290171243</c:v>
                </c:pt>
                <c:pt idx="9">
                  <c:v>0.10997196300790894</c:v>
                </c:pt>
                <c:pt idx="10">
                  <c:v>0.47251542152159015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D6-40D9-946E-90405F93851F}"/>
            </c:ext>
          </c:extLst>
        </c:ser>
        <c:ser>
          <c:idx val="2"/>
          <c:order val="1"/>
          <c:tx>
            <c:strRef>
              <c:f>'Global en %'!$H$4</c:f>
              <c:strCache>
                <c:ptCount val="1"/>
                <c:pt idx="0">
                  <c:v>Non planifié non urgent %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'Global en %'!$A$5:$A$16</c:f>
              <c:strCache>
                <c:ptCount val="12"/>
                <c:pt idx="0">
                  <c:v>#N/A</c:v>
                </c:pt>
                <c:pt idx="1">
                  <c:v>Autres</c:v>
                </c:pt>
                <c:pt idx="2">
                  <c:v>Biamonique</c:v>
                </c:pt>
                <c:pt idx="3">
                  <c:v>D1</c:v>
                </c:pt>
                <c:pt idx="4">
                  <c:v>Engrais</c:v>
                </c:pt>
                <c:pt idx="5">
                  <c:v>Entretien</c:v>
                </c:pt>
                <c:pt idx="6">
                  <c:v>Hydro</c:v>
                </c:pt>
                <c:pt idx="7">
                  <c:v>P2O5</c:v>
                </c:pt>
                <c:pt idx="8">
                  <c:v>PTA</c:v>
                </c:pt>
                <c:pt idx="9">
                  <c:v>Soufre &amp; Energie - Sulfine</c:v>
                </c:pt>
                <c:pt idx="10">
                  <c:v>Zéoline</c:v>
                </c:pt>
                <c:pt idx="11">
                  <c:v>Silox</c:v>
                </c:pt>
              </c:strCache>
            </c:strRef>
          </c:cat>
          <c:val>
            <c:numRef>
              <c:f>'Global en %'!$H$5:$H$16</c:f>
              <c:numCache>
                <c:formatCode>0%</c:formatCode>
                <c:ptCount val="12"/>
                <c:pt idx="0">
                  <c:v>0.40124821219607332</c:v>
                </c:pt>
                <c:pt idx="1">
                  <c:v>0.3443303473891195</c:v>
                </c:pt>
                <c:pt idx="2">
                  <c:v>0.13401070217872452</c:v>
                </c:pt>
                <c:pt idx="3">
                  <c:v>0.29087327642810246</c:v>
                </c:pt>
                <c:pt idx="4">
                  <c:v>0.25026624068157616</c:v>
                </c:pt>
                <c:pt idx="5">
                  <c:v>0.62642122360584729</c:v>
                </c:pt>
                <c:pt idx="6">
                  <c:v>4.0983606557377046E-2</c:v>
                </c:pt>
                <c:pt idx="7">
                  <c:v>0.15468516759397477</c:v>
                </c:pt>
                <c:pt idx="8">
                  <c:v>0.1923997185080929</c:v>
                </c:pt>
                <c:pt idx="9">
                  <c:v>0.27727329790350252</c:v>
                </c:pt>
                <c:pt idx="10">
                  <c:v>0.19876627827278959</c:v>
                </c:pt>
                <c:pt idx="11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BD6-40D9-946E-90405F93851F}"/>
            </c:ext>
          </c:extLst>
        </c:ser>
        <c:ser>
          <c:idx val="1"/>
          <c:order val="2"/>
          <c:tx>
            <c:strRef>
              <c:f>'Global en %'!$G$4</c:f>
              <c:strCache>
                <c:ptCount val="1"/>
                <c:pt idx="0">
                  <c:v>Non Planifié urgent %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'Global en %'!$A$5:$A$16</c:f>
              <c:strCache>
                <c:ptCount val="12"/>
                <c:pt idx="0">
                  <c:v>#N/A</c:v>
                </c:pt>
                <c:pt idx="1">
                  <c:v>Autres</c:v>
                </c:pt>
                <c:pt idx="2">
                  <c:v>Biamonique</c:v>
                </c:pt>
                <c:pt idx="3">
                  <c:v>D1</c:v>
                </c:pt>
                <c:pt idx="4">
                  <c:v>Engrais</c:v>
                </c:pt>
                <c:pt idx="5">
                  <c:v>Entretien</c:v>
                </c:pt>
                <c:pt idx="6">
                  <c:v>Hydro</c:v>
                </c:pt>
                <c:pt idx="7">
                  <c:v>P2O5</c:v>
                </c:pt>
                <c:pt idx="8">
                  <c:v>PTA</c:v>
                </c:pt>
                <c:pt idx="9">
                  <c:v>Soufre &amp; Energie - Sulfine</c:v>
                </c:pt>
                <c:pt idx="10">
                  <c:v>Zéoline</c:v>
                </c:pt>
                <c:pt idx="11">
                  <c:v>Silox</c:v>
                </c:pt>
              </c:strCache>
            </c:strRef>
          </c:cat>
          <c:val>
            <c:numRef>
              <c:f>'Global en %'!$G$5:$G$16</c:f>
              <c:numCache>
                <c:formatCode>0%</c:formatCode>
                <c:ptCount val="12"/>
                <c:pt idx="0">
                  <c:v>0.32115459628136783</c:v>
                </c:pt>
                <c:pt idx="1">
                  <c:v>7.6032335590998465E-2</c:v>
                </c:pt>
                <c:pt idx="2">
                  <c:v>0.42006518429973572</c:v>
                </c:pt>
                <c:pt idx="3">
                  <c:v>0.56598818122127381</c:v>
                </c:pt>
                <c:pt idx="4">
                  <c:v>0.35192922093880558</c:v>
                </c:pt>
                <c:pt idx="5">
                  <c:v>0.13427179209528967</c:v>
                </c:pt>
                <c:pt idx="6">
                  <c:v>0.95901639344262291</c:v>
                </c:pt>
                <c:pt idx="7">
                  <c:v>0.22019609173564933</c:v>
                </c:pt>
                <c:pt idx="8">
                  <c:v>0.53558526859019473</c:v>
                </c:pt>
                <c:pt idx="9">
                  <c:v>0.61275473908858857</c:v>
                </c:pt>
                <c:pt idx="10">
                  <c:v>0.32871830020562026</c:v>
                </c:pt>
                <c:pt idx="11">
                  <c:v>0.8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BD6-40D9-946E-90405F93851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641488768"/>
        <c:axId val="641486800"/>
      </c:barChart>
      <c:catAx>
        <c:axId val="641488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1486800"/>
        <c:crosses val="autoZero"/>
        <c:auto val="1"/>
        <c:lblAlgn val="ctr"/>
        <c:lblOffset val="100"/>
        <c:noMultiLvlLbl val="0"/>
      </c:catAx>
      <c:valAx>
        <c:axId val="641486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1488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P2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P2O5!$J$3</c:f>
              <c:strCache>
                <c:ptCount val="1"/>
                <c:pt idx="0">
                  <c:v>%Planifié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  <a:sp3d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P2O5!$I$4:$I$9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P2O5!$J$4:$J$9</c:f>
              <c:numCache>
                <c:formatCode>0.0%</c:formatCode>
                <c:ptCount val="6"/>
                <c:pt idx="0">
                  <c:v>0.50641848523748401</c:v>
                </c:pt>
                <c:pt idx="1">
                  <c:v>0.61067300421302795</c:v>
                </c:pt>
                <c:pt idx="2">
                  <c:v>0.6322207958921694</c:v>
                </c:pt>
                <c:pt idx="3">
                  <c:v>0.65644406229100982</c:v>
                </c:pt>
                <c:pt idx="4">
                  <c:v>0.66316320524678385</c:v>
                </c:pt>
                <c:pt idx="5">
                  <c:v>0.76389643309795396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6A-4D84-9939-C58BA2791010}"/>
            </c:ext>
          </c:extLst>
        </c:ser>
        <c:ser>
          <c:idx val="1"/>
          <c:order val="1"/>
          <c:tx>
            <c:strRef>
              <c:f>P2O5!$K$3</c:f>
              <c:strCache>
                <c:ptCount val="1"/>
                <c:pt idx="0">
                  <c:v>%NP-Non Urgent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P2O5!$I$4:$I$9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P2O5!$K$4:$K$9</c:f>
              <c:numCache>
                <c:formatCode>0.0%</c:formatCode>
                <c:ptCount val="6"/>
                <c:pt idx="0">
                  <c:v>0.18308729139922977</c:v>
                </c:pt>
                <c:pt idx="1">
                  <c:v>0.17197796262287998</c:v>
                </c:pt>
                <c:pt idx="2">
                  <c:v>0.21116816431322208</c:v>
                </c:pt>
                <c:pt idx="3">
                  <c:v>0.14951753128881246</c:v>
                </c:pt>
                <c:pt idx="4">
                  <c:v>0.12881526948625241</c:v>
                </c:pt>
                <c:pt idx="5">
                  <c:v>3.1504617055947856E-2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96A-4D84-9939-C58BA2791010}"/>
            </c:ext>
          </c:extLst>
        </c:ser>
        <c:ser>
          <c:idx val="2"/>
          <c:order val="2"/>
          <c:tx>
            <c:strRef>
              <c:f>P2O5!$L$3</c:f>
              <c:strCache>
                <c:ptCount val="1"/>
                <c:pt idx="0">
                  <c:v>%NP-Urgent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P2O5!$I$4:$I$9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P2O5!$L$4:$L$9</c:f>
              <c:numCache>
                <c:formatCode>0.0%</c:formatCode>
                <c:ptCount val="6"/>
                <c:pt idx="0">
                  <c:v>0.31049422336328625</c:v>
                </c:pt>
                <c:pt idx="1">
                  <c:v>0.21734903316409204</c:v>
                </c:pt>
                <c:pt idx="2">
                  <c:v>0.15661103979460847</c:v>
                </c:pt>
                <c:pt idx="3">
                  <c:v>0.19403840642017769</c:v>
                </c:pt>
                <c:pt idx="4">
                  <c:v>0.20802152526696377</c:v>
                </c:pt>
                <c:pt idx="5">
                  <c:v>0.20459894984609814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96A-4D84-9939-C58BA27910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69922800"/>
        <c:axId val="469930016"/>
        <c:axId val="0"/>
      </c:bar3DChart>
      <c:catAx>
        <c:axId val="469922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30016"/>
        <c:crosses val="autoZero"/>
        <c:auto val="1"/>
        <c:lblAlgn val="ctr"/>
        <c:lblOffset val="100"/>
        <c:noMultiLvlLbl val="0"/>
      </c:catAx>
      <c:valAx>
        <c:axId val="46993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22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Fertilisants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Fertilisants!$J$3</c:f>
              <c:strCache>
                <c:ptCount val="1"/>
                <c:pt idx="0">
                  <c:v>%Planifié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  <a:sp3d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Fertilisants!$I$4:$I$9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Fertilisants!$J$4:$J$9</c:f>
              <c:numCache>
                <c:formatCode>0.0%</c:formatCode>
                <c:ptCount val="6"/>
                <c:pt idx="0">
                  <c:v>0.41268844221105527</c:v>
                </c:pt>
                <c:pt idx="1">
                  <c:v>0.21384297520661158</c:v>
                </c:pt>
                <c:pt idx="2">
                  <c:v>0.42636895268474218</c:v>
                </c:pt>
                <c:pt idx="3">
                  <c:v>0.45352279455298994</c:v>
                </c:pt>
                <c:pt idx="4">
                  <c:v>0.4857997010463378</c:v>
                </c:pt>
                <c:pt idx="5">
                  <c:v>0.30915576694411417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B4-47FF-81A3-BB20DE05C311}"/>
            </c:ext>
          </c:extLst>
        </c:ser>
        <c:ser>
          <c:idx val="1"/>
          <c:order val="1"/>
          <c:tx>
            <c:strRef>
              <c:f>Fertilisants!$K$3</c:f>
              <c:strCache>
                <c:ptCount val="1"/>
                <c:pt idx="0">
                  <c:v>%NP-Non Urgent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Fertilisants!$I$4:$I$9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Fertilisants!$K$4:$K$9</c:f>
              <c:numCache>
                <c:formatCode>0.0%</c:formatCode>
                <c:ptCount val="6"/>
                <c:pt idx="0">
                  <c:v>0.13756281407035176</c:v>
                </c:pt>
                <c:pt idx="1">
                  <c:v>0.46074380165289258</c:v>
                </c:pt>
                <c:pt idx="2">
                  <c:v>0.24561403508771928</c:v>
                </c:pt>
                <c:pt idx="3">
                  <c:v>0.18768502072232091</c:v>
                </c:pt>
                <c:pt idx="4">
                  <c:v>0.23542600896860988</c:v>
                </c:pt>
                <c:pt idx="5">
                  <c:v>0.37574316290130799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B4-47FF-81A3-BB20DE05C311}"/>
            </c:ext>
          </c:extLst>
        </c:ser>
        <c:ser>
          <c:idx val="2"/>
          <c:order val="2"/>
          <c:tx>
            <c:strRef>
              <c:f>Fertilisants!$L$3</c:f>
              <c:strCache>
                <c:ptCount val="1"/>
                <c:pt idx="0">
                  <c:v>%NP-Urgent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Fertilisants!$I$4:$I$9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Fertilisants!$L$4:$L$9</c:f>
              <c:numCache>
                <c:formatCode>0.0%</c:formatCode>
                <c:ptCount val="6"/>
                <c:pt idx="0">
                  <c:v>0.44974874371859297</c:v>
                </c:pt>
                <c:pt idx="1">
                  <c:v>0.32541322314049587</c:v>
                </c:pt>
                <c:pt idx="2">
                  <c:v>0.32801701222753854</c:v>
                </c:pt>
                <c:pt idx="3">
                  <c:v>0.35879218472468916</c:v>
                </c:pt>
                <c:pt idx="4">
                  <c:v>0.27877428998505233</c:v>
                </c:pt>
                <c:pt idx="5">
                  <c:v>0.31510107015457789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B4-47FF-81A3-BB20DE05C3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69922800"/>
        <c:axId val="469930016"/>
        <c:axId val="0"/>
      </c:bar3DChart>
      <c:catAx>
        <c:axId val="469922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30016"/>
        <c:crosses val="autoZero"/>
        <c:auto val="1"/>
        <c:lblAlgn val="ctr"/>
        <c:lblOffset val="100"/>
        <c:noMultiLvlLbl val="0"/>
      </c:catAx>
      <c:valAx>
        <c:axId val="46993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22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S&amp;E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'S&amp;E'!$J$3</c:f>
              <c:strCache>
                <c:ptCount val="1"/>
                <c:pt idx="0">
                  <c:v>%Planifié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  <a:sp3d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'S&amp;E'!$I$4:$I$9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'S&amp;E'!$J$4:$J$9</c:f>
              <c:numCache>
                <c:formatCode>0.0%</c:formatCode>
                <c:ptCount val="6"/>
                <c:pt idx="0">
                  <c:v>0.13841559810293344</c:v>
                </c:pt>
                <c:pt idx="1">
                  <c:v>0.11930835734870317</c:v>
                </c:pt>
                <c:pt idx="2">
                  <c:v>6.4267352185089971E-2</c:v>
                </c:pt>
                <c:pt idx="3">
                  <c:v>0.16819277108433736</c:v>
                </c:pt>
                <c:pt idx="4">
                  <c:v>6.1385317295727916E-2</c:v>
                </c:pt>
                <c:pt idx="5">
                  <c:v>9.7222222222222224E-2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AA-4E9C-B589-16FE006411AE}"/>
            </c:ext>
          </c:extLst>
        </c:ser>
        <c:ser>
          <c:idx val="1"/>
          <c:order val="1"/>
          <c:tx>
            <c:strRef>
              <c:f>'S&amp;E'!$K$3</c:f>
              <c:strCache>
                <c:ptCount val="1"/>
                <c:pt idx="0">
                  <c:v>%NP-Non Urgent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'S&amp;E'!$I$4:$I$9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'S&amp;E'!$K$4:$K$9</c:f>
              <c:numCache>
                <c:formatCode>0.0%</c:formatCode>
                <c:ptCount val="6"/>
                <c:pt idx="0">
                  <c:v>0.18672053398910943</c:v>
                </c:pt>
                <c:pt idx="1">
                  <c:v>0.28126801152737751</c:v>
                </c:pt>
                <c:pt idx="2">
                  <c:v>0.39434447300771208</c:v>
                </c:pt>
                <c:pt idx="3">
                  <c:v>0.30024096385542171</c:v>
                </c:pt>
                <c:pt idx="4">
                  <c:v>0.27146412277063459</c:v>
                </c:pt>
                <c:pt idx="5">
                  <c:v>0.26602564102564102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AA-4E9C-B589-16FE006411AE}"/>
            </c:ext>
          </c:extLst>
        </c:ser>
        <c:ser>
          <c:idx val="2"/>
          <c:order val="2"/>
          <c:tx>
            <c:strRef>
              <c:f>'S&amp;E'!$L$3</c:f>
              <c:strCache>
                <c:ptCount val="1"/>
                <c:pt idx="0">
                  <c:v>%NP-Urgent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'S&amp;E'!$I$4:$I$9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'S&amp;E'!$L$4:$L$9</c:f>
              <c:numCache>
                <c:formatCode>0.0%</c:formatCode>
                <c:ptCount val="6"/>
                <c:pt idx="0">
                  <c:v>0.67486386790795716</c:v>
                </c:pt>
                <c:pt idx="1">
                  <c:v>0.59942363112391928</c:v>
                </c:pt>
                <c:pt idx="2">
                  <c:v>0.54138817480719792</c:v>
                </c:pt>
                <c:pt idx="3">
                  <c:v>0.53156626506024096</c:v>
                </c:pt>
                <c:pt idx="4">
                  <c:v>0.66715055993363748</c:v>
                </c:pt>
                <c:pt idx="5">
                  <c:v>0.63675213675213671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1AA-4E9C-B589-16FE006411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69922800"/>
        <c:axId val="469930016"/>
        <c:axId val="0"/>
      </c:bar3DChart>
      <c:catAx>
        <c:axId val="469922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30016"/>
        <c:crosses val="autoZero"/>
        <c:auto val="1"/>
        <c:lblAlgn val="ctr"/>
        <c:lblOffset val="100"/>
        <c:noMultiLvlLbl val="0"/>
      </c:catAx>
      <c:valAx>
        <c:axId val="46993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22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Bi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Biamonique!$J$3</c:f>
              <c:strCache>
                <c:ptCount val="1"/>
                <c:pt idx="0">
                  <c:v>%Planifié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  <a:sp3d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Biamonique!$I$4:$I$9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Biamonique!$J$4:$J$9</c:f>
              <c:numCache>
                <c:formatCode>0.0%</c:formatCode>
                <c:ptCount val="6"/>
                <c:pt idx="0">
                  <c:v>0.59436619718309858</c:v>
                </c:pt>
                <c:pt idx="1">
                  <c:v>0.26439790575916228</c:v>
                </c:pt>
                <c:pt idx="2">
                  <c:v>0.41212121212121211</c:v>
                </c:pt>
                <c:pt idx="3">
                  <c:v>0.3571428571428571</c:v>
                </c:pt>
                <c:pt idx="4">
                  <c:v>0.45707249729487709</c:v>
                </c:pt>
                <c:pt idx="5">
                  <c:v>0.6872037914691943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74-4E79-8601-554AED746E31}"/>
            </c:ext>
          </c:extLst>
        </c:ser>
        <c:ser>
          <c:idx val="1"/>
          <c:order val="1"/>
          <c:tx>
            <c:strRef>
              <c:f>Biamonique!$K$3</c:f>
              <c:strCache>
                <c:ptCount val="1"/>
                <c:pt idx="0">
                  <c:v>%NP-Non Urgent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Biamonique!$I$4:$I$9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Biamonique!$K$4:$K$9</c:f>
              <c:numCache>
                <c:formatCode>0.0%</c:formatCode>
                <c:ptCount val="6"/>
                <c:pt idx="0">
                  <c:v>6.1971830985915494E-2</c:v>
                </c:pt>
                <c:pt idx="1">
                  <c:v>0.18324607329842932</c:v>
                </c:pt>
                <c:pt idx="2">
                  <c:v>0.25757575757575757</c:v>
                </c:pt>
                <c:pt idx="3">
                  <c:v>0.11904761904761904</c:v>
                </c:pt>
                <c:pt idx="4">
                  <c:v>0.10260811163762547</c:v>
                </c:pt>
                <c:pt idx="5">
                  <c:v>7.582938388625593E-2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C74-4E79-8601-554AED746E31}"/>
            </c:ext>
          </c:extLst>
        </c:ser>
        <c:ser>
          <c:idx val="2"/>
          <c:order val="2"/>
          <c:tx>
            <c:strRef>
              <c:f>Biamonique!$L$3</c:f>
              <c:strCache>
                <c:ptCount val="1"/>
                <c:pt idx="0">
                  <c:v>%NP-Urgent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Biamonique!$I$4:$I$9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Biamonique!$L$4:$L$9</c:f>
              <c:numCache>
                <c:formatCode>0.0%</c:formatCode>
                <c:ptCount val="6"/>
                <c:pt idx="0">
                  <c:v>0.3436619718309859</c:v>
                </c:pt>
                <c:pt idx="1">
                  <c:v>0.55235602094240843</c:v>
                </c:pt>
                <c:pt idx="2">
                  <c:v>0.33030303030303032</c:v>
                </c:pt>
                <c:pt idx="3">
                  <c:v>0.52380952380952372</c:v>
                </c:pt>
                <c:pt idx="4">
                  <c:v>0.44031939106749751</c:v>
                </c:pt>
                <c:pt idx="5">
                  <c:v>0.23696682464454977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C74-4E79-8601-554AED746E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69922800"/>
        <c:axId val="469930016"/>
        <c:axId val="0"/>
      </c:bar3DChart>
      <c:catAx>
        <c:axId val="469922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30016"/>
        <c:crosses val="autoZero"/>
        <c:auto val="1"/>
        <c:lblAlgn val="ctr"/>
        <c:lblOffset val="100"/>
        <c:noMultiLvlLbl val="0"/>
      </c:catAx>
      <c:valAx>
        <c:axId val="46993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22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PTA</a:t>
            </a:r>
          </a:p>
        </c:rich>
      </c:tx>
      <c:layout>
        <c:manualLayout>
          <c:xMode val="edge"/>
          <c:yMode val="edge"/>
          <c:x val="0.46050666666666668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STPP!$J$3</c:f>
              <c:strCache>
                <c:ptCount val="1"/>
                <c:pt idx="0">
                  <c:v>%Planifié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  <a:sp3d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STPP!$I$4:$I$9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STPP!$J$4:$J$9</c:f>
              <c:numCache>
                <c:formatCode>0.0%</c:formatCode>
                <c:ptCount val="6"/>
                <c:pt idx="0">
                  <c:v>0.26310947562097514</c:v>
                </c:pt>
                <c:pt idx="1">
                  <c:v>0.36325729703213144</c:v>
                </c:pt>
                <c:pt idx="2">
                  <c:v>0.26487148102815178</c:v>
                </c:pt>
                <c:pt idx="3">
                  <c:v>0.20393299344501092</c:v>
                </c:pt>
                <c:pt idx="4">
                  <c:v>0.1674544226873734</c:v>
                </c:pt>
                <c:pt idx="5">
                  <c:v>0.10552763819095477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56-4745-AF9E-11B086DC2772}"/>
            </c:ext>
          </c:extLst>
        </c:ser>
        <c:ser>
          <c:idx val="1"/>
          <c:order val="1"/>
          <c:tx>
            <c:strRef>
              <c:f>STPP!$K$3</c:f>
              <c:strCache>
                <c:ptCount val="1"/>
                <c:pt idx="0">
                  <c:v>%NP-Non Urgent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STPP!$I$4:$I$9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STPP!$K$4:$K$9</c:f>
              <c:numCache>
                <c:formatCode>0.0%</c:formatCode>
                <c:ptCount val="6"/>
                <c:pt idx="0">
                  <c:v>0.13707451701931922</c:v>
                </c:pt>
                <c:pt idx="1">
                  <c:v>0.3081922982585234</c:v>
                </c:pt>
                <c:pt idx="2">
                  <c:v>0.10722154222766218</c:v>
                </c:pt>
                <c:pt idx="3">
                  <c:v>0.15076474872541878</c:v>
                </c:pt>
                <c:pt idx="4">
                  <c:v>7.7650236326806218E-2</c:v>
                </c:pt>
                <c:pt idx="5">
                  <c:v>0.17420435510887772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56-4745-AF9E-11B086DC2772}"/>
            </c:ext>
          </c:extLst>
        </c:ser>
        <c:ser>
          <c:idx val="2"/>
          <c:order val="2"/>
          <c:tx>
            <c:strRef>
              <c:f>STPP!$L$3</c:f>
              <c:strCache>
                <c:ptCount val="1"/>
                <c:pt idx="0">
                  <c:v>%NP-Urgent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STPP!$I$4:$I$9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STPP!$L$4:$L$9</c:f>
              <c:numCache>
                <c:formatCode>0.0%</c:formatCode>
                <c:ptCount val="6"/>
                <c:pt idx="0">
                  <c:v>0.59981600735970564</c:v>
                </c:pt>
                <c:pt idx="1">
                  <c:v>0.3285504047093451</c:v>
                </c:pt>
                <c:pt idx="2">
                  <c:v>0.62790697674418605</c:v>
                </c:pt>
                <c:pt idx="3">
                  <c:v>0.64530225782957029</c:v>
                </c:pt>
                <c:pt idx="4">
                  <c:v>0.75489534098582034</c:v>
                </c:pt>
                <c:pt idx="5">
                  <c:v>0.72026800670016755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756-4745-AF9E-11B086DC27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69922800"/>
        <c:axId val="469930016"/>
        <c:axId val="0"/>
      </c:bar3DChart>
      <c:catAx>
        <c:axId val="469922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30016"/>
        <c:crosses val="autoZero"/>
        <c:auto val="1"/>
        <c:lblAlgn val="ctr"/>
        <c:lblOffset val="100"/>
        <c:noMultiLvlLbl val="0"/>
      </c:catAx>
      <c:valAx>
        <c:axId val="46993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22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D1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'D1'!$J$3</c:f>
              <c:strCache>
                <c:ptCount val="1"/>
                <c:pt idx="0">
                  <c:v>%Planifié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  <a:sp3d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FA0-4CDC-B3A0-9518B001ABA8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FA0-4CDC-B3A0-9518B001ABA8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'D1'!$I$4:$I$9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'D1'!$J$4:$J$9</c:f>
              <c:numCache>
                <c:formatCode>0.0%</c:formatCode>
                <c:ptCount val="6"/>
                <c:pt idx="0">
                  <c:v>0</c:v>
                </c:pt>
                <c:pt idx="1">
                  <c:v>2.0661157024793389E-2</c:v>
                </c:pt>
                <c:pt idx="2">
                  <c:v>3.3613445378151259E-2</c:v>
                </c:pt>
                <c:pt idx="3">
                  <c:v>0.48360655737704916</c:v>
                </c:pt>
                <c:pt idx="4">
                  <c:v>0.18823529411764706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FA0-4CDC-B3A0-9518B001ABA8}"/>
            </c:ext>
          </c:extLst>
        </c:ser>
        <c:ser>
          <c:idx val="1"/>
          <c:order val="1"/>
          <c:tx>
            <c:strRef>
              <c:f>'D1'!$K$3</c:f>
              <c:strCache>
                <c:ptCount val="1"/>
                <c:pt idx="0">
                  <c:v>%NP-Non Urgent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FA0-4CDC-B3A0-9518B001ABA8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FA0-4CDC-B3A0-9518B001ABA8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FA0-4CDC-B3A0-9518B001ABA8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'D1'!$I$4:$I$9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'D1'!$K$4:$K$9</c:f>
              <c:numCache>
                <c:formatCode>0.0%</c:formatCode>
                <c:ptCount val="6"/>
                <c:pt idx="0">
                  <c:v>0.23972602739726026</c:v>
                </c:pt>
                <c:pt idx="1">
                  <c:v>0.73140495867768596</c:v>
                </c:pt>
                <c:pt idx="2">
                  <c:v>0</c:v>
                </c:pt>
                <c:pt idx="3">
                  <c:v>0.34426229508196721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FA0-4CDC-B3A0-9518B001ABA8}"/>
            </c:ext>
          </c:extLst>
        </c:ser>
        <c:ser>
          <c:idx val="2"/>
          <c:order val="2"/>
          <c:tx>
            <c:strRef>
              <c:f>'D1'!$L$3</c:f>
              <c:strCache>
                <c:ptCount val="1"/>
                <c:pt idx="0">
                  <c:v>%NP-Urgent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'D1'!$I$4:$I$9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'D1'!$L$4:$L$9</c:f>
              <c:numCache>
                <c:formatCode>0.0%</c:formatCode>
                <c:ptCount val="6"/>
                <c:pt idx="0">
                  <c:v>0.76027397260273977</c:v>
                </c:pt>
                <c:pt idx="1">
                  <c:v>0.24793388429752067</c:v>
                </c:pt>
                <c:pt idx="2">
                  <c:v>0.96638655462184875</c:v>
                </c:pt>
                <c:pt idx="3">
                  <c:v>0.1721311475409836</c:v>
                </c:pt>
                <c:pt idx="4">
                  <c:v>0.81176470588235294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FA0-4CDC-B3A0-9518B001AB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69922800"/>
        <c:axId val="469930016"/>
        <c:axId val="0"/>
      </c:bar3DChart>
      <c:catAx>
        <c:axId val="469922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30016"/>
        <c:crosses val="autoZero"/>
        <c:auto val="1"/>
        <c:lblAlgn val="ctr"/>
        <c:lblOffset val="100"/>
        <c:noMultiLvlLbl val="0"/>
      </c:catAx>
      <c:valAx>
        <c:axId val="46993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22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Zéoline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Zéoline!$J$3</c:f>
              <c:strCache>
                <c:ptCount val="1"/>
                <c:pt idx="0">
                  <c:v>%Planifié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  <a:sp3d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30B1-4244-A45E-3B3EABD4E3F2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Zéoline!$I$4:$I$9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Zéoline!$J$4:$J$9</c:f>
              <c:numCache>
                <c:formatCode>0.0%</c:formatCode>
                <c:ptCount val="6"/>
                <c:pt idx="0">
                  <c:v>0</c:v>
                </c:pt>
                <c:pt idx="1">
                  <c:v>0.18378378378378379</c:v>
                </c:pt>
                <c:pt idx="2">
                  <c:v>0.25263157894736843</c:v>
                </c:pt>
                <c:pt idx="3">
                  <c:v>0.24436090225563908</c:v>
                </c:pt>
                <c:pt idx="4">
                  <c:v>0.67247686679578222</c:v>
                </c:pt>
                <c:pt idx="5">
                  <c:v>2.6490066225165563E-2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0B1-4244-A45E-3B3EABD4E3F2}"/>
            </c:ext>
          </c:extLst>
        </c:ser>
        <c:ser>
          <c:idx val="1"/>
          <c:order val="1"/>
          <c:tx>
            <c:strRef>
              <c:f>Zéoline!$K$3</c:f>
              <c:strCache>
                <c:ptCount val="1"/>
                <c:pt idx="0">
                  <c:v>%NP-Non Urgent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0B1-4244-A45E-3B3EABD4E3F2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Zéoline!$I$4:$I$9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Zéoline!$K$4:$K$9</c:f>
              <c:numCache>
                <c:formatCode>0.0%</c:formatCode>
                <c:ptCount val="6"/>
                <c:pt idx="0">
                  <c:v>0</c:v>
                </c:pt>
                <c:pt idx="1">
                  <c:v>0.14054054054054055</c:v>
                </c:pt>
                <c:pt idx="2">
                  <c:v>0</c:v>
                </c:pt>
                <c:pt idx="3">
                  <c:v>0.21052631578947367</c:v>
                </c:pt>
                <c:pt idx="4">
                  <c:v>0.22982569399612654</c:v>
                </c:pt>
                <c:pt idx="5">
                  <c:v>0.54966887417218546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0B1-4244-A45E-3B3EABD4E3F2}"/>
            </c:ext>
          </c:extLst>
        </c:ser>
        <c:ser>
          <c:idx val="2"/>
          <c:order val="2"/>
          <c:tx>
            <c:strRef>
              <c:f>Zéoline!$L$3</c:f>
              <c:strCache>
                <c:ptCount val="1"/>
                <c:pt idx="0">
                  <c:v>%NP-Urgent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Zéoline!$I$4:$I$9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Zéoline!$L$4:$L$9</c:f>
              <c:numCache>
                <c:formatCode>0.0%</c:formatCode>
                <c:ptCount val="6"/>
                <c:pt idx="0">
                  <c:v>1</c:v>
                </c:pt>
                <c:pt idx="1">
                  <c:v>0.67567567567567566</c:v>
                </c:pt>
                <c:pt idx="2">
                  <c:v>0.74736842105263157</c:v>
                </c:pt>
                <c:pt idx="3">
                  <c:v>0.54511278195488722</c:v>
                </c:pt>
                <c:pt idx="4">
                  <c:v>9.7697439208091236E-2</c:v>
                </c:pt>
                <c:pt idx="5">
                  <c:v>0.42384105960264901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0B1-4244-A45E-3B3EABD4E3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69922800"/>
        <c:axId val="469930016"/>
        <c:axId val="0"/>
      </c:bar3DChart>
      <c:catAx>
        <c:axId val="469922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30016"/>
        <c:crosses val="autoZero"/>
        <c:auto val="1"/>
        <c:lblAlgn val="ctr"/>
        <c:lblOffset val="100"/>
        <c:noMultiLvlLbl val="0"/>
      </c:catAx>
      <c:valAx>
        <c:axId val="46993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22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Maintenance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Maintenance!$J$3</c:f>
              <c:strCache>
                <c:ptCount val="1"/>
                <c:pt idx="0">
                  <c:v>%Planifié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  <a:sp3d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Maintenance!$I$4:$I$9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Maintenance!$J$4:$J$9</c:f>
              <c:numCache>
                <c:formatCode>0.0%</c:formatCode>
                <c:ptCount val="6"/>
                <c:pt idx="0">
                  <c:v>0.27459954233409611</c:v>
                </c:pt>
                <c:pt idx="1">
                  <c:v>0.1</c:v>
                </c:pt>
                <c:pt idx="2">
                  <c:v>0.37142857142857144</c:v>
                </c:pt>
                <c:pt idx="3">
                  <c:v>0.32214765100671139</c:v>
                </c:pt>
                <c:pt idx="4">
                  <c:v>0.15573770491803279</c:v>
                </c:pt>
                <c:pt idx="5">
                  <c:v>0.23809523809523808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FF3-4B46-A5B8-4E46D1CC74C5}"/>
            </c:ext>
          </c:extLst>
        </c:ser>
        <c:ser>
          <c:idx val="1"/>
          <c:order val="1"/>
          <c:tx>
            <c:strRef>
              <c:f>Maintenance!$K$3</c:f>
              <c:strCache>
                <c:ptCount val="1"/>
                <c:pt idx="0">
                  <c:v>%NP-Non Urgent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Maintenance!$I$4:$I$9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Maintenance!$K$4:$K$9</c:f>
              <c:numCache>
                <c:formatCode>0.0%</c:formatCode>
                <c:ptCount val="6"/>
                <c:pt idx="0">
                  <c:v>0.69794050343249425</c:v>
                </c:pt>
                <c:pt idx="1">
                  <c:v>0.33846153846153848</c:v>
                </c:pt>
                <c:pt idx="2">
                  <c:v>0.62857142857142856</c:v>
                </c:pt>
                <c:pt idx="3">
                  <c:v>0.48993288590604028</c:v>
                </c:pt>
                <c:pt idx="4">
                  <c:v>0.77459016393442626</c:v>
                </c:pt>
                <c:pt idx="5">
                  <c:v>0.76190476190476186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FF3-4B46-A5B8-4E46D1CC74C5}"/>
            </c:ext>
          </c:extLst>
        </c:ser>
        <c:ser>
          <c:idx val="2"/>
          <c:order val="2"/>
          <c:tx>
            <c:strRef>
              <c:f>Maintenance!$L$3</c:f>
              <c:strCache>
                <c:ptCount val="1"/>
                <c:pt idx="0">
                  <c:v>%NP-Urgent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Maintenance!$I$4:$I$9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Maintenance!$L$4:$L$9</c:f>
              <c:numCache>
                <c:formatCode>0.0%</c:formatCode>
                <c:ptCount val="6"/>
                <c:pt idx="0">
                  <c:v>2.7459954233409609E-2</c:v>
                </c:pt>
                <c:pt idx="1">
                  <c:v>0.56153846153846154</c:v>
                </c:pt>
                <c:pt idx="2">
                  <c:v>0</c:v>
                </c:pt>
                <c:pt idx="3">
                  <c:v>0.18791946308724833</c:v>
                </c:pt>
                <c:pt idx="4">
                  <c:v>6.9672131147540978E-2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FF3-4B46-A5B8-4E46D1CC74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69922800"/>
        <c:axId val="469930016"/>
        <c:axId val="0"/>
      </c:bar3DChart>
      <c:catAx>
        <c:axId val="469922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30016"/>
        <c:crosses val="autoZero"/>
        <c:auto val="1"/>
        <c:lblAlgn val="ctr"/>
        <c:lblOffset val="100"/>
        <c:noMultiLvlLbl val="0"/>
      </c:catAx>
      <c:valAx>
        <c:axId val="46993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22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Silox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Silox!$J$3</c:f>
              <c:strCache>
                <c:ptCount val="1"/>
                <c:pt idx="0">
                  <c:v>%Planifié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  <a:sp3d/>
          </c:spPr>
          <c:invertIfNegative val="0"/>
          <c:cat>
            <c:strRef>
              <c:f>Silox!$I$4:$I$9</c:f>
              <c:strCache>
                <c:ptCount val="5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juin</c:v>
                </c:pt>
              </c:strCache>
            </c:strRef>
          </c:cat>
          <c:val>
            <c:numRef>
              <c:f>Silox!$J$4:$J$9</c:f>
              <c:numCache>
                <c:formatCode>0.0%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CD-4E31-B24B-E2DC8DD42EDB}"/>
            </c:ext>
          </c:extLst>
        </c:ser>
        <c:ser>
          <c:idx val="1"/>
          <c:order val="1"/>
          <c:tx>
            <c:strRef>
              <c:f>Silox!$K$3</c:f>
              <c:strCache>
                <c:ptCount val="1"/>
                <c:pt idx="0">
                  <c:v>%NP-Non Urgent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7CD-4E31-B24B-E2DC8DD42EDB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7CD-4E31-B24B-E2DC8DD42EDB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7CD-4E31-B24B-E2DC8DD42EDB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Silox!$I$4:$I$9</c:f>
              <c:strCache>
                <c:ptCount val="5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juin</c:v>
                </c:pt>
              </c:strCache>
            </c:strRef>
          </c:cat>
          <c:val>
            <c:numRef>
              <c:f>Silox!$K$4:$K$9</c:f>
              <c:numCache>
                <c:formatCode>0.0%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0.45454545454545453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7CD-4E31-B24B-E2DC8DD42EDB}"/>
            </c:ext>
          </c:extLst>
        </c:ser>
        <c:ser>
          <c:idx val="2"/>
          <c:order val="2"/>
          <c:tx>
            <c:strRef>
              <c:f>Silox!$L$3</c:f>
              <c:strCache>
                <c:ptCount val="1"/>
                <c:pt idx="0">
                  <c:v>%NP-Urgent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Silox!$I$4:$I$9</c:f>
              <c:strCache>
                <c:ptCount val="5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juin</c:v>
                </c:pt>
              </c:strCache>
            </c:strRef>
          </c:cat>
          <c:val>
            <c:numRef>
              <c:f>Silox!$L$4:$L$9</c:f>
              <c:numCache>
                <c:formatCode>0.0%</c:formatCode>
                <c:ptCount val="6"/>
                <c:pt idx="0">
                  <c:v>1</c:v>
                </c:pt>
                <c:pt idx="1">
                  <c:v>1</c:v>
                </c:pt>
                <c:pt idx="2">
                  <c:v>0.54545454545454541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7CD-4E31-B24B-E2DC8DD42E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69922800"/>
        <c:axId val="469930016"/>
        <c:axId val="0"/>
      </c:bar3DChart>
      <c:catAx>
        <c:axId val="469922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30016"/>
        <c:crosses val="autoZero"/>
        <c:auto val="1"/>
        <c:lblAlgn val="ctr"/>
        <c:lblOffset val="100"/>
        <c:noMultiLvlLbl val="0"/>
      </c:catAx>
      <c:valAx>
        <c:axId val="46993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22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Autres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Autres!$J$3</c:f>
              <c:strCache>
                <c:ptCount val="1"/>
                <c:pt idx="0">
                  <c:v>%Planifié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  <a:sp3d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Autres!$I$4:$I$9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Autres!$J$4:$J$9</c:f>
              <c:numCache>
                <c:formatCode>0.0%</c:formatCode>
                <c:ptCount val="6"/>
                <c:pt idx="0">
                  <c:v>0.40308747855917665</c:v>
                </c:pt>
                <c:pt idx="1">
                  <c:v>0.310126582278481</c:v>
                </c:pt>
                <c:pt idx="2">
                  <c:v>0.45439260193358555</c:v>
                </c:pt>
                <c:pt idx="3">
                  <c:v>0.31315042573320717</c:v>
                </c:pt>
                <c:pt idx="4">
                  <c:v>0.50213592233009707</c:v>
                </c:pt>
                <c:pt idx="5">
                  <c:v>0.23045267489711935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F04-4EAF-A329-B5B16F6E793D}"/>
            </c:ext>
          </c:extLst>
        </c:ser>
        <c:ser>
          <c:idx val="1"/>
          <c:order val="1"/>
          <c:tx>
            <c:strRef>
              <c:f>Autres!$K$3</c:f>
              <c:strCache>
                <c:ptCount val="1"/>
                <c:pt idx="0">
                  <c:v>%NP-Non Urgent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Autres!$I$4:$I$9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Autres!$K$4:$K$9</c:f>
              <c:numCache>
                <c:formatCode>0.0%</c:formatCode>
                <c:ptCount val="6"/>
                <c:pt idx="0">
                  <c:v>0.44682675814751288</c:v>
                </c:pt>
                <c:pt idx="1">
                  <c:v>0.36392405063291139</c:v>
                </c:pt>
                <c:pt idx="2">
                  <c:v>0.36738125262715426</c:v>
                </c:pt>
                <c:pt idx="3">
                  <c:v>0.38883632923368022</c:v>
                </c:pt>
                <c:pt idx="4">
                  <c:v>0.38679611650485435</c:v>
                </c:pt>
                <c:pt idx="5">
                  <c:v>0.2448559670781893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F04-4EAF-A329-B5B16F6E793D}"/>
            </c:ext>
          </c:extLst>
        </c:ser>
        <c:ser>
          <c:idx val="2"/>
          <c:order val="2"/>
          <c:tx>
            <c:strRef>
              <c:f>Autres!$L$3</c:f>
              <c:strCache>
                <c:ptCount val="1"/>
                <c:pt idx="0">
                  <c:v>%NP-Urgent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Autres!$I$4:$I$9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Autres!$L$4:$L$9</c:f>
              <c:numCache>
                <c:formatCode>0.0%</c:formatCode>
                <c:ptCount val="6"/>
                <c:pt idx="0">
                  <c:v>0.15008576329331047</c:v>
                </c:pt>
                <c:pt idx="1">
                  <c:v>0.32594936708860761</c:v>
                </c:pt>
                <c:pt idx="2">
                  <c:v>0.17822614543926019</c:v>
                </c:pt>
                <c:pt idx="3">
                  <c:v>0.29801324503311261</c:v>
                </c:pt>
                <c:pt idx="4">
                  <c:v>0.11106796116504854</c:v>
                </c:pt>
                <c:pt idx="5">
                  <c:v>0.52469135802469136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F04-4EAF-A329-B5B16F6E79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69922800"/>
        <c:axId val="469930016"/>
        <c:axId val="0"/>
      </c:bar3DChart>
      <c:catAx>
        <c:axId val="469922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30016"/>
        <c:crosses val="autoZero"/>
        <c:auto val="1"/>
        <c:lblAlgn val="ctr"/>
        <c:lblOffset val="100"/>
        <c:noMultiLvlLbl val="0"/>
      </c:catAx>
      <c:valAx>
        <c:axId val="46993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22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Biamonique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Biamonique!$J$3</c:f>
              <c:strCache>
                <c:ptCount val="1"/>
                <c:pt idx="0">
                  <c:v>%Planifié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Biamonique!$I$4:$I$9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Biamonique!$J$4:$J$9</c:f>
              <c:numCache>
                <c:formatCode>0.0%</c:formatCode>
                <c:ptCount val="6"/>
                <c:pt idx="0">
                  <c:v>0.59436619718309858</c:v>
                </c:pt>
                <c:pt idx="1">
                  <c:v>0.26439790575916228</c:v>
                </c:pt>
                <c:pt idx="2">
                  <c:v>0.41212121212121211</c:v>
                </c:pt>
                <c:pt idx="3">
                  <c:v>0.3571428571428571</c:v>
                </c:pt>
                <c:pt idx="4">
                  <c:v>0.45707249729487709</c:v>
                </c:pt>
                <c:pt idx="5">
                  <c:v>0.6872037914691943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51-4A57-9AC0-C2E557AF9BED}"/>
            </c:ext>
          </c:extLst>
        </c:ser>
        <c:ser>
          <c:idx val="1"/>
          <c:order val="1"/>
          <c:tx>
            <c:strRef>
              <c:f>Biamonique!$K$3</c:f>
              <c:strCache>
                <c:ptCount val="1"/>
                <c:pt idx="0">
                  <c:v>%NP-Non Urgent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Biamonique!$I$4:$I$9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Biamonique!$K$4:$K$9</c:f>
              <c:numCache>
                <c:formatCode>0.0%</c:formatCode>
                <c:ptCount val="6"/>
                <c:pt idx="0">
                  <c:v>6.1971830985915494E-2</c:v>
                </c:pt>
                <c:pt idx="1">
                  <c:v>0.18324607329842932</c:v>
                </c:pt>
                <c:pt idx="2">
                  <c:v>0.25757575757575757</c:v>
                </c:pt>
                <c:pt idx="3">
                  <c:v>0.11904761904761904</c:v>
                </c:pt>
                <c:pt idx="4">
                  <c:v>0.10260811163762547</c:v>
                </c:pt>
                <c:pt idx="5">
                  <c:v>7.582938388625593E-2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C51-4A57-9AC0-C2E557AF9BED}"/>
            </c:ext>
          </c:extLst>
        </c:ser>
        <c:ser>
          <c:idx val="2"/>
          <c:order val="2"/>
          <c:tx>
            <c:strRef>
              <c:f>Biamonique!$L$3</c:f>
              <c:strCache>
                <c:ptCount val="1"/>
                <c:pt idx="0">
                  <c:v>%NP-Urgent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Biamonique!$I$4:$I$9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Biamonique!$L$4:$L$9</c:f>
              <c:numCache>
                <c:formatCode>0.0%</c:formatCode>
                <c:ptCount val="6"/>
                <c:pt idx="0">
                  <c:v>0.3436619718309859</c:v>
                </c:pt>
                <c:pt idx="1">
                  <c:v>0.55235602094240843</c:v>
                </c:pt>
                <c:pt idx="2">
                  <c:v>0.33030303030303032</c:v>
                </c:pt>
                <c:pt idx="3">
                  <c:v>0.52380952380952372</c:v>
                </c:pt>
                <c:pt idx="4">
                  <c:v>0.44031939106749751</c:v>
                </c:pt>
                <c:pt idx="5">
                  <c:v>0.23696682464454977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C51-4A57-9AC0-C2E557AF9B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69922800"/>
        <c:axId val="469930016"/>
        <c:axId val="0"/>
      </c:bar3DChart>
      <c:catAx>
        <c:axId val="469922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30016"/>
        <c:crosses val="autoZero"/>
        <c:auto val="1"/>
        <c:lblAlgn val="ctr"/>
        <c:lblOffset val="100"/>
        <c:noMultiLvlLbl val="0"/>
      </c:catAx>
      <c:valAx>
        <c:axId val="46993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22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Autres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Autres!$J$3</c:f>
              <c:strCache>
                <c:ptCount val="1"/>
                <c:pt idx="0">
                  <c:v>%Planifié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Autres!$I$4:$I$9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Autres!$J$4:$J$9</c:f>
              <c:numCache>
                <c:formatCode>0.0%</c:formatCode>
                <c:ptCount val="6"/>
                <c:pt idx="0">
                  <c:v>0.40308747855917665</c:v>
                </c:pt>
                <c:pt idx="1">
                  <c:v>0.310126582278481</c:v>
                </c:pt>
                <c:pt idx="2">
                  <c:v>0.45439260193358555</c:v>
                </c:pt>
                <c:pt idx="3">
                  <c:v>0.31315042573320717</c:v>
                </c:pt>
                <c:pt idx="4">
                  <c:v>0.50213592233009707</c:v>
                </c:pt>
                <c:pt idx="5">
                  <c:v>0.23045267489711935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C2-453C-9BBF-313BE1452D3D}"/>
            </c:ext>
          </c:extLst>
        </c:ser>
        <c:ser>
          <c:idx val="1"/>
          <c:order val="1"/>
          <c:tx>
            <c:strRef>
              <c:f>Autres!$K$3</c:f>
              <c:strCache>
                <c:ptCount val="1"/>
                <c:pt idx="0">
                  <c:v>%NP-Non Urgent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Autres!$I$4:$I$9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Autres!$K$4:$K$9</c:f>
              <c:numCache>
                <c:formatCode>0.0%</c:formatCode>
                <c:ptCount val="6"/>
                <c:pt idx="0">
                  <c:v>0.44682675814751288</c:v>
                </c:pt>
                <c:pt idx="1">
                  <c:v>0.36392405063291139</c:v>
                </c:pt>
                <c:pt idx="2">
                  <c:v>0.36738125262715426</c:v>
                </c:pt>
                <c:pt idx="3">
                  <c:v>0.38883632923368022</c:v>
                </c:pt>
                <c:pt idx="4">
                  <c:v>0.38679611650485435</c:v>
                </c:pt>
                <c:pt idx="5">
                  <c:v>0.2448559670781893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9C2-453C-9BBF-313BE1452D3D}"/>
            </c:ext>
          </c:extLst>
        </c:ser>
        <c:ser>
          <c:idx val="2"/>
          <c:order val="2"/>
          <c:tx>
            <c:strRef>
              <c:f>Autres!$L$3</c:f>
              <c:strCache>
                <c:ptCount val="1"/>
                <c:pt idx="0">
                  <c:v>%NP-Urgent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Autres!$I$4:$I$9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Autres!$L$4:$L$9</c:f>
              <c:numCache>
                <c:formatCode>0.0%</c:formatCode>
                <c:ptCount val="6"/>
                <c:pt idx="0">
                  <c:v>0.15008576329331047</c:v>
                </c:pt>
                <c:pt idx="1">
                  <c:v>0.32594936708860761</c:v>
                </c:pt>
                <c:pt idx="2">
                  <c:v>0.17822614543926019</c:v>
                </c:pt>
                <c:pt idx="3">
                  <c:v>0.29801324503311261</c:v>
                </c:pt>
                <c:pt idx="4">
                  <c:v>0.11106796116504854</c:v>
                </c:pt>
                <c:pt idx="5">
                  <c:v>0.52469135802469136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9C2-453C-9BBF-313BE1452D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69922800"/>
        <c:axId val="469930016"/>
        <c:axId val="0"/>
      </c:bar3DChart>
      <c:catAx>
        <c:axId val="469922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30016"/>
        <c:crosses val="autoZero"/>
        <c:auto val="1"/>
        <c:lblAlgn val="ctr"/>
        <c:lblOffset val="100"/>
        <c:noMultiLvlLbl val="0"/>
      </c:catAx>
      <c:valAx>
        <c:axId val="46993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22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D1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'D1'!$J$3</c:f>
              <c:strCache>
                <c:ptCount val="1"/>
                <c:pt idx="0">
                  <c:v>%Planifié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'D1'!$I$4:$I$9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'D1'!$J$4:$J$9</c:f>
              <c:numCache>
                <c:formatCode>0.0%</c:formatCode>
                <c:ptCount val="6"/>
                <c:pt idx="0">
                  <c:v>0</c:v>
                </c:pt>
                <c:pt idx="1">
                  <c:v>2.0661157024793389E-2</c:v>
                </c:pt>
                <c:pt idx="2">
                  <c:v>3.3613445378151259E-2</c:v>
                </c:pt>
                <c:pt idx="3">
                  <c:v>0.48360655737704916</c:v>
                </c:pt>
                <c:pt idx="4">
                  <c:v>0.18823529411764706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F0-4D30-ACC7-F10B7EFE89D6}"/>
            </c:ext>
          </c:extLst>
        </c:ser>
        <c:ser>
          <c:idx val="1"/>
          <c:order val="1"/>
          <c:tx>
            <c:strRef>
              <c:f>'D1'!$K$3</c:f>
              <c:strCache>
                <c:ptCount val="1"/>
                <c:pt idx="0">
                  <c:v>%NP-Non Urgent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'D1'!$I$4:$I$9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'D1'!$K$4:$K$9</c:f>
              <c:numCache>
                <c:formatCode>0.0%</c:formatCode>
                <c:ptCount val="6"/>
                <c:pt idx="0">
                  <c:v>0.23972602739726026</c:v>
                </c:pt>
                <c:pt idx="1">
                  <c:v>0.73140495867768596</c:v>
                </c:pt>
                <c:pt idx="2">
                  <c:v>0</c:v>
                </c:pt>
                <c:pt idx="3">
                  <c:v>0.34426229508196721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F0-4D30-ACC7-F10B7EFE89D6}"/>
            </c:ext>
          </c:extLst>
        </c:ser>
        <c:ser>
          <c:idx val="2"/>
          <c:order val="2"/>
          <c:tx>
            <c:strRef>
              <c:f>'D1'!$L$3</c:f>
              <c:strCache>
                <c:ptCount val="1"/>
                <c:pt idx="0">
                  <c:v>%NP-Urgent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'D1'!$I$4:$I$9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'D1'!$L$4:$L$9</c:f>
              <c:numCache>
                <c:formatCode>0.0%</c:formatCode>
                <c:ptCount val="6"/>
                <c:pt idx="0">
                  <c:v>0.76027397260273977</c:v>
                </c:pt>
                <c:pt idx="1">
                  <c:v>0.24793388429752067</c:v>
                </c:pt>
                <c:pt idx="2">
                  <c:v>0.96638655462184875</c:v>
                </c:pt>
                <c:pt idx="3">
                  <c:v>0.1721311475409836</c:v>
                </c:pt>
                <c:pt idx="4">
                  <c:v>0.81176470588235294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3F0-4D30-ACC7-F10B7EFE89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69922800"/>
        <c:axId val="469930016"/>
        <c:axId val="0"/>
      </c:bar3DChart>
      <c:catAx>
        <c:axId val="469922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30016"/>
        <c:crosses val="autoZero"/>
        <c:auto val="1"/>
        <c:lblAlgn val="ctr"/>
        <c:lblOffset val="100"/>
        <c:noMultiLvlLbl val="0"/>
      </c:catAx>
      <c:valAx>
        <c:axId val="46993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22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Fertilisants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Fertilisants!$J$3</c:f>
              <c:strCache>
                <c:ptCount val="1"/>
                <c:pt idx="0">
                  <c:v>%Planifié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Fertilisants!$I$4:$I$9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Fertilisants!$J$4:$J$9</c:f>
              <c:numCache>
                <c:formatCode>0.0%</c:formatCode>
                <c:ptCount val="6"/>
                <c:pt idx="0">
                  <c:v>0.41268844221105527</c:v>
                </c:pt>
                <c:pt idx="1">
                  <c:v>0.21384297520661158</c:v>
                </c:pt>
                <c:pt idx="2">
                  <c:v>0.42636895268474218</c:v>
                </c:pt>
                <c:pt idx="3">
                  <c:v>0.45352279455298994</c:v>
                </c:pt>
                <c:pt idx="4">
                  <c:v>0.4857997010463378</c:v>
                </c:pt>
                <c:pt idx="5">
                  <c:v>0.30915576694411417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16-4039-A505-8887BAA08B99}"/>
            </c:ext>
          </c:extLst>
        </c:ser>
        <c:ser>
          <c:idx val="1"/>
          <c:order val="1"/>
          <c:tx>
            <c:strRef>
              <c:f>Fertilisants!$K$3</c:f>
              <c:strCache>
                <c:ptCount val="1"/>
                <c:pt idx="0">
                  <c:v>%NP-Non Urgent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Fertilisants!$I$4:$I$9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Fertilisants!$K$4:$K$9</c:f>
              <c:numCache>
                <c:formatCode>0.0%</c:formatCode>
                <c:ptCount val="6"/>
                <c:pt idx="0">
                  <c:v>0.13756281407035176</c:v>
                </c:pt>
                <c:pt idx="1">
                  <c:v>0.46074380165289258</c:v>
                </c:pt>
                <c:pt idx="2">
                  <c:v>0.24561403508771928</c:v>
                </c:pt>
                <c:pt idx="3">
                  <c:v>0.18768502072232091</c:v>
                </c:pt>
                <c:pt idx="4">
                  <c:v>0.23542600896860988</c:v>
                </c:pt>
                <c:pt idx="5">
                  <c:v>0.37574316290130799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516-4039-A505-8887BAA08B99}"/>
            </c:ext>
          </c:extLst>
        </c:ser>
        <c:ser>
          <c:idx val="2"/>
          <c:order val="2"/>
          <c:tx>
            <c:strRef>
              <c:f>Fertilisants!$L$3</c:f>
              <c:strCache>
                <c:ptCount val="1"/>
                <c:pt idx="0">
                  <c:v>%NP-Urgent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Fertilisants!$I$4:$I$9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Fertilisants!$L$4:$L$9</c:f>
              <c:numCache>
                <c:formatCode>0.0%</c:formatCode>
                <c:ptCount val="6"/>
                <c:pt idx="0">
                  <c:v>0.44974874371859297</c:v>
                </c:pt>
                <c:pt idx="1">
                  <c:v>0.32541322314049587</c:v>
                </c:pt>
                <c:pt idx="2">
                  <c:v>0.32801701222753854</c:v>
                </c:pt>
                <c:pt idx="3">
                  <c:v>0.35879218472468916</c:v>
                </c:pt>
                <c:pt idx="4">
                  <c:v>0.27877428998505233</c:v>
                </c:pt>
                <c:pt idx="5">
                  <c:v>0.31510107015457789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516-4039-A505-8887BAA08B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69922800"/>
        <c:axId val="469930016"/>
        <c:axId val="0"/>
      </c:bar3DChart>
      <c:catAx>
        <c:axId val="469922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30016"/>
        <c:crosses val="autoZero"/>
        <c:auto val="1"/>
        <c:lblAlgn val="ctr"/>
        <c:lblOffset val="100"/>
        <c:noMultiLvlLbl val="0"/>
      </c:catAx>
      <c:valAx>
        <c:axId val="46993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22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Maintenance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Maintenance!$J$3</c:f>
              <c:strCache>
                <c:ptCount val="1"/>
                <c:pt idx="0">
                  <c:v>%Planifié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Maintenance!$I$4:$I$9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Maintenance!$J$4:$J$9</c:f>
              <c:numCache>
                <c:formatCode>0.0%</c:formatCode>
                <c:ptCount val="6"/>
                <c:pt idx="0">
                  <c:v>0.27459954233409611</c:v>
                </c:pt>
                <c:pt idx="1">
                  <c:v>0.1</c:v>
                </c:pt>
                <c:pt idx="2">
                  <c:v>0.37142857142857144</c:v>
                </c:pt>
                <c:pt idx="3">
                  <c:v>0.32214765100671139</c:v>
                </c:pt>
                <c:pt idx="4">
                  <c:v>0.15573770491803279</c:v>
                </c:pt>
                <c:pt idx="5">
                  <c:v>0.23809523809523808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74-4E3B-9B42-06CCDA0C1D1C}"/>
            </c:ext>
          </c:extLst>
        </c:ser>
        <c:ser>
          <c:idx val="1"/>
          <c:order val="1"/>
          <c:tx>
            <c:strRef>
              <c:f>Maintenance!$K$3</c:f>
              <c:strCache>
                <c:ptCount val="1"/>
                <c:pt idx="0">
                  <c:v>%NP-Non Urgent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Maintenance!$I$4:$I$9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Maintenance!$K$4:$K$9</c:f>
              <c:numCache>
                <c:formatCode>0.0%</c:formatCode>
                <c:ptCount val="6"/>
                <c:pt idx="0">
                  <c:v>0.69794050343249425</c:v>
                </c:pt>
                <c:pt idx="1">
                  <c:v>0.33846153846153848</c:v>
                </c:pt>
                <c:pt idx="2">
                  <c:v>0.62857142857142856</c:v>
                </c:pt>
                <c:pt idx="3">
                  <c:v>0.48993288590604028</c:v>
                </c:pt>
                <c:pt idx="4">
                  <c:v>0.77459016393442626</c:v>
                </c:pt>
                <c:pt idx="5">
                  <c:v>0.76190476190476186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A74-4E3B-9B42-06CCDA0C1D1C}"/>
            </c:ext>
          </c:extLst>
        </c:ser>
        <c:ser>
          <c:idx val="2"/>
          <c:order val="2"/>
          <c:tx>
            <c:strRef>
              <c:f>Maintenance!$L$3</c:f>
              <c:strCache>
                <c:ptCount val="1"/>
                <c:pt idx="0">
                  <c:v>%NP-Urgent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Maintenance!$I$4:$I$9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Maintenance!$L$4:$L$9</c:f>
              <c:numCache>
                <c:formatCode>0.0%</c:formatCode>
                <c:ptCount val="6"/>
                <c:pt idx="0">
                  <c:v>2.7459954233409609E-2</c:v>
                </c:pt>
                <c:pt idx="1">
                  <c:v>0.56153846153846154</c:v>
                </c:pt>
                <c:pt idx="2">
                  <c:v>0</c:v>
                </c:pt>
                <c:pt idx="3">
                  <c:v>0.18791946308724833</c:v>
                </c:pt>
                <c:pt idx="4">
                  <c:v>6.9672131147540978E-2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A74-4E3B-9B42-06CCDA0C1D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69922800"/>
        <c:axId val="469930016"/>
        <c:axId val="0"/>
      </c:bar3DChart>
      <c:catAx>
        <c:axId val="469922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30016"/>
        <c:crosses val="autoZero"/>
        <c:auto val="1"/>
        <c:lblAlgn val="ctr"/>
        <c:lblOffset val="100"/>
        <c:noMultiLvlLbl val="0"/>
      </c:catAx>
      <c:valAx>
        <c:axId val="46993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22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Silox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Silox!$J$3</c:f>
              <c:strCache>
                <c:ptCount val="1"/>
                <c:pt idx="0">
                  <c:v>%Planifié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Silox!$I$4:$I$9</c:f>
              <c:strCache>
                <c:ptCount val="5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juin</c:v>
                </c:pt>
              </c:strCache>
            </c:strRef>
          </c:cat>
          <c:val>
            <c:numRef>
              <c:f>Silox!$J$4:$J$9</c:f>
              <c:numCache>
                <c:formatCode>0.0%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E4-40A3-B219-423A94D53758}"/>
            </c:ext>
          </c:extLst>
        </c:ser>
        <c:ser>
          <c:idx val="1"/>
          <c:order val="1"/>
          <c:tx>
            <c:strRef>
              <c:f>Silox!$K$3</c:f>
              <c:strCache>
                <c:ptCount val="1"/>
                <c:pt idx="0">
                  <c:v>%NP-Non Urgent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Silox!$I$4:$I$9</c:f>
              <c:strCache>
                <c:ptCount val="5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juin</c:v>
                </c:pt>
              </c:strCache>
            </c:strRef>
          </c:cat>
          <c:val>
            <c:numRef>
              <c:f>Silox!$K$4:$K$9</c:f>
              <c:numCache>
                <c:formatCode>0.0%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0.45454545454545453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EE4-40A3-B219-423A94D53758}"/>
            </c:ext>
          </c:extLst>
        </c:ser>
        <c:ser>
          <c:idx val="2"/>
          <c:order val="2"/>
          <c:tx>
            <c:strRef>
              <c:f>Silox!$L$3</c:f>
              <c:strCache>
                <c:ptCount val="1"/>
                <c:pt idx="0">
                  <c:v>%NP-Urgent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Silox!$I$4:$I$9</c:f>
              <c:strCache>
                <c:ptCount val="5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juin</c:v>
                </c:pt>
              </c:strCache>
            </c:strRef>
          </c:cat>
          <c:val>
            <c:numRef>
              <c:f>Silox!$L$4:$L$9</c:f>
              <c:numCache>
                <c:formatCode>0.0%</c:formatCode>
                <c:ptCount val="6"/>
                <c:pt idx="0">
                  <c:v>1</c:v>
                </c:pt>
                <c:pt idx="1">
                  <c:v>1</c:v>
                </c:pt>
                <c:pt idx="2">
                  <c:v>0.54545454545454541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EE4-40A3-B219-423A94D537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69922800"/>
        <c:axId val="469930016"/>
        <c:axId val="0"/>
      </c:bar3DChart>
      <c:catAx>
        <c:axId val="469922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30016"/>
        <c:crosses val="autoZero"/>
        <c:auto val="1"/>
        <c:lblAlgn val="ctr"/>
        <c:lblOffset val="100"/>
        <c:noMultiLvlLbl val="0"/>
      </c:catAx>
      <c:valAx>
        <c:axId val="46993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22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P2O5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P2O5!$J$3</c:f>
              <c:strCache>
                <c:ptCount val="1"/>
                <c:pt idx="0">
                  <c:v>%Planifié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P2O5!$I$4:$I$9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P2O5!$J$4:$J$9</c:f>
              <c:numCache>
                <c:formatCode>0.0%</c:formatCode>
                <c:ptCount val="6"/>
                <c:pt idx="0">
                  <c:v>0.50641848523748401</c:v>
                </c:pt>
                <c:pt idx="1">
                  <c:v>0.61067300421302795</c:v>
                </c:pt>
                <c:pt idx="2">
                  <c:v>0.6322207958921694</c:v>
                </c:pt>
                <c:pt idx="3">
                  <c:v>0.65644406229100982</c:v>
                </c:pt>
                <c:pt idx="4">
                  <c:v>0.66316320524678385</c:v>
                </c:pt>
                <c:pt idx="5">
                  <c:v>0.76389643309795396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C8-49C4-84C4-11ED55890679}"/>
            </c:ext>
          </c:extLst>
        </c:ser>
        <c:ser>
          <c:idx val="1"/>
          <c:order val="1"/>
          <c:tx>
            <c:strRef>
              <c:f>P2O5!$K$3</c:f>
              <c:strCache>
                <c:ptCount val="1"/>
                <c:pt idx="0">
                  <c:v>%NP-Non Urgent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P2O5!$I$4:$I$9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P2O5!$K$4:$K$9</c:f>
              <c:numCache>
                <c:formatCode>0.0%</c:formatCode>
                <c:ptCount val="6"/>
                <c:pt idx="0">
                  <c:v>0.18308729139922977</c:v>
                </c:pt>
                <c:pt idx="1">
                  <c:v>0.17197796262287998</c:v>
                </c:pt>
                <c:pt idx="2">
                  <c:v>0.21116816431322208</c:v>
                </c:pt>
                <c:pt idx="3">
                  <c:v>0.14951753128881246</c:v>
                </c:pt>
                <c:pt idx="4">
                  <c:v>0.12881526948625241</c:v>
                </c:pt>
                <c:pt idx="5">
                  <c:v>3.1504617055947856E-2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BC8-49C4-84C4-11ED55890679}"/>
            </c:ext>
          </c:extLst>
        </c:ser>
        <c:ser>
          <c:idx val="2"/>
          <c:order val="2"/>
          <c:tx>
            <c:strRef>
              <c:f>P2O5!$L$3</c:f>
              <c:strCache>
                <c:ptCount val="1"/>
                <c:pt idx="0">
                  <c:v>%NP-Urgent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P2O5!$I$4:$I$9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P2O5!$L$4:$L$9</c:f>
              <c:numCache>
                <c:formatCode>0.0%</c:formatCode>
                <c:ptCount val="6"/>
                <c:pt idx="0">
                  <c:v>0.31049422336328625</c:v>
                </c:pt>
                <c:pt idx="1">
                  <c:v>0.21734903316409204</c:v>
                </c:pt>
                <c:pt idx="2">
                  <c:v>0.15661103979460847</c:v>
                </c:pt>
                <c:pt idx="3">
                  <c:v>0.19403840642017769</c:v>
                </c:pt>
                <c:pt idx="4">
                  <c:v>0.20802152526696377</c:v>
                </c:pt>
                <c:pt idx="5">
                  <c:v>0.20459894984609814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BC8-49C4-84C4-11ED558906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69922800"/>
        <c:axId val="469930016"/>
        <c:axId val="0"/>
      </c:bar3DChart>
      <c:catAx>
        <c:axId val="469922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30016"/>
        <c:crosses val="autoZero"/>
        <c:auto val="1"/>
        <c:lblAlgn val="ctr"/>
        <c:lblOffset val="100"/>
        <c:noMultiLvlLbl val="0"/>
      </c:catAx>
      <c:valAx>
        <c:axId val="46993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22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STPP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STPP!$J$3</c:f>
              <c:strCache>
                <c:ptCount val="1"/>
                <c:pt idx="0">
                  <c:v>%Planifié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STPP!$I$4:$I$9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STPP!$J$4:$J$9</c:f>
              <c:numCache>
                <c:formatCode>0.0%</c:formatCode>
                <c:ptCount val="6"/>
                <c:pt idx="0">
                  <c:v>0.26310947562097514</c:v>
                </c:pt>
                <c:pt idx="1">
                  <c:v>0.36325729703213144</c:v>
                </c:pt>
                <c:pt idx="2">
                  <c:v>0.26487148102815178</c:v>
                </c:pt>
                <c:pt idx="3">
                  <c:v>0.20393299344501092</c:v>
                </c:pt>
                <c:pt idx="4">
                  <c:v>0.1674544226873734</c:v>
                </c:pt>
                <c:pt idx="5">
                  <c:v>0.10552763819095477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4C7-40F4-B3E8-8AC71E697DDF}"/>
            </c:ext>
          </c:extLst>
        </c:ser>
        <c:ser>
          <c:idx val="1"/>
          <c:order val="1"/>
          <c:tx>
            <c:strRef>
              <c:f>STPP!$K$3</c:f>
              <c:strCache>
                <c:ptCount val="1"/>
                <c:pt idx="0">
                  <c:v>%NP-Non Urgent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STPP!$I$4:$I$9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STPP!$K$4:$K$9</c:f>
              <c:numCache>
                <c:formatCode>0.0%</c:formatCode>
                <c:ptCount val="6"/>
                <c:pt idx="0">
                  <c:v>0.13707451701931922</c:v>
                </c:pt>
                <c:pt idx="1">
                  <c:v>0.3081922982585234</c:v>
                </c:pt>
                <c:pt idx="2">
                  <c:v>0.10722154222766218</c:v>
                </c:pt>
                <c:pt idx="3">
                  <c:v>0.15076474872541878</c:v>
                </c:pt>
                <c:pt idx="4">
                  <c:v>7.7650236326806218E-2</c:v>
                </c:pt>
                <c:pt idx="5">
                  <c:v>0.17420435510887772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4C7-40F4-B3E8-8AC71E697DDF}"/>
            </c:ext>
          </c:extLst>
        </c:ser>
        <c:ser>
          <c:idx val="2"/>
          <c:order val="2"/>
          <c:tx>
            <c:strRef>
              <c:f>STPP!$L$3</c:f>
              <c:strCache>
                <c:ptCount val="1"/>
                <c:pt idx="0">
                  <c:v>%NP-Urgent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STPP!$I$4:$I$9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STPP!$L$4:$L$9</c:f>
              <c:numCache>
                <c:formatCode>0.0%</c:formatCode>
                <c:ptCount val="6"/>
                <c:pt idx="0">
                  <c:v>0.59981600735970564</c:v>
                </c:pt>
                <c:pt idx="1">
                  <c:v>0.3285504047093451</c:v>
                </c:pt>
                <c:pt idx="2">
                  <c:v>0.62790697674418605</c:v>
                </c:pt>
                <c:pt idx="3">
                  <c:v>0.64530225782957029</c:v>
                </c:pt>
                <c:pt idx="4">
                  <c:v>0.75489534098582034</c:v>
                </c:pt>
                <c:pt idx="5">
                  <c:v>0.72026800670016755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4C7-40F4-B3E8-8AC71E697D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69922800"/>
        <c:axId val="469930016"/>
        <c:axId val="0"/>
      </c:bar3DChart>
      <c:catAx>
        <c:axId val="469922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30016"/>
        <c:crosses val="autoZero"/>
        <c:auto val="1"/>
        <c:lblAlgn val="ctr"/>
        <c:lblOffset val="100"/>
        <c:noMultiLvlLbl val="0"/>
      </c:catAx>
      <c:valAx>
        <c:axId val="46993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22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S&amp;E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'S&amp;E'!$J$3</c:f>
              <c:strCache>
                <c:ptCount val="1"/>
                <c:pt idx="0">
                  <c:v>%Planifié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'S&amp;E'!$I$4:$I$9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'S&amp;E'!$J$4:$J$9</c:f>
              <c:numCache>
                <c:formatCode>0.0%</c:formatCode>
                <c:ptCount val="6"/>
                <c:pt idx="0">
                  <c:v>0.13841559810293344</c:v>
                </c:pt>
                <c:pt idx="1">
                  <c:v>0.11930835734870317</c:v>
                </c:pt>
                <c:pt idx="2">
                  <c:v>6.4267352185089971E-2</c:v>
                </c:pt>
                <c:pt idx="3">
                  <c:v>0.16819277108433736</c:v>
                </c:pt>
                <c:pt idx="4">
                  <c:v>6.1385317295727916E-2</c:v>
                </c:pt>
                <c:pt idx="5">
                  <c:v>9.7222222222222224E-2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AA-421C-9B51-363E4E754F68}"/>
            </c:ext>
          </c:extLst>
        </c:ser>
        <c:ser>
          <c:idx val="1"/>
          <c:order val="1"/>
          <c:tx>
            <c:strRef>
              <c:f>'S&amp;E'!$K$3</c:f>
              <c:strCache>
                <c:ptCount val="1"/>
                <c:pt idx="0">
                  <c:v>%NP-Non Urgent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'S&amp;E'!$I$4:$I$9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'S&amp;E'!$K$4:$K$9</c:f>
              <c:numCache>
                <c:formatCode>0.0%</c:formatCode>
                <c:ptCount val="6"/>
                <c:pt idx="0">
                  <c:v>0.18672053398910943</c:v>
                </c:pt>
                <c:pt idx="1">
                  <c:v>0.28126801152737751</c:v>
                </c:pt>
                <c:pt idx="2">
                  <c:v>0.39434447300771208</c:v>
                </c:pt>
                <c:pt idx="3">
                  <c:v>0.30024096385542171</c:v>
                </c:pt>
                <c:pt idx="4">
                  <c:v>0.27146412277063459</c:v>
                </c:pt>
                <c:pt idx="5">
                  <c:v>0.26602564102564102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0AA-421C-9B51-363E4E754F68}"/>
            </c:ext>
          </c:extLst>
        </c:ser>
        <c:ser>
          <c:idx val="2"/>
          <c:order val="2"/>
          <c:tx>
            <c:strRef>
              <c:f>'S&amp;E'!$L$3</c:f>
              <c:strCache>
                <c:ptCount val="1"/>
                <c:pt idx="0">
                  <c:v>%NP-Urgent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'S&amp;E'!$I$4:$I$9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'S&amp;E'!$L$4:$L$9</c:f>
              <c:numCache>
                <c:formatCode>0.0%</c:formatCode>
                <c:ptCount val="6"/>
                <c:pt idx="0">
                  <c:v>0.67486386790795716</c:v>
                </c:pt>
                <c:pt idx="1">
                  <c:v>0.59942363112391928</c:v>
                </c:pt>
                <c:pt idx="2">
                  <c:v>0.54138817480719792</c:v>
                </c:pt>
                <c:pt idx="3">
                  <c:v>0.53156626506024096</c:v>
                </c:pt>
                <c:pt idx="4">
                  <c:v>0.66715055993363748</c:v>
                </c:pt>
                <c:pt idx="5">
                  <c:v>0.63675213675213671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0AA-421C-9B51-363E4E754F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69922800"/>
        <c:axId val="469930016"/>
        <c:axId val="0"/>
      </c:bar3DChart>
      <c:catAx>
        <c:axId val="469922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30016"/>
        <c:crosses val="autoZero"/>
        <c:auto val="1"/>
        <c:lblAlgn val="ctr"/>
        <c:lblOffset val="100"/>
        <c:noMultiLvlLbl val="0"/>
      </c:catAx>
      <c:valAx>
        <c:axId val="46993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22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Zéoline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Zéoline!$J$3</c:f>
              <c:strCache>
                <c:ptCount val="1"/>
                <c:pt idx="0">
                  <c:v>%Planifié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Zéoline!$I$4:$I$9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Zéoline!$J$4:$J$9</c:f>
              <c:numCache>
                <c:formatCode>0.0%</c:formatCode>
                <c:ptCount val="6"/>
                <c:pt idx="0">
                  <c:v>0</c:v>
                </c:pt>
                <c:pt idx="1">
                  <c:v>0.18378378378378379</c:v>
                </c:pt>
                <c:pt idx="2">
                  <c:v>0.25263157894736843</c:v>
                </c:pt>
                <c:pt idx="3">
                  <c:v>0.24436090225563908</c:v>
                </c:pt>
                <c:pt idx="4">
                  <c:v>0.67247686679578222</c:v>
                </c:pt>
                <c:pt idx="5">
                  <c:v>2.6490066225165563E-2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A3E-48BB-95CD-25AC1DA4E42C}"/>
            </c:ext>
          </c:extLst>
        </c:ser>
        <c:ser>
          <c:idx val="1"/>
          <c:order val="1"/>
          <c:tx>
            <c:strRef>
              <c:f>Zéoline!$K$3</c:f>
              <c:strCache>
                <c:ptCount val="1"/>
                <c:pt idx="0">
                  <c:v>%NP-Non Urgent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Zéoline!$I$4:$I$9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Zéoline!$K$4:$K$9</c:f>
              <c:numCache>
                <c:formatCode>0.0%</c:formatCode>
                <c:ptCount val="6"/>
                <c:pt idx="0">
                  <c:v>0</c:v>
                </c:pt>
                <c:pt idx="1">
                  <c:v>0.14054054054054055</c:v>
                </c:pt>
                <c:pt idx="2">
                  <c:v>0</c:v>
                </c:pt>
                <c:pt idx="3">
                  <c:v>0.21052631578947367</c:v>
                </c:pt>
                <c:pt idx="4">
                  <c:v>0.22982569399612654</c:v>
                </c:pt>
                <c:pt idx="5">
                  <c:v>0.54966887417218546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3E-48BB-95CD-25AC1DA4E42C}"/>
            </c:ext>
          </c:extLst>
        </c:ser>
        <c:ser>
          <c:idx val="2"/>
          <c:order val="2"/>
          <c:tx>
            <c:strRef>
              <c:f>Zéoline!$L$3</c:f>
              <c:strCache>
                <c:ptCount val="1"/>
                <c:pt idx="0">
                  <c:v>%NP-Urgent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Zéoline!$I$4:$I$9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Zéoline!$L$4:$L$9</c:f>
              <c:numCache>
                <c:formatCode>0.0%</c:formatCode>
                <c:ptCount val="6"/>
                <c:pt idx="0">
                  <c:v>1</c:v>
                </c:pt>
                <c:pt idx="1">
                  <c:v>0.67567567567567566</c:v>
                </c:pt>
                <c:pt idx="2">
                  <c:v>0.74736842105263157</c:v>
                </c:pt>
                <c:pt idx="3">
                  <c:v>0.54511278195488722</c:v>
                </c:pt>
                <c:pt idx="4">
                  <c:v>9.7697439208091236E-2</c:v>
                </c:pt>
                <c:pt idx="5">
                  <c:v>0.42384105960264901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A3E-48BB-95CD-25AC1DA4E4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69922800"/>
        <c:axId val="469930016"/>
        <c:axId val="0"/>
      </c:bar3DChart>
      <c:catAx>
        <c:axId val="469922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30016"/>
        <c:crosses val="autoZero"/>
        <c:auto val="1"/>
        <c:lblAlgn val="ctr"/>
        <c:lblOffset val="100"/>
        <c:noMultiLvlLbl val="0"/>
      </c:catAx>
      <c:valAx>
        <c:axId val="46993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922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.xml"/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10" Type="http://schemas.openxmlformats.org/officeDocument/2006/relationships/chart" Target="../charts/chart12.xml"/><Relationship Id="rId4" Type="http://schemas.openxmlformats.org/officeDocument/2006/relationships/chart" Target="../charts/chart6.xml"/><Relationship Id="rId9" Type="http://schemas.openxmlformats.org/officeDocument/2006/relationships/chart" Target="../charts/chart1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22860</xdr:rowOff>
    </xdr:from>
    <xdr:to>
      <xdr:col>6</xdr:col>
      <xdr:colOff>1158240</xdr:colOff>
      <xdr:row>38</xdr:row>
      <xdr:rowOff>15240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0E9A8E8-AC9C-47A5-A108-04A6A65E96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12</xdr:col>
      <xdr:colOff>784860</xdr:colOff>
      <xdr:row>40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2DCA277-043E-4ACE-83AE-BC007F187CE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7</xdr:col>
      <xdr:colOff>7620</xdr:colOff>
      <xdr:row>19</xdr:row>
      <xdr:rowOff>175260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3E7A6DCB-F9FF-4D04-A0D9-43DDD4F4A6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</xdr:row>
      <xdr:rowOff>0</xdr:rowOff>
    </xdr:from>
    <xdr:to>
      <xdr:col>14</xdr:col>
      <xdr:colOff>7920</xdr:colOff>
      <xdr:row>19</xdr:row>
      <xdr:rowOff>174240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9A123F8D-C57D-4578-80B4-A5070A0E29A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7</xdr:col>
      <xdr:colOff>7920</xdr:colOff>
      <xdr:row>38</xdr:row>
      <xdr:rowOff>174240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1EE4233C-D0FF-4D31-8229-2B852EDBEF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21</xdr:row>
      <xdr:rowOff>0</xdr:rowOff>
    </xdr:from>
    <xdr:to>
      <xdr:col>14</xdr:col>
      <xdr:colOff>7920</xdr:colOff>
      <xdr:row>38</xdr:row>
      <xdr:rowOff>174240</xdr:rowOff>
    </xdr:to>
    <xdr:graphicFrame macro="">
      <xdr:nvGraphicFramePr>
        <xdr:cNvPr id="18" name="Graphique 17">
          <a:extLst>
            <a:ext uri="{FF2B5EF4-FFF2-40B4-BE49-F238E27FC236}">
              <a16:creationId xmlns:a16="http://schemas.microsoft.com/office/drawing/2014/main" id="{4AD4421C-2D91-4D89-9574-16405C98A83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0</xdr:colOff>
      <xdr:row>40</xdr:row>
      <xdr:rowOff>0</xdr:rowOff>
    </xdr:from>
    <xdr:to>
      <xdr:col>14</xdr:col>
      <xdr:colOff>7620</xdr:colOff>
      <xdr:row>57</xdr:row>
      <xdr:rowOff>174240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0760FCB0-67C9-4CCF-9CA6-4BE96C10FB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40</xdr:row>
      <xdr:rowOff>0</xdr:rowOff>
    </xdr:from>
    <xdr:to>
      <xdr:col>7</xdr:col>
      <xdr:colOff>7920</xdr:colOff>
      <xdr:row>57</xdr:row>
      <xdr:rowOff>175260</xdr:rowOff>
    </xdr:to>
    <xdr:graphicFrame macro="">
      <xdr:nvGraphicFramePr>
        <xdr:cNvPr id="21" name="Graphique 20">
          <a:extLst>
            <a:ext uri="{FF2B5EF4-FFF2-40B4-BE49-F238E27FC236}">
              <a16:creationId xmlns:a16="http://schemas.microsoft.com/office/drawing/2014/main" id="{3BD931EF-F742-401F-9AC2-5FD64924FC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59</xdr:row>
      <xdr:rowOff>0</xdr:rowOff>
    </xdr:from>
    <xdr:to>
      <xdr:col>7</xdr:col>
      <xdr:colOff>7920</xdr:colOff>
      <xdr:row>76</xdr:row>
      <xdr:rowOff>174240</xdr:rowOff>
    </xdr:to>
    <xdr:graphicFrame macro="">
      <xdr:nvGraphicFramePr>
        <xdr:cNvPr id="22" name="Graphique 21">
          <a:extLst>
            <a:ext uri="{FF2B5EF4-FFF2-40B4-BE49-F238E27FC236}">
              <a16:creationId xmlns:a16="http://schemas.microsoft.com/office/drawing/2014/main" id="{ADC476AC-3AF0-44AB-B036-6EDADC916F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59</xdr:row>
      <xdr:rowOff>0</xdr:rowOff>
    </xdr:from>
    <xdr:to>
      <xdr:col>14</xdr:col>
      <xdr:colOff>7920</xdr:colOff>
      <xdr:row>76</xdr:row>
      <xdr:rowOff>174240</xdr:rowOff>
    </xdr:to>
    <xdr:graphicFrame macro="">
      <xdr:nvGraphicFramePr>
        <xdr:cNvPr id="23" name="Graphique 22">
          <a:extLst>
            <a:ext uri="{FF2B5EF4-FFF2-40B4-BE49-F238E27FC236}">
              <a16:creationId xmlns:a16="http://schemas.microsoft.com/office/drawing/2014/main" id="{DEF798A5-C4FB-46BB-B963-F98F8FC16A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78</xdr:row>
      <xdr:rowOff>0</xdr:rowOff>
    </xdr:from>
    <xdr:to>
      <xdr:col>7</xdr:col>
      <xdr:colOff>7920</xdr:colOff>
      <xdr:row>95</xdr:row>
      <xdr:rowOff>174240</xdr:rowOff>
    </xdr:to>
    <xdr:graphicFrame macro="">
      <xdr:nvGraphicFramePr>
        <xdr:cNvPr id="24" name="Graphique 23">
          <a:extLst>
            <a:ext uri="{FF2B5EF4-FFF2-40B4-BE49-F238E27FC236}">
              <a16:creationId xmlns:a16="http://schemas.microsoft.com/office/drawing/2014/main" id="{60B3E4DD-2F45-4410-A118-41AAF1AA3D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</xdr:col>
      <xdr:colOff>0</xdr:colOff>
      <xdr:row>78</xdr:row>
      <xdr:rowOff>0</xdr:rowOff>
    </xdr:from>
    <xdr:to>
      <xdr:col>14</xdr:col>
      <xdr:colOff>7920</xdr:colOff>
      <xdr:row>95</xdr:row>
      <xdr:rowOff>174240</xdr:rowOff>
    </xdr:to>
    <xdr:graphicFrame macro="">
      <xdr:nvGraphicFramePr>
        <xdr:cNvPr id="25" name="Graphique 24">
          <a:extLst>
            <a:ext uri="{FF2B5EF4-FFF2-40B4-BE49-F238E27FC236}">
              <a16:creationId xmlns:a16="http://schemas.microsoft.com/office/drawing/2014/main" id="{A24B054C-E496-45CA-9568-F4D635BBB0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19</xdr:row>
      <xdr:rowOff>106680</xdr:rowOff>
    </xdr:from>
    <xdr:to>
      <xdr:col>5</xdr:col>
      <xdr:colOff>266700</xdr:colOff>
      <xdr:row>37</xdr:row>
      <xdr:rowOff>68580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141150DC-8B8A-4FC1-A3FA-66AFA1282E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19</xdr:row>
      <xdr:rowOff>106680</xdr:rowOff>
    </xdr:from>
    <xdr:to>
      <xdr:col>5</xdr:col>
      <xdr:colOff>266700</xdr:colOff>
      <xdr:row>37</xdr:row>
      <xdr:rowOff>68580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CD3309E-AD6E-479F-9307-FA0079F877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19</xdr:row>
      <xdr:rowOff>106680</xdr:rowOff>
    </xdr:from>
    <xdr:to>
      <xdr:col>5</xdr:col>
      <xdr:colOff>266700</xdr:colOff>
      <xdr:row>37</xdr:row>
      <xdr:rowOff>68580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63FF0B0-41DE-4B51-8027-105C9E1A6F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19</xdr:row>
      <xdr:rowOff>106680</xdr:rowOff>
    </xdr:from>
    <xdr:to>
      <xdr:col>5</xdr:col>
      <xdr:colOff>266700</xdr:colOff>
      <xdr:row>37</xdr:row>
      <xdr:rowOff>68580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4C6842C-E24C-4F39-B70D-4F67372E3B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19</xdr:row>
      <xdr:rowOff>106680</xdr:rowOff>
    </xdr:from>
    <xdr:to>
      <xdr:col>5</xdr:col>
      <xdr:colOff>266700</xdr:colOff>
      <xdr:row>37</xdr:row>
      <xdr:rowOff>68580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2F91819-2682-4015-AFA9-5812B8CEEBC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19</xdr:row>
      <xdr:rowOff>106680</xdr:rowOff>
    </xdr:from>
    <xdr:to>
      <xdr:col>5</xdr:col>
      <xdr:colOff>266700</xdr:colOff>
      <xdr:row>37</xdr:row>
      <xdr:rowOff>68580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45DF170-E28F-47E2-96FA-04B3B64208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19</xdr:row>
      <xdr:rowOff>106680</xdr:rowOff>
    </xdr:from>
    <xdr:to>
      <xdr:col>5</xdr:col>
      <xdr:colOff>266700</xdr:colOff>
      <xdr:row>37</xdr:row>
      <xdr:rowOff>68580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9298C0A-1728-4C53-9B0A-DF1D5AE852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19</xdr:row>
      <xdr:rowOff>106680</xdr:rowOff>
    </xdr:from>
    <xdr:to>
      <xdr:col>5</xdr:col>
      <xdr:colOff>266700</xdr:colOff>
      <xdr:row>37</xdr:row>
      <xdr:rowOff>68580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BFEC6CC-F93F-47ED-92AC-3D7252E161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19</xdr:row>
      <xdr:rowOff>106680</xdr:rowOff>
    </xdr:from>
    <xdr:to>
      <xdr:col>5</xdr:col>
      <xdr:colOff>266700</xdr:colOff>
      <xdr:row>37</xdr:row>
      <xdr:rowOff>68580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1BCDF02-46A0-4BDC-8FF6-7AD285AB74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19</xdr:row>
      <xdr:rowOff>106680</xdr:rowOff>
    </xdr:from>
    <xdr:to>
      <xdr:col>5</xdr:col>
      <xdr:colOff>266700</xdr:colOff>
      <xdr:row>37</xdr:row>
      <xdr:rowOff>68580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C3E1943-0FD3-40F0-B597-99FCF5677A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aetitia Eggen" refreshedDate="44747.492984259261" createdVersion="6" refreshedVersion="6" minRefreshableVersion="3" recordCount="521" xr:uid="{2FEF91E2-7027-4D8E-B496-3E1B00D21F94}">
  <cacheSource type="worksheet">
    <worksheetSource name="Tableau1"/>
  </cacheSource>
  <cacheFields count="12">
    <cacheField name="Usine" numFmtId="0">
      <sharedItems containsBlank="1" count="13">
        <s v="Autres"/>
        <s v="Biamonique"/>
        <s v="Engrais"/>
        <s v="Entretien"/>
        <s v="P2O5"/>
        <s v="PTA"/>
        <s v="Soufre &amp; Energie - Sulfine"/>
        <s v="Zéoline"/>
        <s v="#N/A"/>
        <s v="D1"/>
        <s v="Hydro"/>
        <s v="Silox"/>
        <m/>
      </sharedItems>
    </cacheField>
    <cacheField name="Date " numFmtId="14">
      <sharedItems containsNonDate="0" containsDate="1" containsString="0" containsBlank="1" minDate="2021-01-04T00:00:00" maxDate="2022-06-14T00:00:00" count="77">
        <d v="2022-01-03T00:00:00"/>
        <d v="2022-01-10T00:00:00"/>
        <d v="2022-01-17T00:00:00"/>
        <d v="2022-01-24T00:00:00"/>
        <d v="2022-01-31T00:00:00"/>
        <d v="2022-02-07T00:00:00"/>
        <d v="2022-02-14T00:00:00"/>
        <d v="2022-02-21T00:00:00"/>
        <d v="2022-02-28T00:00:00"/>
        <d v="2022-03-07T00:00:00"/>
        <d v="2022-03-14T00:00:00"/>
        <d v="2022-03-21T00:00:00"/>
        <d v="2022-03-28T00:00:00"/>
        <d v="2022-04-04T00:00:00"/>
        <d v="2022-04-11T00:00:00"/>
        <d v="2022-04-18T00:00:00"/>
        <d v="2022-04-25T00:00:00"/>
        <d v="2022-05-02T00:00:00"/>
        <d v="2022-05-09T00:00:00"/>
        <d v="2022-05-16T00:00:00"/>
        <d v="2022-05-23T00:00:00"/>
        <d v="2022-05-30T00:00:00"/>
        <d v="2022-06-06T00:00:00"/>
        <d v="2022-06-13T00:00:00"/>
        <m/>
        <d v="2021-01-11T00:00:00" u="1"/>
        <d v="2021-09-20T00:00:00" u="1"/>
        <d v="2021-10-25T00:00:00" u="1"/>
        <d v="2021-01-04T00:00:00" u="1"/>
        <d v="2021-04-26T00:00:00" u="1"/>
        <d v="2021-05-31T00:00:00" u="1"/>
        <d v="2021-09-13T00:00:00" u="1"/>
        <d v="2021-10-18T00:00:00" u="1"/>
        <d v="2021-04-19T00:00:00" u="1"/>
        <d v="2021-05-24T00:00:00" u="1"/>
        <d v="2021-09-06T00:00:00" u="1"/>
        <d v="2021-10-11T00:00:00" u="1"/>
        <d v="2021-04-12T00:00:00" u="1"/>
        <d v="2021-05-17T00:00:00" u="1"/>
        <d v="2021-10-04T00:00:00" u="1"/>
        <d v="2021-04-05T00:00:00" u="1"/>
        <d v="2021-05-10T00:00:00" u="1"/>
        <d v="2021-05-03T00:00:00" u="1"/>
        <d v="2021-08-30T00:00:00" u="1"/>
        <d v="2021-08-23T00:00:00" u="1"/>
        <d v="2021-03-29T00:00:00" u="1"/>
        <d v="2021-03-22T00:00:00" u="1"/>
        <d v="2021-08-09T00:00:00" u="1"/>
        <d v="2021-03-15T00:00:00" u="1"/>
        <d v="2021-08-02T00:00:00" u="1"/>
        <d v="2021-03-08T00:00:00" u="1"/>
        <d v="2021-02-22T00:00:00" u="1"/>
        <d v="2021-03-01T00:00:00" u="1"/>
        <d v="2021-02-15T00:00:00" u="1"/>
        <d v="2021-11-29T00:00:00" u="1"/>
        <d v="2021-02-08T00:00:00" u="1"/>
        <d v="2021-11-22T00:00:00" u="1"/>
        <d v="2021-02-01T00:00:00" u="1"/>
        <d v="2021-12-27T00:00:00" u="1"/>
        <d v="2021-06-28T00:00:00" u="1"/>
        <d v="2021-11-15T00:00:00" u="1"/>
        <d v="2021-12-20T00:00:00" u="1"/>
        <d v="2021-06-21T00:00:00" u="1"/>
        <d v="2021-07-26T00:00:00" u="1"/>
        <d v="2021-11-08T00:00:00" u="1"/>
        <d v="2021-12-13T00:00:00" u="1"/>
        <d v="2021-06-14T00:00:00" u="1"/>
        <d v="2021-07-19T00:00:00" u="1"/>
        <d v="2021-11-01T00:00:00" u="1"/>
        <d v="2021-12-06T00:00:00" u="1"/>
        <d v="2021-06-07T00:00:00" u="1"/>
        <d v="2021-07-12T00:00:00" u="1"/>
        <d v="2021-08-17T00:00:00" u="1"/>
        <d v="2021-07-05T00:00:00" u="1"/>
        <d v="2021-01-25T00:00:00" u="1"/>
        <d v="2021-01-18T00:00:00" u="1"/>
        <d v="2021-09-27T00:00:00" u="1"/>
      </sharedItems>
    </cacheField>
    <cacheField name="Colonne1" numFmtId="0">
      <sharedItems containsSemiMixedTypes="0" containsString="0" containsNumber="1" containsInteger="1" minValue="0" maxValue="25"/>
    </cacheField>
    <cacheField name="N° Semaine" numFmtId="0">
      <sharedItems containsSemiMixedTypes="0" containsString="0" containsNumber="1" containsInteger="1" minValue="-1" maxValue="24"/>
    </cacheField>
    <cacheField name="Colonne2" numFmtId="0">
      <sharedItems/>
    </cacheField>
    <cacheField name="Semaine " numFmtId="0">
      <sharedItems/>
    </cacheField>
    <cacheField name="Mois texte " numFmtId="0">
      <sharedItems count="6">
        <s v="janvier"/>
        <s v="février"/>
        <s v="mars"/>
        <s v="avril"/>
        <s v="mai"/>
        <s v="juin"/>
      </sharedItems>
    </cacheField>
    <cacheField name="Non Planifié Non urgent " numFmtId="0">
      <sharedItems containsString="0" containsBlank="1" containsNumber="1" minValue="1.5" maxValue="612.75" count="109">
        <n v="10"/>
        <m/>
        <n v="13.5"/>
        <n v="30.25"/>
        <n v="140"/>
        <n v="12.5"/>
        <n v="93.75"/>
        <n v="3"/>
        <n v="40.5"/>
        <n v="33.5"/>
        <n v="31.5"/>
        <n v="16.5"/>
        <n v="78.75"/>
        <n v="9"/>
        <n v="27.5"/>
        <n v="34.75"/>
        <n v="15"/>
        <n v="5.5"/>
        <n v="1.5"/>
        <n v="6.5"/>
        <n v="136.5"/>
        <n v="22"/>
        <n v="58.5"/>
        <n v="71"/>
        <n v="170"/>
        <n v="91"/>
        <n v="2"/>
        <n v="51.5"/>
        <n v="6"/>
        <n v="45"/>
        <n v="7"/>
        <n v="145"/>
        <n v="61"/>
        <n v="2.5"/>
        <n v="81"/>
        <n v="24"/>
        <n v="16"/>
        <n v="44"/>
        <n v="65"/>
        <n v="11.5"/>
        <n v="54"/>
        <n v="17.5"/>
        <n v="12"/>
        <n v="97"/>
        <n v="612.75"/>
        <n v="77.5"/>
        <n v="3.5"/>
        <n v="18"/>
        <n v="26.5"/>
        <n v="8"/>
        <n v="171"/>
        <n v="74.5"/>
        <n v="41.5"/>
        <n v="49.5"/>
        <n v="123"/>
        <n v="19.5"/>
        <n v="19"/>
        <n v="42.5"/>
        <n v="35.5"/>
        <n v="4"/>
        <n v="49"/>
        <n v="72.5"/>
        <n v="30"/>
        <n v="30.5"/>
        <n v="150.5"/>
        <n v="53"/>
        <n v="217"/>
        <n v="86.5"/>
        <n v="20"/>
        <n v="86.25"/>
        <n v="157.5"/>
        <n v="25"/>
        <n v="12.25"/>
        <n v="137.5"/>
        <n v="14"/>
        <n v="11"/>
        <n v="4.5"/>
        <n v="32.5"/>
        <n v="77"/>
        <n v="27"/>
        <n v="9.5"/>
        <n v="63"/>
        <n v="34"/>
        <n v="5"/>
        <n v="135"/>
        <n v="78"/>
        <n v="68"/>
        <n v="20.5"/>
        <n v="131.5"/>
        <n v="38"/>
        <n v="69"/>
        <n v="114.25"/>
        <n v="52"/>
        <n v="101.75"/>
        <n v="106"/>
        <n v="241"/>
        <n v="8.5"/>
        <n v="114.75"/>
        <n v="7.5"/>
        <n v="107.5"/>
        <n v="10.5"/>
        <n v="53.5"/>
        <n v="31"/>
        <n v="29"/>
        <n v="17"/>
        <n v="24.5"/>
        <n v="23.5"/>
        <n v="54.5"/>
        <n v="118"/>
      </sharedItems>
    </cacheField>
    <cacheField name="Non Planifié Urgent " numFmtId="0">
      <sharedItems containsString="0" containsBlank="1" containsNumber="1" minValue="1.5" maxValue="463.75" count="129">
        <n v="1.5"/>
        <n v="13"/>
        <n v="7"/>
        <m/>
        <n v="68.5"/>
        <n v="84"/>
        <n v="154.5"/>
        <n v="33"/>
        <n v="34"/>
        <n v="102.5"/>
        <n v="38"/>
        <n v="25"/>
        <n v="255"/>
        <n v="91.5"/>
        <n v="254"/>
        <n v="31"/>
        <n v="16"/>
        <n v="4"/>
        <n v="24"/>
        <n v="8.5"/>
        <n v="137.5"/>
        <n v="194.5"/>
        <n v="29.5"/>
        <n v="149"/>
        <n v="63"/>
        <n v="6"/>
        <n v="3"/>
        <n v="26"/>
        <n v="23"/>
        <n v="30"/>
        <n v="133.5"/>
        <n v="38.5"/>
        <n v="135.5"/>
        <n v="28.5"/>
        <n v="52"/>
        <n v="27"/>
        <n v="11"/>
        <n v="64.5"/>
        <n v="6.5"/>
        <n v="2"/>
        <n v="207"/>
        <n v="102"/>
        <n v="65.5"/>
        <n v="37.5"/>
        <n v="58"/>
        <n v="82.5"/>
        <n v="97.5"/>
        <n v="67.5"/>
        <n v="15"/>
        <n v="8"/>
        <n v="12"/>
        <n v="80"/>
        <n v="463.75"/>
        <n v="153.5"/>
        <n v="22.5"/>
        <n v="7.5"/>
        <n v="57.5"/>
        <n v="49.75"/>
        <n v="101"/>
        <n v="223.5"/>
        <n v="143"/>
        <n v="3.5"/>
        <n v="17.5"/>
        <n v="5"/>
        <n v="121"/>
        <n v="189"/>
        <n v="210"/>
        <n v="16.5"/>
        <n v="29"/>
        <n v="86.5"/>
        <n v="121.5"/>
        <n v="131"/>
        <n v="70.5"/>
        <n v="107.25"/>
        <n v="42.5"/>
        <n v="49.5"/>
        <n v="10"/>
        <n v="48.5"/>
        <n v="19.5"/>
        <n v="139.5"/>
        <n v="165"/>
        <n v="72"/>
        <n v="49"/>
        <n v="19.3"/>
        <n v="73.5"/>
        <n v="194.75"/>
        <n v="120"/>
        <n v="248"/>
        <n v="9.5"/>
        <n v="61.5"/>
        <n v="9"/>
        <n v="12.5"/>
        <n v="96.5"/>
        <n v="167"/>
        <n v="10.5"/>
        <n v="15.5"/>
        <n v="55"/>
        <n v="98.5"/>
        <n v="155"/>
        <n v="17"/>
        <n v="53"/>
        <n v="145"/>
        <n v="148.5"/>
        <n v="234.75"/>
        <n v="20.5"/>
        <n v="15.51"/>
        <n v="34.5"/>
        <n v="97.25"/>
        <n v="117"/>
        <n v="62.5"/>
        <n v="36.5"/>
        <n v="18.5"/>
        <n v="176"/>
        <n v="74.5"/>
        <n v="160.5"/>
        <n v="45"/>
        <n v="23.5"/>
        <n v="64"/>
        <n v="145.25"/>
        <n v="137"/>
        <n v="19"/>
        <n v="89"/>
        <n v="180"/>
        <n v="22"/>
        <n v="42"/>
        <n v="62.25"/>
        <n v="198.5"/>
        <n v="126"/>
        <n v="118"/>
      </sharedItems>
    </cacheField>
    <cacheField name="Planifié " numFmtId="0">
      <sharedItems containsString="0" containsBlank="1" containsNumber="1" minValue="2" maxValue="826" count="104">
        <n v="4"/>
        <n v="5"/>
        <n v="90"/>
        <m/>
        <n v="287"/>
        <n v="14"/>
        <n v="2"/>
        <n v="22"/>
        <n v="34"/>
        <n v="25.25"/>
        <n v="58.5"/>
        <n v="348"/>
        <n v="8.5"/>
        <n v="7"/>
        <n v="53"/>
        <n v="25"/>
        <n v="60.75"/>
        <n v="15"/>
        <n v="297.5"/>
        <n v="56"/>
        <n v="90.5"/>
        <n v="17.5"/>
        <n v="33.5"/>
        <n v="3.5"/>
        <n v="44.5"/>
        <n v="304.5"/>
        <n v="15.5"/>
        <n v="5.5"/>
        <n v="9"/>
        <n v="21"/>
        <n v="2.5"/>
        <n v="52.5"/>
        <n v="317"/>
        <n v="45"/>
        <n v="51"/>
        <n v="20.5"/>
        <n v="47"/>
        <n v="6.5"/>
        <n v="460.25"/>
        <n v="152.5"/>
        <n v="37.5"/>
        <n v="8"/>
        <n v="331.5"/>
        <n v="527.5"/>
        <n v="13"/>
        <n v="43.5"/>
        <n v="14.5"/>
        <n v="333.75"/>
        <n v="63"/>
        <n v="31.5"/>
        <n v="74.5"/>
        <n v="3"/>
        <n v="329.75"/>
        <n v="118"/>
        <n v="150"/>
        <n v="363.5"/>
        <n v="26.5"/>
        <n v="12"/>
        <n v="45.5"/>
        <n v="36.5"/>
        <n v="11.5"/>
        <n v="450.5"/>
        <n v="4.5"/>
        <n v="45.75"/>
        <n v="54.5"/>
        <n v="470.25"/>
        <n v="23"/>
        <n v="70.5"/>
        <n v="458.75"/>
        <n v="29.5"/>
        <n v="12.5"/>
        <n v="11"/>
        <n v="392"/>
        <n v="40"/>
        <n v="40.5"/>
        <n v="16.5"/>
        <n v="41"/>
        <n v="88.5"/>
        <n v="396.75"/>
        <n v="39.5"/>
        <n v="71"/>
        <n v="22.5"/>
        <n v="122.5"/>
        <n v="265.5"/>
        <n v="61.5"/>
        <n v="432.75"/>
        <n v="28"/>
        <n v="44.25"/>
        <n v="419.25"/>
        <n v="749.25"/>
        <n v="17"/>
        <n v="9.5"/>
        <n v="396.5"/>
        <n v="64"/>
        <n v="27"/>
        <n v="42.5"/>
        <n v="16"/>
        <n v="457.75"/>
        <n v="34.5"/>
        <n v="92.5"/>
        <n v="72.5"/>
        <n v="826"/>
        <n v="65"/>
        <n v="228.75"/>
      </sharedItems>
    </cacheField>
    <cacheField name="Total" numFmtId="0">
      <sharedItems containsSemiMixedTypes="0" containsString="0" containsNumber="1" minValue="0" maxValue="2112.5"/>
    </cacheField>
    <cacheField name="Div et Sem" numFmtId="0">
      <sharedItems/>
    </cacheField>
  </cacheFields>
  <extLst>
    <ext xmlns:x14="http://schemas.microsoft.com/office/spreadsheetml/2009/9/main" uri="{725AE2AE-9491-48be-B2B4-4EB974FC3084}">
      <x14:pivotCacheDefinition pivotCacheId="22973479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21">
  <r>
    <x v="0"/>
    <x v="0"/>
    <n v="2"/>
    <n v="1"/>
    <s v="01"/>
    <s v="S01"/>
    <x v="0"/>
    <x v="0"/>
    <x v="0"/>
    <x v="0"/>
    <n v="33.5"/>
    <s v="Autres-S01"/>
  </r>
  <r>
    <x v="1"/>
    <x v="0"/>
    <n v="2"/>
    <n v="1"/>
    <s v="01"/>
    <s v="S01"/>
    <x v="0"/>
    <x v="1"/>
    <x v="1"/>
    <x v="1"/>
    <n v="128.5"/>
    <s v="Biamonique-S01"/>
  </r>
  <r>
    <x v="2"/>
    <x v="0"/>
    <n v="2"/>
    <n v="1"/>
    <s v="01"/>
    <s v="S01"/>
    <x v="0"/>
    <x v="2"/>
    <x v="2"/>
    <x v="2"/>
    <n v="140.75"/>
    <s v="Engrais-S01"/>
  </r>
  <r>
    <x v="3"/>
    <x v="0"/>
    <n v="2"/>
    <n v="1"/>
    <s v="01"/>
    <s v="S01"/>
    <x v="0"/>
    <x v="3"/>
    <x v="3"/>
    <x v="3"/>
    <n v="525.75"/>
    <s v="Entretien-S01"/>
  </r>
  <r>
    <x v="4"/>
    <x v="0"/>
    <n v="2"/>
    <n v="1"/>
    <s v="01"/>
    <s v="S01"/>
    <x v="0"/>
    <x v="4"/>
    <x v="4"/>
    <x v="4"/>
    <n v="606"/>
    <s v="P2O5-S01"/>
  </r>
  <r>
    <x v="5"/>
    <x v="0"/>
    <n v="2"/>
    <n v="1"/>
    <s v="01"/>
    <s v="S01"/>
    <x v="0"/>
    <x v="5"/>
    <x v="5"/>
    <x v="5"/>
    <n v="360.75"/>
    <s v="PTA-S01"/>
  </r>
  <r>
    <x v="6"/>
    <x v="0"/>
    <n v="2"/>
    <n v="1"/>
    <s v="01"/>
    <s v="S01"/>
    <x v="0"/>
    <x v="6"/>
    <x v="6"/>
    <x v="6"/>
    <n v="283.25"/>
    <s v="Soufre &amp; Energie - Sulfine-S01"/>
  </r>
  <r>
    <x v="7"/>
    <x v="0"/>
    <n v="2"/>
    <n v="1"/>
    <s v="01"/>
    <s v="S01"/>
    <x v="0"/>
    <x v="1"/>
    <x v="7"/>
    <x v="3"/>
    <n v="92"/>
    <s v="Zéoline-S01"/>
  </r>
  <r>
    <x v="8"/>
    <x v="0"/>
    <n v="2"/>
    <n v="1"/>
    <s v="01"/>
    <s v="S01"/>
    <x v="0"/>
    <x v="7"/>
    <x v="8"/>
    <x v="7"/>
    <n v="133.5"/>
    <s v="#N/A-S01"/>
  </r>
  <r>
    <x v="0"/>
    <x v="1"/>
    <n v="3"/>
    <n v="2"/>
    <s v="02"/>
    <s v="S02"/>
    <x v="0"/>
    <x v="8"/>
    <x v="3"/>
    <x v="8"/>
    <n v="99.75"/>
    <s v="Autres-S02"/>
  </r>
  <r>
    <x v="1"/>
    <x v="1"/>
    <n v="3"/>
    <n v="2"/>
    <s v="02"/>
    <s v="S02"/>
    <x v="0"/>
    <x v="1"/>
    <x v="3"/>
    <x v="9"/>
    <n v="161.25"/>
    <s v="Biamonique-S02"/>
  </r>
  <r>
    <x v="9"/>
    <x v="1"/>
    <n v="3"/>
    <n v="2"/>
    <s v="02"/>
    <s v="S02"/>
    <x v="0"/>
    <x v="9"/>
    <x v="9"/>
    <x v="3"/>
    <n v="264"/>
    <s v="D1-S02"/>
  </r>
  <r>
    <x v="2"/>
    <x v="1"/>
    <n v="3"/>
    <n v="2"/>
    <s v="02"/>
    <s v="S02"/>
    <x v="0"/>
    <x v="10"/>
    <x v="10"/>
    <x v="10"/>
    <n v="146"/>
    <s v="Engrais-S02"/>
  </r>
  <r>
    <x v="3"/>
    <x v="1"/>
    <n v="3"/>
    <n v="2"/>
    <s v="02"/>
    <s v="S02"/>
    <x v="0"/>
    <x v="11"/>
    <x v="0"/>
    <x v="3"/>
    <n v="43"/>
    <s v="Entretien-S02"/>
  </r>
  <r>
    <x v="10"/>
    <x v="1"/>
    <n v="3"/>
    <n v="2"/>
    <s v="02"/>
    <s v="S02"/>
    <x v="0"/>
    <x v="1"/>
    <x v="11"/>
    <x v="3"/>
    <n v="706.75"/>
    <s v="Hydro-S02"/>
  </r>
  <r>
    <x v="4"/>
    <x v="1"/>
    <n v="3"/>
    <n v="2"/>
    <s v="02"/>
    <s v="S02"/>
    <x v="0"/>
    <x v="12"/>
    <x v="12"/>
    <x v="11"/>
    <n v="790.75"/>
    <s v="P2O5-S02"/>
  </r>
  <r>
    <x v="5"/>
    <x v="1"/>
    <n v="3"/>
    <n v="2"/>
    <s v="02"/>
    <s v="S02"/>
    <x v="0"/>
    <x v="13"/>
    <x v="13"/>
    <x v="12"/>
    <n v="397.5"/>
    <s v="PTA-S02"/>
  </r>
  <r>
    <x v="6"/>
    <x v="1"/>
    <n v="3"/>
    <n v="2"/>
    <s v="02"/>
    <s v="S02"/>
    <x v="0"/>
    <x v="14"/>
    <x v="14"/>
    <x v="13"/>
    <n v="319.5"/>
    <s v="Soufre &amp; Energie - Sulfine-S02"/>
  </r>
  <r>
    <x v="7"/>
    <x v="1"/>
    <n v="3"/>
    <n v="2"/>
    <s v="02"/>
    <s v="S02"/>
    <x v="0"/>
    <x v="1"/>
    <x v="15"/>
    <x v="3"/>
    <n v="81.75"/>
    <s v="Zéoline-S02"/>
  </r>
  <r>
    <x v="8"/>
    <x v="1"/>
    <n v="3"/>
    <n v="2"/>
    <s v="02"/>
    <s v="S02"/>
    <x v="0"/>
    <x v="15"/>
    <x v="16"/>
    <x v="3"/>
    <n v="125.25"/>
    <s v="#N/A-S02"/>
  </r>
  <r>
    <x v="0"/>
    <x v="2"/>
    <n v="4"/>
    <n v="3"/>
    <s v="03"/>
    <s v="S03"/>
    <x v="0"/>
    <x v="8"/>
    <x v="3"/>
    <x v="8"/>
    <n v="99.75"/>
    <s v="Autres-S03"/>
  </r>
  <r>
    <x v="1"/>
    <x v="2"/>
    <n v="4"/>
    <n v="3"/>
    <s v="03"/>
    <s v="S03"/>
    <x v="0"/>
    <x v="1"/>
    <x v="3"/>
    <x v="9"/>
    <n v="161.25"/>
    <s v="Biamonique-S03"/>
  </r>
  <r>
    <x v="9"/>
    <x v="2"/>
    <n v="4"/>
    <n v="3"/>
    <s v="03"/>
    <s v="S03"/>
    <x v="0"/>
    <x v="9"/>
    <x v="9"/>
    <x v="3"/>
    <n v="264"/>
    <s v="D1-S03"/>
  </r>
  <r>
    <x v="2"/>
    <x v="2"/>
    <n v="4"/>
    <n v="3"/>
    <s v="03"/>
    <s v="S03"/>
    <x v="0"/>
    <x v="10"/>
    <x v="10"/>
    <x v="10"/>
    <n v="146"/>
    <s v="Engrais-S03"/>
  </r>
  <r>
    <x v="3"/>
    <x v="2"/>
    <n v="4"/>
    <n v="3"/>
    <s v="03"/>
    <s v="S03"/>
    <x v="0"/>
    <x v="11"/>
    <x v="0"/>
    <x v="3"/>
    <n v="43"/>
    <s v="Entretien-S03"/>
  </r>
  <r>
    <x v="10"/>
    <x v="2"/>
    <n v="4"/>
    <n v="3"/>
    <s v="03"/>
    <s v="S03"/>
    <x v="0"/>
    <x v="1"/>
    <x v="11"/>
    <x v="3"/>
    <n v="706.75"/>
    <s v="Hydro-S03"/>
  </r>
  <r>
    <x v="4"/>
    <x v="2"/>
    <n v="4"/>
    <n v="3"/>
    <s v="03"/>
    <s v="S03"/>
    <x v="0"/>
    <x v="12"/>
    <x v="12"/>
    <x v="11"/>
    <n v="790.75"/>
    <s v="P2O5-S03"/>
  </r>
  <r>
    <x v="5"/>
    <x v="2"/>
    <n v="4"/>
    <n v="3"/>
    <s v="03"/>
    <s v="S03"/>
    <x v="0"/>
    <x v="13"/>
    <x v="13"/>
    <x v="12"/>
    <n v="397.5"/>
    <s v="PTA-S03"/>
  </r>
  <r>
    <x v="6"/>
    <x v="2"/>
    <n v="4"/>
    <n v="3"/>
    <s v="03"/>
    <s v="S03"/>
    <x v="0"/>
    <x v="14"/>
    <x v="14"/>
    <x v="13"/>
    <n v="319.5"/>
    <s v="Soufre &amp; Energie - Sulfine-S03"/>
  </r>
  <r>
    <x v="7"/>
    <x v="2"/>
    <n v="4"/>
    <n v="3"/>
    <s v="03"/>
    <s v="S03"/>
    <x v="0"/>
    <x v="1"/>
    <x v="15"/>
    <x v="3"/>
    <n v="81.75"/>
    <s v="Zéoline-S03"/>
  </r>
  <r>
    <x v="8"/>
    <x v="2"/>
    <n v="4"/>
    <n v="3"/>
    <s v="03"/>
    <s v="S03"/>
    <x v="0"/>
    <x v="15"/>
    <x v="16"/>
    <x v="3"/>
    <n v="122.75"/>
    <s v="#N/A-S03"/>
  </r>
  <r>
    <x v="0"/>
    <x v="3"/>
    <n v="5"/>
    <n v="4"/>
    <s v="04"/>
    <s v="S04"/>
    <x v="0"/>
    <x v="16"/>
    <x v="17"/>
    <x v="14"/>
    <n v="126.5"/>
    <s v="Autres-S04"/>
  </r>
  <r>
    <x v="1"/>
    <x v="3"/>
    <n v="5"/>
    <n v="4"/>
    <s v="04"/>
    <s v="S04"/>
    <x v="0"/>
    <x v="17"/>
    <x v="18"/>
    <x v="15"/>
    <n v="64.5"/>
    <s v="Biamonique-S04"/>
  </r>
  <r>
    <x v="9"/>
    <x v="3"/>
    <n v="5"/>
    <n v="4"/>
    <s v="04"/>
    <s v="S04"/>
    <x v="0"/>
    <x v="18"/>
    <x v="19"/>
    <x v="3"/>
    <n v="224.75"/>
    <s v="D1-S04"/>
  </r>
  <r>
    <x v="2"/>
    <x v="3"/>
    <n v="5"/>
    <n v="4"/>
    <s v="04"/>
    <s v="S04"/>
    <x v="0"/>
    <x v="11"/>
    <x v="20"/>
    <x v="16"/>
    <n v="236.25"/>
    <s v="Engrais-S04"/>
  </r>
  <r>
    <x v="3"/>
    <x v="3"/>
    <n v="5"/>
    <n v="4"/>
    <s v="04"/>
    <s v="S04"/>
    <x v="0"/>
    <x v="19"/>
    <x v="3"/>
    <x v="17"/>
    <n v="650"/>
    <s v="Entretien-S04"/>
  </r>
  <r>
    <x v="4"/>
    <x v="3"/>
    <n v="5"/>
    <n v="4"/>
    <s v="04"/>
    <s v="S04"/>
    <x v="0"/>
    <x v="20"/>
    <x v="21"/>
    <x v="18"/>
    <n v="736"/>
    <s v="P2O5-S04"/>
  </r>
  <r>
    <x v="5"/>
    <x v="3"/>
    <n v="5"/>
    <n v="4"/>
    <s v="04"/>
    <s v="S04"/>
    <x v="0"/>
    <x v="21"/>
    <x v="22"/>
    <x v="19"/>
    <n v="405.5"/>
    <s v="PTA-S04"/>
  </r>
  <r>
    <x v="6"/>
    <x v="3"/>
    <n v="5"/>
    <n v="4"/>
    <s v="04"/>
    <s v="S04"/>
    <x v="0"/>
    <x v="22"/>
    <x v="23"/>
    <x v="20"/>
    <n v="361"/>
    <s v="Soufre &amp; Energie - Sulfine-S04"/>
  </r>
  <r>
    <x v="7"/>
    <x v="3"/>
    <n v="5"/>
    <n v="4"/>
    <s v="04"/>
    <s v="S04"/>
    <x v="0"/>
    <x v="1"/>
    <x v="24"/>
    <x v="3"/>
    <n v="120"/>
    <s v="Zéoline-S04"/>
  </r>
  <r>
    <x v="8"/>
    <x v="3"/>
    <n v="5"/>
    <n v="4"/>
    <s v="04"/>
    <s v="S04"/>
    <x v="0"/>
    <x v="9"/>
    <x v="25"/>
    <x v="21"/>
    <n v="129"/>
    <s v="#N/A-S04"/>
  </r>
  <r>
    <x v="0"/>
    <x v="4"/>
    <n v="6"/>
    <n v="5"/>
    <s v="05"/>
    <s v="S05"/>
    <x v="0"/>
    <x v="16"/>
    <x v="17"/>
    <x v="14"/>
    <n v="126.5"/>
    <s v="Autres-S05"/>
  </r>
  <r>
    <x v="1"/>
    <x v="4"/>
    <n v="6"/>
    <n v="5"/>
    <s v="05"/>
    <s v="S05"/>
    <x v="0"/>
    <x v="17"/>
    <x v="18"/>
    <x v="15"/>
    <n v="64.5"/>
    <s v="Biamonique-S05"/>
  </r>
  <r>
    <x v="9"/>
    <x v="4"/>
    <n v="6"/>
    <n v="5"/>
    <s v="05"/>
    <s v="S05"/>
    <x v="0"/>
    <x v="18"/>
    <x v="19"/>
    <x v="3"/>
    <n v="224.75"/>
    <s v="D1-S05"/>
  </r>
  <r>
    <x v="2"/>
    <x v="4"/>
    <n v="6"/>
    <n v="5"/>
    <s v="05"/>
    <s v="S05"/>
    <x v="0"/>
    <x v="11"/>
    <x v="20"/>
    <x v="16"/>
    <n v="236.25"/>
    <s v="Engrais-S05"/>
  </r>
  <r>
    <x v="3"/>
    <x v="4"/>
    <n v="6"/>
    <n v="5"/>
    <s v="05"/>
    <s v="S05"/>
    <x v="0"/>
    <x v="19"/>
    <x v="3"/>
    <x v="17"/>
    <n v="650"/>
    <s v="Entretien-S05"/>
  </r>
  <r>
    <x v="4"/>
    <x v="4"/>
    <n v="6"/>
    <n v="5"/>
    <s v="05"/>
    <s v="S05"/>
    <x v="0"/>
    <x v="20"/>
    <x v="21"/>
    <x v="18"/>
    <n v="736"/>
    <s v="P2O5-S05"/>
  </r>
  <r>
    <x v="5"/>
    <x v="4"/>
    <n v="6"/>
    <n v="5"/>
    <s v="05"/>
    <s v="S05"/>
    <x v="0"/>
    <x v="21"/>
    <x v="22"/>
    <x v="19"/>
    <n v="405.5"/>
    <s v="PTA-S05"/>
  </r>
  <r>
    <x v="6"/>
    <x v="4"/>
    <n v="6"/>
    <n v="5"/>
    <s v="05"/>
    <s v="S05"/>
    <x v="0"/>
    <x v="22"/>
    <x v="23"/>
    <x v="20"/>
    <n v="361"/>
    <s v="Soufre &amp; Energie - Sulfine-S05"/>
  </r>
  <r>
    <x v="7"/>
    <x v="4"/>
    <n v="6"/>
    <n v="5"/>
    <s v="05"/>
    <s v="S05"/>
    <x v="0"/>
    <x v="1"/>
    <x v="24"/>
    <x v="3"/>
    <n v="120"/>
    <s v="Zéoline-S05"/>
  </r>
  <r>
    <x v="8"/>
    <x v="4"/>
    <n v="6"/>
    <n v="5"/>
    <s v="05"/>
    <s v="S05"/>
    <x v="0"/>
    <x v="9"/>
    <x v="25"/>
    <x v="21"/>
    <n v="95"/>
    <s v="#N/A-S05"/>
  </r>
  <r>
    <x v="0"/>
    <x v="5"/>
    <n v="7"/>
    <n v="6"/>
    <s v="06"/>
    <s v="S06"/>
    <x v="1"/>
    <x v="18"/>
    <x v="26"/>
    <x v="22"/>
    <n v="67.5"/>
    <s v="Autres-S06"/>
  </r>
  <r>
    <x v="1"/>
    <x v="5"/>
    <n v="7"/>
    <n v="6"/>
    <s v="06"/>
    <s v="S06"/>
    <x v="1"/>
    <x v="1"/>
    <x v="27"/>
    <x v="23"/>
    <n v="100.5"/>
    <s v="Biamonique-S06"/>
  </r>
  <r>
    <x v="9"/>
    <x v="5"/>
    <n v="7"/>
    <n v="6"/>
    <s v="06"/>
    <s v="S06"/>
    <x v="1"/>
    <x v="23"/>
    <x v="3"/>
    <x v="3"/>
    <n v="308.5"/>
    <s v="D1-S06"/>
  </r>
  <r>
    <x v="2"/>
    <x v="5"/>
    <n v="7"/>
    <n v="6"/>
    <s v="06"/>
    <s v="S06"/>
    <x v="1"/>
    <x v="24"/>
    <x v="28"/>
    <x v="24"/>
    <n v="267.5"/>
    <s v="Engrais-S06"/>
  </r>
  <r>
    <x v="3"/>
    <x v="5"/>
    <n v="7"/>
    <n v="6"/>
    <s v="06"/>
    <s v="S06"/>
    <x v="1"/>
    <x v="1"/>
    <x v="29"/>
    <x v="3"/>
    <n v="559"/>
    <s v="Entretien-S06"/>
  </r>
  <r>
    <x v="4"/>
    <x v="5"/>
    <n v="7"/>
    <n v="6"/>
    <s v="06"/>
    <s v="S06"/>
    <x v="1"/>
    <x v="25"/>
    <x v="30"/>
    <x v="25"/>
    <n v="585"/>
    <s v="P2O5-S06"/>
  </r>
  <r>
    <x v="5"/>
    <x v="5"/>
    <n v="7"/>
    <n v="6"/>
    <s v="06"/>
    <s v="S06"/>
    <x v="1"/>
    <x v="26"/>
    <x v="31"/>
    <x v="26"/>
    <n v="258"/>
    <s v="PTA-S06"/>
  </r>
  <r>
    <x v="6"/>
    <x v="5"/>
    <n v="7"/>
    <n v="6"/>
    <s v="06"/>
    <s v="S06"/>
    <x v="1"/>
    <x v="27"/>
    <x v="32"/>
    <x v="17"/>
    <n v="242"/>
    <s v="Soufre &amp; Energie - Sulfine-S06"/>
  </r>
  <r>
    <x v="7"/>
    <x v="5"/>
    <n v="7"/>
    <n v="6"/>
    <s v="06"/>
    <s v="S06"/>
    <x v="1"/>
    <x v="28"/>
    <x v="33"/>
    <x v="27"/>
    <n v="146"/>
    <s v="Zéoline-S06"/>
  </r>
  <r>
    <x v="8"/>
    <x v="5"/>
    <n v="7"/>
    <n v="6"/>
    <s v="06"/>
    <s v="S06"/>
    <x v="1"/>
    <x v="29"/>
    <x v="34"/>
    <x v="28"/>
    <n v="128.5"/>
    <s v="#N/A-S06"/>
  </r>
  <r>
    <x v="0"/>
    <x v="6"/>
    <n v="8"/>
    <n v="7"/>
    <s v="07"/>
    <s v="S07"/>
    <x v="1"/>
    <x v="18"/>
    <x v="3"/>
    <x v="29"/>
    <n v="56.5"/>
    <s v="Autres-S07"/>
  </r>
  <r>
    <x v="1"/>
    <x v="6"/>
    <n v="8"/>
    <n v="7"/>
    <s v="07"/>
    <s v="S07"/>
    <x v="1"/>
    <x v="30"/>
    <x v="35"/>
    <x v="3"/>
    <n v="47.5"/>
    <s v="Biamonique-S07"/>
  </r>
  <r>
    <x v="9"/>
    <x v="6"/>
    <n v="8"/>
    <n v="7"/>
    <s v="07"/>
    <s v="S07"/>
    <x v="1"/>
    <x v="1"/>
    <x v="36"/>
    <x v="30"/>
    <n v="139.5"/>
    <s v="D1-S07"/>
  </r>
  <r>
    <x v="2"/>
    <x v="6"/>
    <n v="8"/>
    <n v="7"/>
    <s v="07"/>
    <s v="S07"/>
    <x v="1"/>
    <x v="13"/>
    <x v="37"/>
    <x v="31"/>
    <n v="132.5"/>
    <s v="Engrais-S07"/>
  </r>
  <r>
    <x v="3"/>
    <x v="6"/>
    <n v="8"/>
    <n v="7"/>
    <s v="07"/>
    <s v="S07"/>
    <x v="1"/>
    <x v="1"/>
    <x v="38"/>
    <x v="3"/>
    <n v="8.5"/>
    <s v="Entretien-S07"/>
  </r>
  <r>
    <x v="10"/>
    <x v="6"/>
    <n v="8"/>
    <n v="7"/>
    <s v="07"/>
    <s v="S07"/>
    <x v="1"/>
    <x v="1"/>
    <x v="39"/>
    <x v="3"/>
    <n v="671"/>
    <s v="Hydro-S07"/>
  </r>
  <r>
    <x v="4"/>
    <x v="6"/>
    <n v="8"/>
    <n v="7"/>
    <s v="07"/>
    <s v="S07"/>
    <x v="1"/>
    <x v="31"/>
    <x v="40"/>
    <x v="32"/>
    <n v="818"/>
    <s v="P2O5-S07"/>
  </r>
  <r>
    <x v="5"/>
    <x v="6"/>
    <n v="8"/>
    <n v="7"/>
    <s v="07"/>
    <s v="S07"/>
    <x v="1"/>
    <x v="26"/>
    <x v="41"/>
    <x v="33"/>
    <n v="151"/>
    <s v="PTA-S07"/>
  </r>
  <r>
    <x v="11"/>
    <x v="6"/>
    <n v="8"/>
    <n v="7"/>
    <s v="07"/>
    <s v="S07"/>
    <x v="1"/>
    <x v="1"/>
    <x v="39"/>
    <x v="3"/>
    <n v="247.5"/>
    <s v="Silox-S07"/>
  </r>
  <r>
    <x v="6"/>
    <x v="6"/>
    <n v="8"/>
    <n v="7"/>
    <s v="07"/>
    <s v="S07"/>
    <x v="1"/>
    <x v="32"/>
    <x v="30"/>
    <x v="34"/>
    <n v="275"/>
    <s v="Soufre &amp; Energie - Sulfine-S07"/>
  </r>
  <r>
    <x v="7"/>
    <x v="6"/>
    <n v="8"/>
    <n v="7"/>
    <s v="07"/>
    <s v="S07"/>
    <x v="1"/>
    <x v="33"/>
    <x v="38"/>
    <x v="35"/>
    <n v="197"/>
    <s v="Zéoline-S07"/>
  </r>
  <r>
    <x v="8"/>
    <x v="6"/>
    <n v="8"/>
    <n v="7"/>
    <s v="07"/>
    <s v="S07"/>
    <x v="1"/>
    <x v="34"/>
    <x v="42"/>
    <x v="29"/>
    <n v="216.5"/>
    <s v="#N/A-S07"/>
  </r>
  <r>
    <x v="0"/>
    <x v="7"/>
    <n v="9"/>
    <n v="8"/>
    <s v="08"/>
    <s v="S08"/>
    <x v="1"/>
    <x v="35"/>
    <x v="3"/>
    <x v="15"/>
    <n v="149.5"/>
    <s v="Autres-S08"/>
  </r>
  <r>
    <x v="1"/>
    <x v="7"/>
    <n v="9"/>
    <n v="8"/>
    <s v="08"/>
    <s v="S08"/>
    <x v="1"/>
    <x v="36"/>
    <x v="43"/>
    <x v="36"/>
    <n v="111.5"/>
    <s v="Biamonique-S08"/>
  </r>
  <r>
    <x v="9"/>
    <x v="7"/>
    <n v="9"/>
    <n v="8"/>
    <s v="08"/>
    <s v="S08"/>
    <x v="1"/>
    <x v="1"/>
    <x v="36"/>
    <x v="3"/>
    <n v="119.5"/>
    <s v="D1-S08"/>
  </r>
  <r>
    <x v="2"/>
    <x v="7"/>
    <n v="9"/>
    <n v="8"/>
    <s v="08"/>
    <s v="S08"/>
    <x v="1"/>
    <x v="37"/>
    <x v="44"/>
    <x v="37"/>
    <n v="118"/>
    <s v="Engrais-S08"/>
  </r>
  <r>
    <x v="3"/>
    <x v="7"/>
    <n v="9"/>
    <n v="8"/>
    <s v="08"/>
    <s v="S08"/>
    <x v="1"/>
    <x v="30"/>
    <x v="3"/>
    <x v="30"/>
    <n v="617.25"/>
    <s v="Entretien-S08"/>
  </r>
  <r>
    <x v="4"/>
    <x v="7"/>
    <n v="9"/>
    <n v="8"/>
    <s v="08"/>
    <s v="S08"/>
    <x v="1"/>
    <x v="38"/>
    <x v="45"/>
    <x v="38"/>
    <n v="837.25"/>
    <s v="P2O5-S08"/>
  </r>
  <r>
    <x v="5"/>
    <x v="7"/>
    <n v="9"/>
    <n v="8"/>
    <s v="08"/>
    <s v="S08"/>
    <x v="1"/>
    <x v="39"/>
    <x v="42"/>
    <x v="39"/>
    <n v="418.5"/>
    <s v="PTA-S08"/>
  </r>
  <r>
    <x v="6"/>
    <x v="7"/>
    <n v="9"/>
    <n v="8"/>
    <s v="08"/>
    <s v="S08"/>
    <x v="1"/>
    <x v="40"/>
    <x v="46"/>
    <x v="40"/>
    <n v="282"/>
    <s v="Soufre &amp; Energie - Sulfine-S08"/>
  </r>
  <r>
    <x v="7"/>
    <x v="7"/>
    <n v="9"/>
    <n v="8"/>
    <s v="08"/>
    <s v="S08"/>
    <x v="1"/>
    <x v="41"/>
    <x v="47"/>
    <x v="41"/>
    <n v="147.5"/>
    <s v="Zéoline-S08"/>
  </r>
  <r>
    <x v="8"/>
    <x v="7"/>
    <n v="9"/>
    <n v="8"/>
    <s v="08"/>
    <s v="S08"/>
    <x v="1"/>
    <x v="1"/>
    <x v="8"/>
    <x v="35"/>
    <n v="74.5"/>
    <s v="#N/A-S08"/>
  </r>
  <r>
    <x v="0"/>
    <x v="8"/>
    <n v="10"/>
    <n v="9"/>
    <s v="09"/>
    <s v="S09"/>
    <x v="1"/>
    <x v="36"/>
    <x v="3"/>
    <x v="0"/>
    <n v="47"/>
    <s v="Autres-S09"/>
  </r>
  <r>
    <x v="1"/>
    <x v="8"/>
    <n v="10"/>
    <n v="9"/>
    <s v="09"/>
    <s v="S09"/>
    <x v="1"/>
    <x v="42"/>
    <x v="48"/>
    <x v="3"/>
    <n v="52.5"/>
    <s v="Biamonique-S09"/>
  </r>
  <r>
    <x v="9"/>
    <x v="8"/>
    <n v="10"/>
    <n v="9"/>
    <s v="09"/>
    <s v="S09"/>
    <x v="1"/>
    <x v="41"/>
    <x v="49"/>
    <x v="3"/>
    <n v="37.5"/>
    <s v="D1-S09"/>
  </r>
  <r>
    <x v="2"/>
    <x v="8"/>
    <n v="10"/>
    <n v="9"/>
    <s v="09"/>
    <s v="S09"/>
    <x v="1"/>
    <x v="1"/>
    <x v="50"/>
    <x v="3"/>
    <n v="31"/>
    <s v="Engrais-S09"/>
  </r>
  <r>
    <x v="3"/>
    <x v="8"/>
    <n v="10"/>
    <n v="9"/>
    <s v="09"/>
    <s v="S09"/>
    <x v="1"/>
    <x v="16"/>
    <x v="3"/>
    <x v="0"/>
    <n v="527.5"/>
    <s v="Entretien-S09"/>
  </r>
  <r>
    <x v="4"/>
    <x v="8"/>
    <n v="10"/>
    <n v="9"/>
    <s v="09"/>
    <s v="S09"/>
    <x v="1"/>
    <x v="43"/>
    <x v="51"/>
    <x v="42"/>
    <n v="2112.5"/>
    <s v="P2O5-S09"/>
  </r>
  <r>
    <x v="5"/>
    <x v="8"/>
    <n v="10"/>
    <n v="9"/>
    <s v="09"/>
    <s v="S09"/>
    <x v="1"/>
    <x v="44"/>
    <x v="52"/>
    <x v="43"/>
    <n v="1835"/>
    <s v="PTA-S09"/>
  </r>
  <r>
    <x v="6"/>
    <x v="8"/>
    <n v="10"/>
    <n v="9"/>
    <s v="09"/>
    <s v="S09"/>
    <x v="1"/>
    <x v="45"/>
    <x v="53"/>
    <x v="3"/>
    <n v="253.5"/>
    <s v="Soufre &amp; Energie - Sulfine-S09"/>
  </r>
  <r>
    <x v="7"/>
    <x v="8"/>
    <n v="10"/>
    <n v="9"/>
    <s v="09"/>
    <s v="S09"/>
    <x v="1"/>
    <x v="1"/>
    <x v="54"/>
    <x v="3"/>
    <n v="39"/>
    <s v="Zéoline-S09"/>
  </r>
  <r>
    <x v="8"/>
    <x v="8"/>
    <n v="10"/>
    <n v="9"/>
    <s v="09"/>
    <s v="S09"/>
    <x v="1"/>
    <x v="46"/>
    <x v="3"/>
    <x v="44"/>
    <n v="46"/>
    <s v="#N/A-S09"/>
  </r>
  <r>
    <x v="0"/>
    <x v="9"/>
    <n v="11"/>
    <n v="10"/>
    <s v="010"/>
    <s v="S010"/>
    <x v="2"/>
    <x v="47"/>
    <x v="55"/>
    <x v="0"/>
    <n v="41.5"/>
    <s v="Autres-S010"/>
  </r>
  <r>
    <x v="1"/>
    <x v="9"/>
    <n v="11"/>
    <n v="10"/>
    <s v="010"/>
    <s v="S010"/>
    <x v="2"/>
    <x v="1"/>
    <x v="50"/>
    <x v="3"/>
    <n v="69.5"/>
    <s v="Biamonique-S010"/>
  </r>
  <r>
    <x v="9"/>
    <x v="9"/>
    <n v="11"/>
    <n v="10"/>
    <s v="010"/>
    <s v="S010"/>
    <x v="2"/>
    <x v="1"/>
    <x v="56"/>
    <x v="3"/>
    <n v="177.25"/>
    <s v="D1-S010"/>
  </r>
  <r>
    <x v="2"/>
    <x v="9"/>
    <n v="11"/>
    <n v="10"/>
    <s v="010"/>
    <s v="S010"/>
    <x v="2"/>
    <x v="48"/>
    <x v="57"/>
    <x v="45"/>
    <n v="142.25"/>
    <s v="Engrais-S010"/>
  </r>
  <r>
    <x v="3"/>
    <x v="9"/>
    <n v="11"/>
    <n v="10"/>
    <s v="010"/>
    <s v="S010"/>
    <x v="2"/>
    <x v="49"/>
    <x v="3"/>
    <x v="46"/>
    <n v="24"/>
    <s v="Entretien-S010"/>
  </r>
  <r>
    <x v="10"/>
    <x v="9"/>
    <n v="11"/>
    <n v="10"/>
    <s v="010"/>
    <s v="S010"/>
    <x v="2"/>
    <x v="1"/>
    <x v="0"/>
    <x v="3"/>
    <n v="607.25"/>
    <s v="Hydro-S010"/>
  </r>
  <r>
    <x v="4"/>
    <x v="9"/>
    <n v="11"/>
    <n v="10"/>
    <s v="010"/>
    <s v="S010"/>
    <x v="2"/>
    <x v="50"/>
    <x v="58"/>
    <x v="47"/>
    <n v="932.75"/>
    <s v="P2O5-S010"/>
  </r>
  <r>
    <x v="5"/>
    <x v="9"/>
    <n v="11"/>
    <n v="10"/>
    <s v="010"/>
    <s v="S010"/>
    <x v="2"/>
    <x v="8"/>
    <x v="59"/>
    <x v="48"/>
    <n v="557.5"/>
    <s v="PTA-S010"/>
  </r>
  <r>
    <x v="6"/>
    <x v="9"/>
    <n v="11"/>
    <n v="10"/>
    <s v="010"/>
    <s v="S010"/>
    <x v="2"/>
    <x v="51"/>
    <x v="60"/>
    <x v="44"/>
    <n v="234"/>
    <s v="Soufre &amp; Energie - Sulfine-S010"/>
  </r>
  <r>
    <x v="7"/>
    <x v="9"/>
    <n v="11"/>
    <n v="10"/>
    <s v="010"/>
    <s v="S010"/>
    <x v="2"/>
    <x v="1"/>
    <x v="61"/>
    <x v="3"/>
    <n v="94"/>
    <s v="Zéoline-S010"/>
  </r>
  <r>
    <x v="8"/>
    <x v="9"/>
    <n v="11"/>
    <n v="10"/>
    <s v="010"/>
    <s v="S010"/>
    <x v="2"/>
    <x v="52"/>
    <x v="62"/>
    <x v="49"/>
    <n v="180"/>
    <s v="#N/A-S010"/>
  </r>
  <r>
    <x v="0"/>
    <x v="10"/>
    <n v="12"/>
    <n v="11"/>
    <s v="011"/>
    <s v="S011"/>
    <x v="2"/>
    <x v="16"/>
    <x v="3"/>
    <x v="50"/>
    <n v="104.5"/>
    <s v="Autres-S011"/>
  </r>
  <r>
    <x v="1"/>
    <x v="10"/>
    <n v="12"/>
    <n v="11"/>
    <s v="011"/>
    <s v="S011"/>
    <x v="2"/>
    <x v="1"/>
    <x v="48"/>
    <x v="3"/>
    <n v="72.5"/>
    <s v="Biamonique-S011"/>
  </r>
  <r>
    <x v="2"/>
    <x v="10"/>
    <n v="12"/>
    <n v="11"/>
    <s v="011"/>
    <s v="S011"/>
    <x v="2"/>
    <x v="53"/>
    <x v="63"/>
    <x v="51"/>
    <n v="59"/>
    <s v="Engrais-S011"/>
  </r>
  <r>
    <x v="3"/>
    <x v="10"/>
    <n v="12"/>
    <n v="11"/>
    <s v="011"/>
    <s v="S011"/>
    <x v="2"/>
    <x v="18"/>
    <x v="3"/>
    <x v="3"/>
    <n v="4"/>
    <s v="Entretien-S011"/>
  </r>
  <r>
    <x v="10"/>
    <x v="10"/>
    <n v="12"/>
    <n v="11"/>
    <s v="011"/>
    <s v="S011"/>
    <x v="2"/>
    <x v="33"/>
    <x v="3"/>
    <x v="3"/>
    <n v="576.25"/>
    <s v="Hydro-S011"/>
  </r>
  <r>
    <x v="4"/>
    <x v="10"/>
    <n v="12"/>
    <n v="11"/>
    <s v="011"/>
    <s v="S011"/>
    <x v="2"/>
    <x v="54"/>
    <x v="64"/>
    <x v="52"/>
    <n v="896.75"/>
    <s v="P2O5-S011"/>
  </r>
  <r>
    <x v="5"/>
    <x v="10"/>
    <n v="12"/>
    <n v="11"/>
    <s v="011"/>
    <s v="S011"/>
    <x v="2"/>
    <x v="36"/>
    <x v="65"/>
    <x v="53"/>
    <n v="552.5"/>
    <s v="PTA-S011"/>
  </r>
  <r>
    <x v="6"/>
    <x v="10"/>
    <n v="12"/>
    <n v="11"/>
    <s v="011"/>
    <s v="S011"/>
    <x v="2"/>
    <x v="55"/>
    <x v="66"/>
    <x v="3"/>
    <n v="259.5"/>
    <s v="Soufre &amp; Energie - Sulfine-S011"/>
  </r>
  <r>
    <x v="7"/>
    <x v="10"/>
    <n v="12"/>
    <n v="11"/>
    <s v="011"/>
    <s v="S011"/>
    <x v="2"/>
    <x v="1"/>
    <x v="29"/>
    <x v="3"/>
    <n v="69"/>
    <s v="Zéoline-S011"/>
  </r>
  <r>
    <x v="8"/>
    <x v="10"/>
    <n v="12"/>
    <n v="11"/>
    <s v="011"/>
    <s v="S011"/>
    <x v="2"/>
    <x v="56"/>
    <x v="67"/>
    <x v="23"/>
    <n v="44"/>
    <s v="#N/A-S011"/>
  </r>
  <r>
    <x v="0"/>
    <x v="11"/>
    <n v="13"/>
    <n v="12"/>
    <s v="012"/>
    <s v="S012"/>
    <x v="2"/>
    <x v="33"/>
    <x v="3"/>
    <x v="30"/>
    <n v="95.5"/>
    <s v="Autres-S012"/>
  </r>
  <r>
    <x v="1"/>
    <x v="11"/>
    <n v="13"/>
    <n v="12"/>
    <s v="012"/>
    <s v="S012"/>
    <x v="2"/>
    <x v="57"/>
    <x v="67"/>
    <x v="49"/>
    <n v="305"/>
    <s v="Biamonique-S012"/>
  </r>
  <r>
    <x v="2"/>
    <x v="11"/>
    <n v="13"/>
    <n v="12"/>
    <s v="012"/>
    <s v="S012"/>
    <x v="2"/>
    <x v="58"/>
    <x v="68"/>
    <x v="54"/>
    <n v="218.5"/>
    <s v="Engrais-S012"/>
  </r>
  <r>
    <x v="3"/>
    <x v="11"/>
    <n v="13"/>
    <n v="12"/>
    <s v="012"/>
    <s v="S012"/>
    <x v="2"/>
    <x v="59"/>
    <x v="3"/>
    <x v="3"/>
    <n v="5.5"/>
    <s v="Entretien-S012"/>
  </r>
  <r>
    <x v="10"/>
    <x v="11"/>
    <n v="13"/>
    <n v="12"/>
    <s v="012"/>
    <s v="S012"/>
    <x v="2"/>
    <x v="1"/>
    <x v="0"/>
    <x v="3"/>
    <n v="500.5"/>
    <s v="Hydro-S012"/>
  </r>
  <r>
    <x v="4"/>
    <x v="11"/>
    <n v="13"/>
    <n v="12"/>
    <s v="012"/>
    <s v="S012"/>
    <x v="2"/>
    <x v="60"/>
    <x v="69"/>
    <x v="55"/>
    <n v="647"/>
    <s v="P2O5-S012"/>
  </r>
  <r>
    <x v="5"/>
    <x v="11"/>
    <n v="13"/>
    <n v="12"/>
    <s v="012"/>
    <s v="S012"/>
    <x v="2"/>
    <x v="1"/>
    <x v="70"/>
    <x v="56"/>
    <n v="396.5"/>
    <s v="PTA-S012"/>
  </r>
  <r>
    <x v="6"/>
    <x v="11"/>
    <n v="13"/>
    <n v="12"/>
    <s v="012"/>
    <s v="S012"/>
    <x v="2"/>
    <x v="61"/>
    <x v="71"/>
    <x v="33"/>
    <n v="262.5"/>
    <s v="Soufre &amp; Energie - Sulfine-S012"/>
  </r>
  <r>
    <x v="7"/>
    <x v="11"/>
    <n v="13"/>
    <n v="12"/>
    <s v="012"/>
    <s v="S012"/>
    <x v="2"/>
    <x v="1"/>
    <x v="39"/>
    <x v="57"/>
    <n v="114.5"/>
    <s v="Zéoline-S012"/>
  </r>
  <r>
    <x v="8"/>
    <x v="11"/>
    <n v="13"/>
    <n v="12"/>
    <s v="012"/>
    <s v="S012"/>
    <x v="2"/>
    <x v="62"/>
    <x v="55"/>
    <x v="48"/>
    <n v="159.5"/>
    <s v="#N/A-S012"/>
  </r>
  <r>
    <x v="0"/>
    <x v="12"/>
    <n v="14"/>
    <n v="13"/>
    <s v="013"/>
    <s v="S013"/>
    <x v="2"/>
    <x v="28"/>
    <x v="55"/>
    <x v="58"/>
    <n v="106.5"/>
    <s v="Autres-S013"/>
  </r>
  <r>
    <x v="1"/>
    <x v="12"/>
    <n v="14"/>
    <n v="13"/>
    <s v="013"/>
    <s v="S013"/>
    <x v="2"/>
    <x v="1"/>
    <x v="36"/>
    <x v="59"/>
    <n v="49.5"/>
    <s v="Biamonique-S013"/>
  </r>
  <r>
    <x v="9"/>
    <x v="12"/>
    <n v="14"/>
    <n v="13"/>
    <s v="013"/>
    <s v="S013"/>
    <x v="2"/>
    <x v="1"/>
    <x v="3"/>
    <x v="6"/>
    <n v="80.5"/>
    <s v="D1-S013"/>
  </r>
  <r>
    <x v="2"/>
    <x v="12"/>
    <n v="14"/>
    <n v="13"/>
    <s v="013"/>
    <s v="S013"/>
    <x v="2"/>
    <x v="59"/>
    <x v="72"/>
    <x v="0"/>
    <n v="120.5"/>
    <s v="Engrais-S013"/>
  </r>
  <r>
    <x v="3"/>
    <x v="12"/>
    <n v="14"/>
    <n v="13"/>
    <s v="013"/>
    <s v="S013"/>
    <x v="2"/>
    <x v="63"/>
    <x v="3"/>
    <x v="60"/>
    <n v="700.5"/>
    <s v="Entretien-S013"/>
  </r>
  <r>
    <x v="4"/>
    <x v="12"/>
    <n v="14"/>
    <n v="13"/>
    <s v="013"/>
    <s v="S013"/>
    <x v="2"/>
    <x v="64"/>
    <x v="56"/>
    <x v="61"/>
    <n v="881.75"/>
    <s v="P2O5-S013"/>
  </r>
  <r>
    <x v="5"/>
    <x v="12"/>
    <n v="14"/>
    <n v="13"/>
    <s v="013"/>
    <s v="S013"/>
    <x v="2"/>
    <x v="65"/>
    <x v="73"/>
    <x v="48"/>
    <n v="487.25"/>
    <s v="PTA-S013"/>
  </r>
  <r>
    <x v="6"/>
    <x v="12"/>
    <n v="14"/>
    <n v="13"/>
    <s v="013"/>
    <s v="S013"/>
    <x v="2"/>
    <x v="66"/>
    <x v="74"/>
    <x v="62"/>
    <n v="445.75"/>
    <s v="Soufre &amp; Energie - Sulfine-S013"/>
  </r>
  <r>
    <x v="8"/>
    <x v="12"/>
    <n v="14"/>
    <n v="13"/>
    <s v="013"/>
    <s v="S013"/>
    <x v="2"/>
    <x v="67"/>
    <x v="75"/>
    <x v="63"/>
    <n v="231.25"/>
    <s v="#N/A-S013"/>
  </r>
  <r>
    <x v="0"/>
    <x v="13"/>
    <n v="15"/>
    <n v="14"/>
    <s v="014"/>
    <s v="S014"/>
    <x v="3"/>
    <x v="17"/>
    <x v="76"/>
    <x v="8"/>
    <n v="99.5"/>
    <s v="Autres-S014"/>
  </r>
  <r>
    <x v="1"/>
    <x v="13"/>
    <n v="15"/>
    <n v="14"/>
    <s v="014"/>
    <s v="S014"/>
    <x v="3"/>
    <x v="18"/>
    <x v="77"/>
    <x v="3"/>
    <n v="69.5"/>
    <s v="Biamonique-S014"/>
  </r>
  <r>
    <x v="9"/>
    <x v="13"/>
    <n v="15"/>
    <n v="14"/>
    <s v="014"/>
    <s v="S014"/>
    <x v="3"/>
    <x v="1"/>
    <x v="78"/>
    <x v="3"/>
    <n v="126"/>
    <s v="D1-S014"/>
  </r>
  <r>
    <x v="2"/>
    <x v="13"/>
    <n v="15"/>
    <n v="14"/>
    <s v="014"/>
    <s v="S014"/>
    <x v="3"/>
    <x v="21"/>
    <x v="29"/>
    <x v="64"/>
    <n v="128"/>
    <s v="Engrais-S014"/>
  </r>
  <r>
    <x v="3"/>
    <x v="13"/>
    <n v="15"/>
    <n v="14"/>
    <s v="014"/>
    <s v="S014"/>
    <x v="3"/>
    <x v="68"/>
    <x v="0"/>
    <x v="3"/>
    <n v="717.5"/>
    <s v="Entretien-S014"/>
  </r>
  <r>
    <x v="4"/>
    <x v="13"/>
    <n v="15"/>
    <n v="14"/>
    <s v="014"/>
    <s v="S014"/>
    <x v="3"/>
    <x v="69"/>
    <x v="79"/>
    <x v="65"/>
    <n v="903.5"/>
    <s v="P2O5-S014"/>
  </r>
  <r>
    <x v="5"/>
    <x v="13"/>
    <n v="15"/>
    <n v="14"/>
    <s v="014"/>
    <s v="S014"/>
    <x v="3"/>
    <x v="55"/>
    <x v="80"/>
    <x v="66"/>
    <n v="471"/>
    <s v="PTA-S014"/>
  </r>
  <r>
    <x v="6"/>
    <x v="13"/>
    <n v="15"/>
    <n v="14"/>
    <s v="014"/>
    <s v="S014"/>
    <x v="3"/>
    <x v="70"/>
    <x v="81"/>
    <x v="8"/>
    <n v="312.5"/>
    <s v="Soufre &amp; Energie - Sulfine-S014"/>
  </r>
  <r>
    <x v="7"/>
    <x v="13"/>
    <n v="15"/>
    <n v="14"/>
    <s v="014"/>
    <s v="S014"/>
    <x v="3"/>
    <x v="1"/>
    <x v="82"/>
    <x v="3"/>
    <n v="177"/>
    <s v="Zéoline-S014"/>
  </r>
  <r>
    <x v="8"/>
    <x v="13"/>
    <n v="15"/>
    <n v="14"/>
    <s v="014"/>
    <s v="S014"/>
    <x v="3"/>
    <x v="22"/>
    <x v="34"/>
    <x v="21"/>
    <n v="178"/>
    <s v="#N/A-S014"/>
  </r>
  <r>
    <x v="0"/>
    <x v="14"/>
    <n v="16"/>
    <n v="15"/>
    <s v="015"/>
    <s v="S015"/>
    <x v="3"/>
    <x v="71"/>
    <x v="26"/>
    <x v="7"/>
    <n v="82.3"/>
    <s v="Autres-S015"/>
  </r>
  <r>
    <x v="1"/>
    <x v="14"/>
    <n v="16"/>
    <n v="15"/>
    <s v="015"/>
    <s v="S015"/>
    <x v="3"/>
    <x v="49"/>
    <x v="83"/>
    <x v="1"/>
    <n v="40.299999999999997"/>
    <s v="Biamonique-S015"/>
  </r>
  <r>
    <x v="9"/>
    <x v="14"/>
    <n v="16"/>
    <n v="15"/>
    <s v="015"/>
    <s v="S015"/>
    <x v="3"/>
    <x v="1"/>
    <x v="49"/>
    <x v="3"/>
    <n v="164.25"/>
    <s v="D1-S015"/>
  </r>
  <r>
    <x v="2"/>
    <x v="14"/>
    <n v="16"/>
    <n v="15"/>
    <s v="015"/>
    <s v="S015"/>
    <x v="3"/>
    <x v="72"/>
    <x v="84"/>
    <x v="67"/>
    <n v="167.25"/>
    <s v="Engrais-S015"/>
  </r>
  <r>
    <x v="3"/>
    <x v="14"/>
    <n v="16"/>
    <n v="15"/>
    <s v="015"/>
    <s v="S015"/>
    <x v="3"/>
    <x v="30"/>
    <x v="3"/>
    <x v="0"/>
    <n v="802"/>
    <s v="Entretien-S015"/>
  </r>
  <r>
    <x v="4"/>
    <x v="14"/>
    <n v="16"/>
    <n v="15"/>
    <s v="015"/>
    <s v="S015"/>
    <x v="3"/>
    <x v="73"/>
    <x v="85"/>
    <x v="68"/>
    <n v="971.5"/>
    <s v="P2O5-S015"/>
  </r>
  <r>
    <x v="5"/>
    <x v="14"/>
    <n v="16"/>
    <n v="15"/>
    <s v="015"/>
    <s v="S015"/>
    <x v="3"/>
    <x v="28"/>
    <x v="86"/>
    <x v="64"/>
    <n v="472"/>
    <s v="PTA-S015"/>
  </r>
  <r>
    <x v="6"/>
    <x v="14"/>
    <n v="16"/>
    <n v="15"/>
    <s v="015"/>
    <s v="S015"/>
    <x v="3"/>
    <x v="74"/>
    <x v="87"/>
    <x v="69"/>
    <n v="301.5"/>
    <s v="Soufre &amp; Energie - Sulfine-S015"/>
  </r>
  <r>
    <x v="7"/>
    <x v="14"/>
    <n v="16"/>
    <n v="15"/>
    <s v="015"/>
    <s v="S015"/>
    <x v="3"/>
    <x v="59"/>
    <x v="25"/>
    <x v="3"/>
    <n v="102.5"/>
    <s v="Zéoline-S015"/>
  </r>
  <r>
    <x v="8"/>
    <x v="14"/>
    <n v="16"/>
    <n v="15"/>
    <s v="015"/>
    <s v="S015"/>
    <x v="3"/>
    <x v="42"/>
    <x v="81"/>
    <x v="12"/>
    <n v="96.5"/>
    <s v="#N/A-S015"/>
  </r>
  <r>
    <x v="0"/>
    <x v="15"/>
    <n v="17"/>
    <n v="16"/>
    <s v="016"/>
    <s v="S016"/>
    <x v="3"/>
    <x v="1"/>
    <x v="3"/>
    <x v="0"/>
    <n v="22"/>
    <s v="Autres-S016"/>
  </r>
  <r>
    <x v="1"/>
    <x v="15"/>
    <n v="17"/>
    <n v="16"/>
    <s v="016"/>
    <s v="S016"/>
    <x v="3"/>
    <x v="59"/>
    <x v="0"/>
    <x v="70"/>
    <n v="22"/>
    <s v="Biamonique-S016"/>
  </r>
  <r>
    <x v="9"/>
    <x v="15"/>
    <n v="17"/>
    <n v="16"/>
    <s v="016"/>
    <s v="S016"/>
    <x v="3"/>
    <x v="1"/>
    <x v="17"/>
    <x v="3"/>
    <n v="51"/>
    <s v="D1-S016"/>
  </r>
  <r>
    <x v="2"/>
    <x v="15"/>
    <n v="17"/>
    <n v="16"/>
    <s v="016"/>
    <s v="S016"/>
    <x v="3"/>
    <x v="75"/>
    <x v="88"/>
    <x v="56"/>
    <n v="62.5"/>
    <s v="Engrais-S016"/>
  </r>
  <r>
    <x v="3"/>
    <x v="15"/>
    <n v="17"/>
    <n v="16"/>
    <s v="016"/>
    <s v="S016"/>
    <x v="3"/>
    <x v="76"/>
    <x v="3"/>
    <x v="71"/>
    <n v="474"/>
    <s v="Entretien-S016"/>
  </r>
  <r>
    <x v="4"/>
    <x v="15"/>
    <n v="17"/>
    <n v="16"/>
    <s v="016"/>
    <s v="S016"/>
    <x v="3"/>
    <x v="77"/>
    <x v="8"/>
    <x v="72"/>
    <n v="543"/>
    <s v="P2O5-S016"/>
  </r>
  <r>
    <x v="5"/>
    <x v="15"/>
    <n v="17"/>
    <n v="16"/>
    <s v="016"/>
    <s v="S016"/>
    <x v="3"/>
    <x v="1"/>
    <x v="89"/>
    <x v="66"/>
    <n v="88.5"/>
    <s v="PTA-S016"/>
  </r>
  <r>
    <x v="11"/>
    <x v="15"/>
    <n v="17"/>
    <n v="16"/>
    <s v="016"/>
    <s v="S016"/>
    <x v="3"/>
    <x v="1"/>
    <x v="17"/>
    <x v="3"/>
    <n v="185.5"/>
    <s v="Silox-S016"/>
  </r>
  <r>
    <x v="6"/>
    <x v="15"/>
    <n v="17"/>
    <n v="16"/>
    <s v="016"/>
    <s v="S016"/>
    <x v="3"/>
    <x v="78"/>
    <x v="37"/>
    <x v="73"/>
    <n v="223.5"/>
    <s v="Soufre &amp; Energie - Sulfine-S016"/>
  </r>
  <r>
    <x v="7"/>
    <x v="15"/>
    <n v="17"/>
    <n v="16"/>
    <s v="016"/>
    <s v="S016"/>
    <x v="3"/>
    <x v="68"/>
    <x v="2"/>
    <x v="17"/>
    <n v="118.5"/>
    <s v="Zéoline-S016"/>
  </r>
  <r>
    <x v="8"/>
    <x v="15"/>
    <n v="17"/>
    <n v="16"/>
    <s v="016"/>
    <s v="S016"/>
    <x v="3"/>
    <x v="79"/>
    <x v="90"/>
    <x v="74"/>
    <n v="104"/>
    <s v="#N/A-S016"/>
  </r>
  <r>
    <x v="0"/>
    <x v="16"/>
    <n v="18"/>
    <n v="17"/>
    <s v="017"/>
    <s v="S017"/>
    <x v="3"/>
    <x v="80"/>
    <x v="0"/>
    <x v="75"/>
    <n v="91"/>
    <s v="Autres-S017"/>
  </r>
  <r>
    <x v="1"/>
    <x v="16"/>
    <n v="18"/>
    <n v="17"/>
    <s v="017"/>
    <s v="S017"/>
    <x v="3"/>
    <x v="28"/>
    <x v="67"/>
    <x v="76"/>
    <n v="215"/>
    <s v="Biamonique-S017"/>
  </r>
  <r>
    <x v="9"/>
    <x v="16"/>
    <n v="18"/>
    <n v="17"/>
    <s v="017"/>
    <s v="S017"/>
    <x v="3"/>
    <x v="81"/>
    <x v="3"/>
    <x v="77"/>
    <n v="264"/>
    <s v="D1-S017"/>
  </r>
  <r>
    <x v="2"/>
    <x v="16"/>
    <n v="18"/>
    <n v="17"/>
    <s v="017"/>
    <s v="S017"/>
    <x v="3"/>
    <x v="82"/>
    <x v="31"/>
    <x v="73"/>
    <n v="139"/>
    <s v="Engrais-S017"/>
  </r>
  <r>
    <x v="3"/>
    <x v="16"/>
    <n v="18"/>
    <n v="17"/>
    <s v="017"/>
    <s v="S017"/>
    <x v="3"/>
    <x v="83"/>
    <x v="91"/>
    <x v="28"/>
    <n v="30"/>
    <s v="Entretien-S017"/>
  </r>
  <r>
    <x v="10"/>
    <x v="16"/>
    <n v="18"/>
    <n v="17"/>
    <s v="017"/>
    <s v="S017"/>
    <x v="3"/>
    <x v="1"/>
    <x v="61"/>
    <x v="3"/>
    <n v="674.75"/>
    <s v="Hydro-S017"/>
  </r>
  <r>
    <x v="4"/>
    <x v="16"/>
    <n v="18"/>
    <n v="17"/>
    <s v="017"/>
    <s v="S017"/>
    <x v="3"/>
    <x v="84"/>
    <x v="79"/>
    <x v="78"/>
    <n v="885.25"/>
    <s v="P2O5-S017"/>
  </r>
  <r>
    <x v="5"/>
    <x v="16"/>
    <n v="18"/>
    <n v="17"/>
    <s v="017"/>
    <s v="S017"/>
    <x v="3"/>
    <x v="85"/>
    <x v="92"/>
    <x v="79"/>
    <n v="515"/>
    <s v="PTA-S017"/>
  </r>
  <r>
    <x v="6"/>
    <x v="16"/>
    <n v="18"/>
    <n v="17"/>
    <s v="017"/>
    <s v="S017"/>
    <x v="3"/>
    <x v="81"/>
    <x v="93"/>
    <x v="80"/>
    <n v="333"/>
    <s v="Soufre &amp; Energie - Sulfine-S017"/>
  </r>
  <r>
    <x v="7"/>
    <x v="16"/>
    <n v="18"/>
    <n v="17"/>
    <s v="017"/>
    <s v="S017"/>
    <x v="3"/>
    <x v="59"/>
    <x v="94"/>
    <x v="21"/>
    <n v="132.5"/>
    <s v="Zéoline-S017"/>
  </r>
  <r>
    <x v="8"/>
    <x v="16"/>
    <n v="18"/>
    <n v="17"/>
    <s v="017"/>
    <s v="S017"/>
    <x v="3"/>
    <x v="86"/>
    <x v="76"/>
    <x v="81"/>
    <n v="121"/>
    <s v="#N/A-S017"/>
  </r>
  <r>
    <x v="0"/>
    <x v="17"/>
    <n v="19"/>
    <n v="18"/>
    <s v="018"/>
    <s v="S018"/>
    <x v="4"/>
    <x v="87"/>
    <x v="3"/>
    <x v="3"/>
    <n v="182.5"/>
    <s v="Autres-S018"/>
  </r>
  <r>
    <x v="1"/>
    <x v="17"/>
    <n v="19"/>
    <n v="18"/>
    <s v="018"/>
    <s v="S018"/>
    <x v="4"/>
    <x v="35"/>
    <x v="95"/>
    <x v="82"/>
    <n v="169.5"/>
    <s v="Biamonique-S018"/>
  </r>
  <r>
    <x v="9"/>
    <x v="17"/>
    <n v="19"/>
    <n v="18"/>
    <s v="018"/>
    <s v="S018"/>
    <x v="4"/>
    <x v="1"/>
    <x v="55"/>
    <x v="3"/>
    <n v="442.5"/>
    <s v="D1-S018"/>
  </r>
  <r>
    <x v="2"/>
    <x v="17"/>
    <n v="19"/>
    <n v="18"/>
    <s v="018"/>
    <s v="S018"/>
    <x v="4"/>
    <x v="88"/>
    <x v="67"/>
    <x v="4"/>
    <n v="443"/>
    <s v="Engrais-S018"/>
  </r>
  <r>
    <x v="3"/>
    <x v="17"/>
    <n v="19"/>
    <n v="18"/>
    <s v="018"/>
    <s v="S018"/>
    <x v="4"/>
    <x v="17"/>
    <x v="3"/>
    <x v="30"/>
    <n v="372.5"/>
    <s v="Entretien-S018"/>
  </r>
  <r>
    <x v="4"/>
    <x v="17"/>
    <n v="19"/>
    <n v="18"/>
    <s v="018"/>
    <s v="S018"/>
    <x v="4"/>
    <x v="37"/>
    <x v="96"/>
    <x v="83"/>
    <n v="471"/>
    <s v="P2O5-S018"/>
  </r>
  <r>
    <x v="5"/>
    <x v="17"/>
    <n v="19"/>
    <n v="18"/>
    <s v="018"/>
    <s v="S018"/>
    <x v="4"/>
    <x v="1"/>
    <x v="97"/>
    <x v="41"/>
    <n v="340.5"/>
    <s v="PTA-S018"/>
  </r>
  <r>
    <x v="6"/>
    <x v="17"/>
    <n v="19"/>
    <n v="18"/>
    <s v="018"/>
    <s v="S018"/>
    <x v="4"/>
    <x v="23"/>
    <x v="98"/>
    <x v="41"/>
    <n v="241.5"/>
    <s v="Soufre &amp; Energie - Sulfine-S018"/>
  </r>
  <r>
    <x v="7"/>
    <x v="17"/>
    <n v="19"/>
    <n v="18"/>
    <s v="018"/>
    <s v="S018"/>
    <x v="4"/>
    <x v="46"/>
    <x v="3"/>
    <x v="0"/>
    <n v="19.5"/>
    <s v="Zéoline-S018"/>
  </r>
  <r>
    <x v="8"/>
    <x v="17"/>
    <n v="19"/>
    <n v="18"/>
    <s v="018"/>
    <s v="S018"/>
    <x v="4"/>
    <x v="19"/>
    <x v="3"/>
    <x v="27"/>
    <n v="94"/>
    <s v="#N/A-S018"/>
  </r>
  <r>
    <x v="0"/>
    <x v="18"/>
    <n v="20"/>
    <n v="19"/>
    <s v="019"/>
    <s v="S019"/>
    <x v="4"/>
    <x v="46"/>
    <x v="99"/>
    <x v="84"/>
    <n v="112.5"/>
    <s v="Autres-S019"/>
  </r>
  <r>
    <x v="1"/>
    <x v="18"/>
    <n v="20"/>
    <n v="19"/>
    <s v="019"/>
    <s v="S019"/>
    <x v="4"/>
    <x v="46"/>
    <x v="35"/>
    <x v="3"/>
    <n v="57.5"/>
    <s v="Biamonique-S019"/>
  </r>
  <r>
    <x v="9"/>
    <x v="18"/>
    <n v="20"/>
    <n v="19"/>
    <s v="019"/>
    <s v="S019"/>
    <x v="4"/>
    <x v="1"/>
    <x v="35"/>
    <x v="3"/>
    <n v="90"/>
    <s v="D1-S019"/>
  </r>
  <r>
    <x v="2"/>
    <x v="18"/>
    <n v="20"/>
    <n v="19"/>
    <s v="019"/>
    <s v="S019"/>
    <x v="4"/>
    <x v="0"/>
    <x v="100"/>
    <x v="3"/>
    <n v="104.5"/>
    <s v="Engrais-S019"/>
  </r>
  <r>
    <x v="3"/>
    <x v="18"/>
    <n v="20"/>
    <n v="19"/>
    <s v="019"/>
    <s v="S019"/>
    <x v="4"/>
    <x v="89"/>
    <x v="61"/>
    <x v="3"/>
    <n v="688.25"/>
    <s v="Entretien-S019"/>
  </r>
  <r>
    <x v="4"/>
    <x v="18"/>
    <n v="20"/>
    <n v="19"/>
    <s v="019"/>
    <s v="S019"/>
    <x v="4"/>
    <x v="90"/>
    <x v="101"/>
    <x v="85"/>
    <n v="837.75"/>
    <s v="P2O5-S019"/>
  </r>
  <r>
    <x v="5"/>
    <x v="18"/>
    <n v="20"/>
    <n v="19"/>
    <s v="019"/>
    <s v="S019"/>
    <x v="4"/>
    <x v="82"/>
    <x v="102"/>
    <x v="12"/>
    <n v="544.5"/>
    <s v="PTA-S019"/>
  </r>
  <r>
    <x v="6"/>
    <x v="18"/>
    <n v="20"/>
    <n v="19"/>
    <s v="019"/>
    <s v="S019"/>
    <x v="4"/>
    <x v="91"/>
    <x v="103"/>
    <x v="62"/>
    <n v="391"/>
    <s v="Soufre &amp; Energie - Sulfine-S019"/>
  </r>
  <r>
    <x v="7"/>
    <x v="18"/>
    <n v="20"/>
    <n v="19"/>
    <s v="019"/>
    <s v="S019"/>
    <x v="4"/>
    <x v="46"/>
    <x v="25"/>
    <x v="86"/>
    <n v="139.5"/>
    <s v="Zéoline-S019"/>
  </r>
  <r>
    <x v="8"/>
    <x v="18"/>
    <n v="20"/>
    <n v="19"/>
    <s v="019"/>
    <s v="S019"/>
    <x v="4"/>
    <x v="92"/>
    <x v="104"/>
    <x v="69"/>
    <n v="146.25"/>
    <s v="#N/A-S019"/>
  </r>
  <r>
    <x v="0"/>
    <x v="19"/>
    <n v="21"/>
    <n v="20"/>
    <s v="020"/>
    <s v="S020"/>
    <x v="4"/>
    <x v="1"/>
    <x v="3"/>
    <x v="87"/>
    <n v="59.76"/>
    <s v="Autres-S020"/>
  </r>
  <r>
    <x v="1"/>
    <x v="19"/>
    <n v="21"/>
    <n v="20"/>
    <s v="020"/>
    <s v="S020"/>
    <x v="4"/>
    <x v="1"/>
    <x v="105"/>
    <x v="3"/>
    <n v="23.509999999999998"/>
    <s v="Biamonique-S020"/>
  </r>
  <r>
    <x v="9"/>
    <x v="19"/>
    <n v="21"/>
    <n v="20"/>
    <s v="020"/>
    <s v="S020"/>
    <x v="4"/>
    <x v="1"/>
    <x v="49"/>
    <x v="3"/>
    <n v="47.5"/>
    <s v="D1-S020"/>
  </r>
  <r>
    <x v="2"/>
    <x v="19"/>
    <n v="21"/>
    <n v="20"/>
    <s v="020"/>
    <s v="S020"/>
    <x v="4"/>
    <x v="83"/>
    <x v="106"/>
    <x v="3"/>
    <n v="80"/>
    <s v="Engrais-S020"/>
  </r>
  <r>
    <x v="3"/>
    <x v="19"/>
    <n v="21"/>
    <n v="20"/>
    <s v="020"/>
    <s v="S020"/>
    <x v="4"/>
    <x v="8"/>
    <x v="3"/>
    <x v="3"/>
    <n v="658.75"/>
    <s v="Entretien-S020"/>
  </r>
  <r>
    <x v="4"/>
    <x v="19"/>
    <n v="21"/>
    <n v="20"/>
    <s v="020"/>
    <s v="S020"/>
    <x v="4"/>
    <x v="93"/>
    <x v="107"/>
    <x v="88"/>
    <n v="770.75"/>
    <s v="P2O5-S020"/>
  </r>
  <r>
    <x v="5"/>
    <x v="19"/>
    <n v="21"/>
    <n v="20"/>
    <s v="020"/>
    <s v="S020"/>
    <x v="4"/>
    <x v="49"/>
    <x v="32"/>
    <x v="28"/>
    <n v="375.5"/>
    <s v="PTA-S020"/>
  </r>
  <r>
    <x v="6"/>
    <x v="19"/>
    <n v="21"/>
    <n v="20"/>
    <s v="020"/>
    <s v="S020"/>
    <x v="4"/>
    <x v="94"/>
    <x v="108"/>
    <x v="3"/>
    <n v="1275.75"/>
    <s v="Soufre &amp; Energie - Sulfine-S020"/>
  </r>
  <r>
    <x v="7"/>
    <x v="19"/>
    <n v="21"/>
    <n v="20"/>
    <s v="020"/>
    <s v="S020"/>
    <x v="4"/>
    <x v="95"/>
    <x v="109"/>
    <x v="89"/>
    <n v="1079.75"/>
    <s v="Zéoline-S020"/>
  </r>
  <r>
    <x v="8"/>
    <x v="19"/>
    <n v="21"/>
    <n v="20"/>
    <s v="020"/>
    <s v="S020"/>
    <x v="4"/>
    <x v="28"/>
    <x v="50"/>
    <x v="28"/>
    <n v="45.5"/>
    <s v="#N/A-S020"/>
  </r>
  <r>
    <x v="0"/>
    <x v="20"/>
    <n v="22"/>
    <n v="21"/>
    <s v="021"/>
    <s v="S021"/>
    <x v="4"/>
    <x v="1"/>
    <x v="2"/>
    <x v="60"/>
    <n v="55"/>
    <s v="Autres-S021"/>
  </r>
  <r>
    <x v="1"/>
    <x v="20"/>
    <n v="22"/>
    <n v="21"/>
    <s v="021"/>
    <s v="S021"/>
    <x v="4"/>
    <x v="1"/>
    <x v="110"/>
    <x v="3"/>
    <n v="47.5"/>
    <s v="Biamonique-S021"/>
  </r>
  <r>
    <x v="9"/>
    <x v="20"/>
    <n v="22"/>
    <n v="21"/>
    <s v="021"/>
    <s v="S021"/>
    <x v="4"/>
    <x v="1"/>
    <x v="36"/>
    <x v="3"/>
    <n v="55"/>
    <s v="D1-S021"/>
  </r>
  <r>
    <x v="2"/>
    <x v="20"/>
    <n v="22"/>
    <n v="21"/>
    <s v="021"/>
    <s v="S021"/>
    <x v="4"/>
    <x v="96"/>
    <x v="111"/>
    <x v="90"/>
    <n v="53.5"/>
    <s v="Engrais-S021"/>
  </r>
  <r>
    <x v="3"/>
    <x v="20"/>
    <n v="22"/>
    <n v="21"/>
    <s v="021"/>
    <s v="S021"/>
    <x v="4"/>
    <x v="1"/>
    <x v="3"/>
    <x v="91"/>
    <n v="696.75"/>
    <s v="Entretien-S021"/>
  </r>
  <r>
    <x v="4"/>
    <x v="20"/>
    <n v="22"/>
    <n v="21"/>
    <s v="021"/>
    <s v="S021"/>
    <x v="4"/>
    <x v="97"/>
    <x v="112"/>
    <x v="92"/>
    <n v="833.25"/>
    <s v="P2O5-S021"/>
  </r>
  <r>
    <x v="5"/>
    <x v="20"/>
    <n v="22"/>
    <n v="21"/>
    <s v="021"/>
    <s v="S021"/>
    <x v="4"/>
    <x v="98"/>
    <x v="113"/>
    <x v="93"/>
    <n v="320.5"/>
    <s v="PTA-S021"/>
  </r>
  <r>
    <x v="6"/>
    <x v="20"/>
    <n v="22"/>
    <n v="21"/>
    <s v="021"/>
    <s v="S021"/>
    <x v="4"/>
    <x v="83"/>
    <x v="114"/>
    <x v="28"/>
    <n v="235.5"/>
    <s v="Soufre &amp; Energie - Sulfine-S021"/>
  </r>
  <r>
    <x v="7"/>
    <x v="20"/>
    <n v="22"/>
    <n v="21"/>
    <s v="021"/>
    <s v="S021"/>
    <x v="4"/>
    <x v="36"/>
    <x v="115"/>
    <x v="3"/>
    <n v="112"/>
    <s v="Zéoline-S021"/>
  </r>
  <r>
    <x v="8"/>
    <x v="20"/>
    <n v="22"/>
    <n v="21"/>
    <s v="021"/>
    <s v="S021"/>
    <x v="4"/>
    <x v="35"/>
    <x v="3"/>
    <x v="94"/>
    <n v="207"/>
    <s v="#N/A-S021"/>
  </r>
  <r>
    <x v="0"/>
    <x v="21"/>
    <n v="23"/>
    <n v="22"/>
    <s v="022"/>
    <s v="S022"/>
    <x v="4"/>
    <x v="99"/>
    <x v="25"/>
    <x v="95"/>
    <n v="179.5"/>
    <s v="Autres-S022"/>
  </r>
  <r>
    <x v="1"/>
    <x v="21"/>
    <n v="23"/>
    <n v="22"/>
    <s v="022"/>
    <s v="S022"/>
    <x v="4"/>
    <x v="1"/>
    <x v="116"/>
    <x v="3"/>
    <n v="55"/>
    <s v="Biamonique-S022"/>
  </r>
  <r>
    <x v="9"/>
    <x v="21"/>
    <n v="23"/>
    <n v="22"/>
    <s v="022"/>
    <s v="S022"/>
    <x v="4"/>
    <x v="1"/>
    <x v="95"/>
    <x v="96"/>
    <n v="119"/>
    <s v="D1-S022"/>
  </r>
  <r>
    <x v="2"/>
    <x v="21"/>
    <n v="23"/>
    <n v="22"/>
    <s v="022"/>
    <s v="S022"/>
    <x v="4"/>
    <x v="33"/>
    <x v="117"/>
    <x v="29"/>
    <n v="110"/>
    <s v="Engrais-S022"/>
  </r>
  <r>
    <x v="3"/>
    <x v="21"/>
    <n v="23"/>
    <n v="22"/>
    <s v="022"/>
    <s v="S022"/>
    <x v="4"/>
    <x v="100"/>
    <x v="63"/>
    <x v="13"/>
    <n v="679"/>
    <s v="Entretien-S022"/>
  </r>
  <r>
    <x v="4"/>
    <x v="21"/>
    <n v="23"/>
    <n v="22"/>
    <s v="022"/>
    <s v="S022"/>
    <x v="4"/>
    <x v="101"/>
    <x v="118"/>
    <x v="97"/>
    <n v="801"/>
    <s v="P2O5-S022"/>
  </r>
  <r>
    <x v="5"/>
    <x v="21"/>
    <n v="23"/>
    <n v="22"/>
    <s v="022"/>
    <s v="S022"/>
    <x v="4"/>
    <x v="49"/>
    <x v="41"/>
    <x v="98"/>
    <n v="365"/>
    <s v="PTA-S022"/>
  </r>
  <r>
    <x v="6"/>
    <x v="21"/>
    <n v="23"/>
    <n v="22"/>
    <s v="022"/>
    <s v="S022"/>
    <x v="4"/>
    <x v="102"/>
    <x v="119"/>
    <x v="31"/>
    <n v="223.5"/>
    <s v="Soufre &amp; Energie - Sulfine-S022"/>
  </r>
  <r>
    <x v="7"/>
    <x v="21"/>
    <n v="23"/>
    <n v="22"/>
    <s v="022"/>
    <s v="S022"/>
    <x v="4"/>
    <x v="7"/>
    <x v="3"/>
    <x v="3"/>
    <n v="133.5"/>
    <s v="Zéoline-S022"/>
  </r>
  <r>
    <x v="8"/>
    <x v="21"/>
    <n v="23"/>
    <n v="22"/>
    <s v="022"/>
    <s v="S022"/>
    <x v="4"/>
    <x v="103"/>
    <x v="90"/>
    <x v="99"/>
    <n v="170"/>
    <s v="#N/A-S022"/>
  </r>
  <r>
    <x v="0"/>
    <x v="22"/>
    <n v="24"/>
    <n v="23"/>
    <s v="023"/>
    <s v="S023"/>
    <x v="5"/>
    <x v="104"/>
    <x v="3"/>
    <x v="81"/>
    <n v="137.5"/>
    <s v="Autres-S023"/>
  </r>
  <r>
    <x v="1"/>
    <x v="22"/>
    <n v="24"/>
    <n v="23"/>
    <s v="023"/>
    <s v="S023"/>
    <x v="5"/>
    <x v="49"/>
    <x v="62"/>
    <x v="100"/>
    <n v="117"/>
    <s v="Biamonique-S023"/>
  </r>
  <r>
    <x v="9"/>
    <x v="22"/>
    <n v="24"/>
    <n v="23"/>
    <s v="023"/>
    <s v="S023"/>
    <x v="5"/>
    <x v="1"/>
    <x v="120"/>
    <x v="3"/>
    <n v="47.5"/>
    <s v="D1-S023"/>
  </r>
  <r>
    <x v="2"/>
    <x v="22"/>
    <n v="24"/>
    <n v="23"/>
    <s v="023"/>
    <s v="S023"/>
    <x v="5"/>
    <x v="105"/>
    <x v="17"/>
    <x v="3"/>
    <n v="39"/>
    <s v="Engrais-S023"/>
  </r>
  <r>
    <x v="3"/>
    <x v="22"/>
    <n v="24"/>
    <n v="23"/>
    <s v="023"/>
    <s v="S023"/>
    <x v="5"/>
    <x v="96"/>
    <x v="3"/>
    <x v="6"/>
    <n v="944"/>
    <s v="Entretien-S023"/>
  </r>
  <r>
    <x v="4"/>
    <x v="22"/>
    <n v="24"/>
    <n v="23"/>
    <s v="023"/>
    <s v="S023"/>
    <x v="5"/>
    <x v="106"/>
    <x v="5"/>
    <x v="101"/>
    <n v="1038.5"/>
    <s v="P2O5-S023"/>
  </r>
  <r>
    <x v="5"/>
    <x v="22"/>
    <n v="24"/>
    <n v="23"/>
    <s v="023"/>
    <s v="S023"/>
    <x v="5"/>
    <x v="30"/>
    <x v="121"/>
    <x v="28"/>
    <n v="106.5"/>
    <s v="PTA-S023"/>
  </r>
  <r>
    <x v="11"/>
    <x v="22"/>
    <n v="24"/>
    <n v="23"/>
    <s v="023"/>
    <s v="S023"/>
    <x v="5"/>
    <x v="18"/>
    <x v="3"/>
    <x v="3"/>
    <n v="192.5"/>
    <s v="Silox-S023"/>
  </r>
  <r>
    <x v="6"/>
    <x v="22"/>
    <n v="24"/>
    <n v="23"/>
    <s v="023"/>
    <s v="S023"/>
    <x v="5"/>
    <x v="19"/>
    <x v="122"/>
    <x v="62"/>
    <n v="256.5"/>
    <s v="Soufre &amp; Energie - Sulfine-S023"/>
  </r>
  <r>
    <x v="7"/>
    <x v="22"/>
    <n v="24"/>
    <n v="23"/>
    <s v="023"/>
    <s v="S023"/>
    <x v="5"/>
    <x v="52"/>
    <x v="123"/>
    <x v="6"/>
    <n v="124.5"/>
    <s v="Zéoline-S023"/>
  </r>
  <r>
    <x v="8"/>
    <x v="22"/>
    <n v="24"/>
    <n v="23"/>
    <s v="023"/>
    <s v="S023"/>
    <x v="5"/>
    <x v="1"/>
    <x v="124"/>
    <x v="90"/>
    <n v="90.5"/>
    <s v="#N/A-S023"/>
  </r>
  <r>
    <x v="0"/>
    <x v="23"/>
    <n v="25"/>
    <n v="24"/>
    <s v="024"/>
    <s v="S024"/>
    <x v="5"/>
    <x v="1"/>
    <x v="48"/>
    <x v="75"/>
    <n v="39"/>
    <s v="Autres-S024"/>
  </r>
  <r>
    <x v="1"/>
    <x v="23"/>
    <n v="25"/>
    <n v="24"/>
    <s v="024"/>
    <s v="S024"/>
    <x v="5"/>
    <x v="1"/>
    <x v="55"/>
    <x v="3"/>
    <n v="9.5"/>
    <s v="Biamonique-S024"/>
  </r>
  <r>
    <x v="9"/>
    <x v="23"/>
    <n v="25"/>
    <n v="24"/>
    <s v="024"/>
    <s v="S024"/>
    <x v="5"/>
    <x v="1"/>
    <x v="39"/>
    <x v="3"/>
    <n v="183.75"/>
    <s v="D1-S024"/>
  </r>
  <r>
    <x v="2"/>
    <x v="23"/>
    <n v="25"/>
    <n v="24"/>
    <s v="024"/>
    <s v="S024"/>
    <x v="5"/>
    <x v="107"/>
    <x v="125"/>
    <x v="102"/>
    <n v="192.25"/>
    <s v="Engrais-S024"/>
  </r>
  <r>
    <x v="3"/>
    <x v="23"/>
    <n v="25"/>
    <n v="24"/>
    <s v="024"/>
    <s v="S024"/>
    <x v="5"/>
    <x v="98"/>
    <x v="3"/>
    <x v="51"/>
    <n v="457.75"/>
    <s v="Entretien-S024"/>
  </r>
  <r>
    <x v="4"/>
    <x v="23"/>
    <n v="25"/>
    <n v="24"/>
    <s v="024"/>
    <s v="S024"/>
    <x v="5"/>
    <x v="68"/>
    <x v="126"/>
    <x v="103"/>
    <n v="640.75"/>
    <s v="P2O5-S024"/>
  </r>
  <r>
    <x v="5"/>
    <x v="23"/>
    <n v="25"/>
    <n v="24"/>
    <s v="024"/>
    <s v="S024"/>
    <x v="5"/>
    <x v="29"/>
    <x v="127"/>
    <x v="81"/>
    <n v="470.5"/>
    <s v="PTA-S024"/>
  </r>
  <r>
    <x v="6"/>
    <x v="23"/>
    <n v="25"/>
    <n v="24"/>
    <s v="024"/>
    <s v="S024"/>
    <x v="5"/>
    <x v="108"/>
    <x v="128"/>
    <x v="76"/>
    <n v="287"/>
    <s v="Soufre &amp; Energie - Sulfine-S024"/>
  </r>
  <r>
    <x v="7"/>
    <x v="23"/>
    <n v="25"/>
    <n v="24"/>
    <s v="024"/>
    <s v="S024"/>
    <x v="5"/>
    <x v="1"/>
    <x v="76"/>
    <x v="3"/>
    <n v="123"/>
    <s v="Zéoline-S024"/>
  </r>
  <r>
    <x v="8"/>
    <x v="23"/>
    <n v="25"/>
    <n v="24"/>
    <s v="024"/>
    <s v="S024"/>
    <x v="5"/>
    <x v="57"/>
    <x v="72"/>
    <x v="3"/>
    <n v="113"/>
    <s v="#N/A-S024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  <r>
    <x v="12"/>
    <x v="24"/>
    <n v="0"/>
    <n v="-1"/>
    <s v="0-1"/>
    <s v="S0-1"/>
    <x v="0"/>
    <x v="1"/>
    <x v="3"/>
    <x v="3"/>
    <n v="0"/>
    <s v="-S0-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7C5692B-EA69-4865-A6B6-7D378DFB7CE2}" name="Tableau croisé dynamique4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9">
  <location ref="A4:D18" firstHeaderRow="0" firstDataRow="1" firstDataCol="1" rowPageCount="1" colPageCount="1"/>
  <pivotFields count="12">
    <pivotField axis="axisRow" showAll="0">
      <items count="14">
        <item x="8"/>
        <item x="0"/>
        <item x="1"/>
        <item x="9"/>
        <item x="2"/>
        <item x="3"/>
        <item x="10"/>
        <item x="4"/>
        <item x="5"/>
        <item x="6"/>
        <item x="7"/>
        <item x="11"/>
        <item x="12"/>
        <item t="default"/>
      </items>
    </pivotField>
    <pivotField axis="axisPage" numFmtId="14" showAll="0">
      <items count="78">
        <item m="1" x="28"/>
        <item m="1" x="25"/>
        <item m="1" x="75"/>
        <item m="1" x="74"/>
        <item m="1" x="57"/>
        <item m="1" x="55"/>
        <item m="1" x="53"/>
        <item m="1" x="51"/>
        <item m="1" x="52"/>
        <item m="1" x="50"/>
        <item m="1" x="48"/>
        <item m="1" x="46"/>
        <item m="1" x="45"/>
        <item m="1" x="40"/>
        <item m="1" x="37"/>
        <item m="1" x="33"/>
        <item m="1" x="29"/>
        <item m="1" x="42"/>
        <item m="1" x="41"/>
        <item m="1" x="38"/>
        <item m="1" x="34"/>
        <item m="1" x="30"/>
        <item m="1" x="70"/>
        <item m="1" x="66"/>
        <item m="1" x="62"/>
        <item m="1" x="59"/>
        <item m="1" x="73"/>
        <item m="1" x="71"/>
        <item m="1" x="67"/>
        <item m="1" x="63"/>
        <item m="1" x="49"/>
        <item m="1" x="47"/>
        <item m="1" x="72"/>
        <item m="1" x="44"/>
        <item m="1" x="43"/>
        <item m="1" x="35"/>
        <item m="1" x="31"/>
        <item m="1" x="26"/>
        <item m="1" x="76"/>
        <item m="1" x="39"/>
        <item m="1" x="36"/>
        <item m="1" x="32"/>
        <item m="1" x="27"/>
        <item m="1" x="68"/>
        <item m="1" x="64"/>
        <item m="1" x="60"/>
        <item m="1" x="56"/>
        <item m="1" x="54"/>
        <item m="1" x="69"/>
        <item m="1" x="65"/>
        <item m="1" x="61"/>
        <item m="1" x="5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17"/>
        <item x="18"/>
        <item x="19"/>
        <item x="20"/>
        <item x="21"/>
        <item x="22"/>
        <item x="23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numFmtId="164" showAll="0"/>
    <pivotField showAll="0"/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1" hier="-1"/>
  </pageFields>
  <dataFields count="3">
    <dataField name="Planifié  " fld="9" baseField="0" baseItem="3473408"/>
    <dataField name="Non Planifié : Urgent " fld="8" baseField="0" baseItem="3473408"/>
    <dataField name="Non Planifié : Non urgent " fld="7" baseField="0" baseItem="3473408"/>
  </dataFields>
  <chartFormats count="3">
    <chartFormat chart="8" format="0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8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54BEE58-C5A4-484C-9D3D-84D14F986198}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10" firstHeaderRow="0" firstDataRow="1" firstDataCol="1" rowPageCount="1" colPageCount="1"/>
  <pivotFields count="12">
    <pivotField axis="axisPage" multipleItemSelectionAllowed="1" showAll="0">
      <items count="14">
        <item h="1" x="8"/>
        <item h="1" x="0"/>
        <item x="1"/>
        <item h="1" x="9"/>
        <item h="1" x="2"/>
        <item h="1" x="3"/>
        <item h="1" x="10"/>
        <item h="1" x="4"/>
        <item h="1" x="5"/>
        <item h="1" x="11"/>
        <item h="1" x="6"/>
        <item h="1" x="7"/>
        <item h="1" x="12"/>
        <item t="default"/>
      </items>
    </pivotField>
    <pivotField showAll="0"/>
    <pivotField showAll="0"/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dataField="1" showAll="0">
      <items count="110">
        <item x="18"/>
        <item x="26"/>
        <item x="33"/>
        <item x="7"/>
        <item x="46"/>
        <item x="59"/>
        <item x="76"/>
        <item x="83"/>
        <item x="17"/>
        <item x="28"/>
        <item x="19"/>
        <item x="30"/>
        <item x="98"/>
        <item x="49"/>
        <item x="96"/>
        <item x="13"/>
        <item x="80"/>
        <item x="0"/>
        <item x="100"/>
        <item x="75"/>
        <item x="39"/>
        <item x="42"/>
        <item x="72"/>
        <item x="5"/>
        <item x="2"/>
        <item x="74"/>
        <item x="16"/>
        <item x="36"/>
        <item x="11"/>
        <item x="104"/>
        <item x="41"/>
        <item x="47"/>
        <item x="56"/>
        <item x="55"/>
        <item x="68"/>
        <item x="87"/>
        <item x="21"/>
        <item x="106"/>
        <item x="35"/>
        <item x="105"/>
        <item x="71"/>
        <item x="48"/>
        <item x="79"/>
        <item x="14"/>
        <item x="103"/>
        <item x="62"/>
        <item x="3"/>
        <item x="63"/>
        <item x="102"/>
        <item x="10"/>
        <item x="77"/>
        <item x="9"/>
        <item x="82"/>
        <item x="15"/>
        <item x="58"/>
        <item x="89"/>
        <item x="8"/>
        <item x="52"/>
        <item x="57"/>
        <item x="37"/>
        <item x="29"/>
        <item x="60"/>
        <item x="53"/>
        <item x="27"/>
        <item x="92"/>
        <item x="65"/>
        <item x="101"/>
        <item x="40"/>
        <item x="107"/>
        <item x="22"/>
        <item x="32"/>
        <item x="81"/>
        <item x="38"/>
        <item x="86"/>
        <item x="90"/>
        <item x="23"/>
        <item x="61"/>
        <item x="51"/>
        <item x="78"/>
        <item x="45"/>
        <item x="85"/>
        <item x="12"/>
        <item x="34"/>
        <item x="69"/>
        <item x="67"/>
        <item x="25"/>
        <item x="6"/>
        <item x="43"/>
        <item x="93"/>
        <item x="94"/>
        <item x="99"/>
        <item x="91"/>
        <item x="97"/>
        <item x="108"/>
        <item x="54"/>
        <item x="88"/>
        <item x="84"/>
        <item x="20"/>
        <item x="73"/>
        <item x="4"/>
        <item x="31"/>
        <item x="64"/>
        <item x="70"/>
        <item x="24"/>
        <item x="50"/>
        <item x="66"/>
        <item x="95"/>
        <item x="44"/>
        <item x="1"/>
        <item t="default"/>
      </items>
    </pivotField>
    <pivotField dataField="1" showAll="0">
      <items count="130">
        <item x="0"/>
        <item x="39"/>
        <item x="26"/>
        <item x="61"/>
        <item x="17"/>
        <item x="63"/>
        <item x="25"/>
        <item x="38"/>
        <item x="2"/>
        <item x="55"/>
        <item x="49"/>
        <item x="19"/>
        <item x="90"/>
        <item x="88"/>
        <item x="76"/>
        <item x="94"/>
        <item x="36"/>
        <item x="50"/>
        <item x="91"/>
        <item x="1"/>
        <item x="48"/>
        <item x="95"/>
        <item x="105"/>
        <item x="16"/>
        <item x="67"/>
        <item x="99"/>
        <item x="62"/>
        <item x="111"/>
        <item x="120"/>
        <item x="83"/>
        <item x="78"/>
        <item x="104"/>
        <item x="123"/>
        <item x="54"/>
        <item x="28"/>
        <item x="116"/>
        <item x="18"/>
        <item x="11"/>
        <item x="27"/>
        <item x="35"/>
        <item x="33"/>
        <item x="68"/>
        <item x="22"/>
        <item x="29"/>
        <item x="15"/>
        <item x="7"/>
        <item x="8"/>
        <item x="106"/>
        <item x="110"/>
        <item x="43"/>
        <item x="10"/>
        <item x="31"/>
        <item x="124"/>
        <item x="74"/>
        <item x="115"/>
        <item x="77"/>
        <item x="82"/>
        <item x="75"/>
        <item x="57"/>
        <item x="34"/>
        <item x="100"/>
        <item x="96"/>
        <item x="56"/>
        <item x="44"/>
        <item x="89"/>
        <item x="125"/>
        <item x="109"/>
        <item x="24"/>
        <item x="117"/>
        <item x="37"/>
        <item x="42"/>
        <item x="47"/>
        <item x="4"/>
        <item x="72"/>
        <item x="81"/>
        <item x="84"/>
        <item x="113"/>
        <item x="51"/>
        <item x="45"/>
        <item x="5"/>
        <item x="69"/>
        <item x="121"/>
        <item x="13"/>
        <item x="92"/>
        <item x="107"/>
        <item x="46"/>
        <item x="97"/>
        <item x="58"/>
        <item x="41"/>
        <item x="9"/>
        <item x="73"/>
        <item x="108"/>
        <item x="128"/>
        <item x="86"/>
        <item x="64"/>
        <item x="70"/>
        <item x="127"/>
        <item x="71"/>
        <item x="30"/>
        <item x="32"/>
        <item x="119"/>
        <item x="20"/>
        <item x="79"/>
        <item x="60"/>
        <item x="101"/>
        <item x="118"/>
        <item x="102"/>
        <item x="23"/>
        <item x="53"/>
        <item x="6"/>
        <item x="98"/>
        <item x="114"/>
        <item x="80"/>
        <item x="93"/>
        <item x="112"/>
        <item x="122"/>
        <item x="65"/>
        <item x="21"/>
        <item x="85"/>
        <item x="126"/>
        <item x="40"/>
        <item x="66"/>
        <item x="59"/>
        <item x="103"/>
        <item x="87"/>
        <item x="14"/>
        <item x="12"/>
        <item x="52"/>
        <item x="3"/>
        <item t="default"/>
      </items>
    </pivotField>
    <pivotField dataField="1" showAll="0">
      <items count="105">
        <item x="6"/>
        <item x="30"/>
        <item x="51"/>
        <item x="23"/>
        <item x="0"/>
        <item x="62"/>
        <item x="1"/>
        <item x="27"/>
        <item x="37"/>
        <item x="13"/>
        <item x="41"/>
        <item x="12"/>
        <item x="28"/>
        <item x="91"/>
        <item x="71"/>
        <item x="60"/>
        <item x="57"/>
        <item x="70"/>
        <item x="44"/>
        <item x="5"/>
        <item x="46"/>
        <item x="17"/>
        <item x="26"/>
        <item x="96"/>
        <item x="75"/>
        <item x="90"/>
        <item x="21"/>
        <item x="35"/>
        <item x="29"/>
        <item x="7"/>
        <item x="81"/>
        <item x="66"/>
        <item x="15"/>
        <item x="9"/>
        <item x="56"/>
        <item x="94"/>
        <item x="86"/>
        <item x="69"/>
        <item x="49"/>
        <item x="22"/>
        <item x="8"/>
        <item x="98"/>
        <item x="59"/>
        <item x="40"/>
        <item x="79"/>
        <item x="73"/>
        <item x="74"/>
        <item x="76"/>
        <item x="95"/>
        <item x="45"/>
        <item x="87"/>
        <item x="24"/>
        <item x="33"/>
        <item x="58"/>
        <item x="63"/>
        <item x="36"/>
        <item x="34"/>
        <item x="31"/>
        <item x="14"/>
        <item x="64"/>
        <item x="19"/>
        <item x="10"/>
        <item x="16"/>
        <item x="84"/>
        <item x="48"/>
        <item x="93"/>
        <item x="102"/>
        <item x="67"/>
        <item x="80"/>
        <item x="100"/>
        <item x="50"/>
        <item x="77"/>
        <item x="2"/>
        <item x="20"/>
        <item x="99"/>
        <item x="53"/>
        <item x="82"/>
        <item x="54"/>
        <item x="39"/>
        <item x="103"/>
        <item x="83"/>
        <item x="4"/>
        <item x="18"/>
        <item x="25"/>
        <item x="32"/>
        <item x="52"/>
        <item x="42"/>
        <item x="47"/>
        <item x="11"/>
        <item x="55"/>
        <item x="72"/>
        <item x="92"/>
        <item x="78"/>
        <item x="88"/>
        <item x="85"/>
        <item x="61"/>
        <item x="97"/>
        <item x="68"/>
        <item x="38"/>
        <item x="65"/>
        <item x="43"/>
        <item x="89"/>
        <item x="101"/>
        <item x="3"/>
        <item t="default"/>
      </items>
    </pivotField>
    <pivotField showAll="0"/>
    <pivotField showAll="0"/>
  </pivotFields>
  <rowFields count="1">
    <field x="6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0" hier="-1"/>
  </pageFields>
  <dataFields count="3">
    <dataField name="Somme de Planifié " fld="9" baseField="0" baseItem="0"/>
    <dataField name="Somme de Non Planifié Non urgent " fld="7" baseField="0" baseItem="0"/>
    <dataField name="Somme de Non Planifié Urgent 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409AC79-F64B-4708-8035-F6932B70AC30}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10" firstHeaderRow="0" firstDataRow="1" firstDataCol="1" rowPageCount="1" colPageCount="1"/>
  <pivotFields count="12">
    <pivotField axis="axisPage" multipleItemSelectionAllowed="1" showAll="0">
      <items count="14">
        <item x="8"/>
        <item x="0"/>
        <item h="1" x="1"/>
        <item h="1" x="9"/>
        <item h="1" x="2"/>
        <item h="1" x="3"/>
        <item h="1" x="10"/>
        <item h="1" x="4"/>
        <item h="1" x="5"/>
        <item h="1" x="11"/>
        <item h="1" x="6"/>
        <item h="1" x="7"/>
        <item h="1" x="12"/>
        <item t="default"/>
      </items>
    </pivotField>
    <pivotField showAll="0"/>
    <pivotField showAll="0"/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dataField="1" showAll="0">
      <items count="110">
        <item x="18"/>
        <item x="26"/>
        <item x="33"/>
        <item x="7"/>
        <item x="46"/>
        <item x="59"/>
        <item x="76"/>
        <item x="83"/>
        <item x="17"/>
        <item x="28"/>
        <item x="19"/>
        <item x="30"/>
        <item x="98"/>
        <item x="49"/>
        <item x="96"/>
        <item x="13"/>
        <item x="80"/>
        <item x="0"/>
        <item x="100"/>
        <item x="75"/>
        <item x="39"/>
        <item x="42"/>
        <item x="72"/>
        <item x="5"/>
        <item x="2"/>
        <item x="74"/>
        <item x="16"/>
        <item x="36"/>
        <item x="11"/>
        <item x="104"/>
        <item x="41"/>
        <item x="47"/>
        <item x="56"/>
        <item x="55"/>
        <item x="68"/>
        <item x="87"/>
        <item x="21"/>
        <item x="106"/>
        <item x="35"/>
        <item x="105"/>
        <item x="71"/>
        <item x="48"/>
        <item x="79"/>
        <item x="14"/>
        <item x="103"/>
        <item x="62"/>
        <item x="3"/>
        <item x="63"/>
        <item x="102"/>
        <item x="10"/>
        <item x="77"/>
        <item x="9"/>
        <item x="82"/>
        <item x="15"/>
        <item x="58"/>
        <item x="89"/>
        <item x="8"/>
        <item x="52"/>
        <item x="57"/>
        <item x="37"/>
        <item x="29"/>
        <item x="60"/>
        <item x="53"/>
        <item x="27"/>
        <item x="92"/>
        <item x="65"/>
        <item x="101"/>
        <item x="40"/>
        <item x="107"/>
        <item x="22"/>
        <item x="32"/>
        <item x="81"/>
        <item x="38"/>
        <item x="86"/>
        <item x="90"/>
        <item x="23"/>
        <item x="61"/>
        <item x="51"/>
        <item x="78"/>
        <item x="45"/>
        <item x="85"/>
        <item x="12"/>
        <item x="34"/>
        <item x="69"/>
        <item x="67"/>
        <item x="25"/>
        <item x="6"/>
        <item x="43"/>
        <item x="93"/>
        <item x="94"/>
        <item x="99"/>
        <item x="91"/>
        <item x="97"/>
        <item x="108"/>
        <item x="54"/>
        <item x="88"/>
        <item x="84"/>
        <item x="20"/>
        <item x="73"/>
        <item x="4"/>
        <item x="31"/>
        <item x="64"/>
        <item x="70"/>
        <item x="24"/>
        <item x="50"/>
        <item x="66"/>
        <item x="95"/>
        <item x="44"/>
        <item x="1"/>
        <item t="default"/>
      </items>
    </pivotField>
    <pivotField dataField="1" showAll="0">
      <items count="130">
        <item x="0"/>
        <item x="39"/>
        <item x="26"/>
        <item x="61"/>
        <item x="17"/>
        <item x="63"/>
        <item x="25"/>
        <item x="38"/>
        <item x="2"/>
        <item x="55"/>
        <item x="49"/>
        <item x="19"/>
        <item x="90"/>
        <item x="88"/>
        <item x="76"/>
        <item x="94"/>
        <item x="36"/>
        <item x="50"/>
        <item x="91"/>
        <item x="1"/>
        <item x="48"/>
        <item x="95"/>
        <item x="105"/>
        <item x="16"/>
        <item x="67"/>
        <item x="99"/>
        <item x="62"/>
        <item x="111"/>
        <item x="120"/>
        <item x="83"/>
        <item x="78"/>
        <item x="104"/>
        <item x="123"/>
        <item x="54"/>
        <item x="28"/>
        <item x="116"/>
        <item x="18"/>
        <item x="11"/>
        <item x="27"/>
        <item x="35"/>
        <item x="33"/>
        <item x="68"/>
        <item x="22"/>
        <item x="29"/>
        <item x="15"/>
        <item x="7"/>
        <item x="8"/>
        <item x="106"/>
        <item x="110"/>
        <item x="43"/>
        <item x="10"/>
        <item x="31"/>
        <item x="124"/>
        <item x="74"/>
        <item x="115"/>
        <item x="77"/>
        <item x="82"/>
        <item x="75"/>
        <item x="57"/>
        <item x="34"/>
        <item x="100"/>
        <item x="96"/>
        <item x="56"/>
        <item x="44"/>
        <item x="89"/>
        <item x="125"/>
        <item x="109"/>
        <item x="24"/>
        <item x="117"/>
        <item x="37"/>
        <item x="42"/>
        <item x="47"/>
        <item x="4"/>
        <item x="72"/>
        <item x="81"/>
        <item x="84"/>
        <item x="113"/>
        <item x="51"/>
        <item x="45"/>
        <item x="5"/>
        <item x="69"/>
        <item x="121"/>
        <item x="13"/>
        <item x="92"/>
        <item x="107"/>
        <item x="46"/>
        <item x="97"/>
        <item x="58"/>
        <item x="41"/>
        <item x="9"/>
        <item x="73"/>
        <item x="108"/>
        <item x="128"/>
        <item x="86"/>
        <item x="64"/>
        <item x="70"/>
        <item x="127"/>
        <item x="71"/>
        <item x="30"/>
        <item x="32"/>
        <item x="119"/>
        <item x="20"/>
        <item x="79"/>
        <item x="60"/>
        <item x="101"/>
        <item x="118"/>
        <item x="102"/>
        <item x="23"/>
        <item x="53"/>
        <item x="6"/>
        <item x="98"/>
        <item x="114"/>
        <item x="80"/>
        <item x="93"/>
        <item x="112"/>
        <item x="122"/>
        <item x="65"/>
        <item x="21"/>
        <item x="85"/>
        <item x="126"/>
        <item x="40"/>
        <item x="66"/>
        <item x="59"/>
        <item x="103"/>
        <item x="87"/>
        <item x="14"/>
        <item x="12"/>
        <item x="52"/>
        <item x="3"/>
        <item t="default"/>
      </items>
    </pivotField>
    <pivotField dataField="1" showAll="0">
      <items count="105">
        <item x="6"/>
        <item x="30"/>
        <item x="51"/>
        <item x="23"/>
        <item x="0"/>
        <item x="62"/>
        <item x="1"/>
        <item x="27"/>
        <item x="37"/>
        <item x="13"/>
        <item x="41"/>
        <item x="12"/>
        <item x="28"/>
        <item x="91"/>
        <item x="71"/>
        <item x="60"/>
        <item x="57"/>
        <item x="70"/>
        <item x="44"/>
        <item x="5"/>
        <item x="46"/>
        <item x="17"/>
        <item x="26"/>
        <item x="96"/>
        <item x="75"/>
        <item x="90"/>
        <item x="21"/>
        <item x="35"/>
        <item x="29"/>
        <item x="7"/>
        <item x="81"/>
        <item x="66"/>
        <item x="15"/>
        <item x="9"/>
        <item x="56"/>
        <item x="94"/>
        <item x="86"/>
        <item x="69"/>
        <item x="49"/>
        <item x="22"/>
        <item x="8"/>
        <item x="98"/>
        <item x="59"/>
        <item x="40"/>
        <item x="79"/>
        <item x="73"/>
        <item x="74"/>
        <item x="76"/>
        <item x="95"/>
        <item x="45"/>
        <item x="87"/>
        <item x="24"/>
        <item x="33"/>
        <item x="58"/>
        <item x="63"/>
        <item x="36"/>
        <item x="34"/>
        <item x="31"/>
        <item x="14"/>
        <item x="64"/>
        <item x="19"/>
        <item x="10"/>
        <item x="16"/>
        <item x="84"/>
        <item x="48"/>
        <item x="93"/>
        <item x="102"/>
        <item x="67"/>
        <item x="80"/>
        <item x="100"/>
        <item x="50"/>
        <item x="77"/>
        <item x="2"/>
        <item x="20"/>
        <item x="99"/>
        <item x="53"/>
        <item x="82"/>
        <item x="54"/>
        <item x="39"/>
        <item x="103"/>
        <item x="83"/>
        <item x="4"/>
        <item x="18"/>
        <item x="25"/>
        <item x="32"/>
        <item x="52"/>
        <item x="42"/>
        <item x="47"/>
        <item x="11"/>
        <item x="55"/>
        <item x="72"/>
        <item x="92"/>
        <item x="78"/>
        <item x="88"/>
        <item x="85"/>
        <item x="61"/>
        <item x="97"/>
        <item x="68"/>
        <item x="38"/>
        <item x="65"/>
        <item x="43"/>
        <item x="89"/>
        <item x="101"/>
        <item x="3"/>
        <item t="default"/>
      </items>
    </pivotField>
    <pivotField showAll="0"/>
    <pivotField showAll="0"/>
  </pivotFields>
  <rowFields count="1">
    <field x="6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0" hier="-1"/>
  </pageFields>
  <dataFields count="3">
    <dataField name="Somme de Planifié " fld="9" baseField="0" baseItem="0"/>
    <dataField name="Somme de Non Planifié Non urgent " fld="7" baseField="0" baseItem="0"/>
    <dataField name="Somme de Non Planifié Urgent 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ECDC8EB-85D5-4791-922D-B676DC19192B}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10" firstHeaderRow="0" firstDataRow="1" firstDataCol="1" rowPageCount="1" colPageCount="1"/>
  <pivotFields count="12">
    <pivotField axis="axisPage" multipleItemSelectionAllowed="1" showAll="0">
      <items count="14">
        <item h="1" x="8"/>
        <item h="1" x="0"/>
        <item h="1" x="1"/>
        <item x="9"/>
        <item h="1" x="2"/>
        <item h="1" x="3"/>
        <item h="1" x="10"/>
        <item h="1" x="4"/>
        <item h="1" x="5"/>
        <item h="1" x="11"/>
        <item h="1" x="6"/>
        <item h="1" x="7"/>
        <item h="1" x="12"/>
        <item t="default"/>
      </items>
    </pivotField>
    <pivotField showAll="0"/>
    <pivotField showAll="0"/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dataField="1" showAll="0">
      <items count="110">
        <item x="18"/>
        <item x="26"/>
        <item x="33"/>
        <item x="7"/>
        <item x="46"/>
        <item x="59"/>
        <item x="76"/>
        <item x="83"/>
        <item x="17"/>
        <item x="28"/>
        <item x="19"/>
        <item x="30"/>
        <item x="98"/>
        <item x="49"/>
        <item x="96"/>
        <item x="13"/>
        <item x="80"/>
        <item x="0"/>
        <item x="100"/>
        <item x="75"/>
        <item x="39"/>
        <item x="42"/>
        <item x="72"/>
        <item x="5"/>
        <item x="2"/>
        <item x="74"/>
        <item x="16"/>
        <item x="36"/>
        <item x="11"/>
        <item x="104"/>
        <item x="41"/>
        <item x="47"/>
        <item x="56"/>
        <item x="55"/>
        <item x="68"/>
        <item x="87"/>
        <item x="21"/>
        <item x="106"/>
        <item x="35"/>
        <item x="105"/>
        <item x="71"/>
        <item x="48"/>
        <item x="79"/>
        <item x="14"/>
        <item x="103"/>
        <item x="62"/>
        <item x="3"/>
        <item x="63"/>
        <item x="102"/>
        <item x="10"/>
        <item x="77"/>
        <item x="9"/>
        <item x="82"/>
        <item x="15"/>
        <item x="58"/>
        <item x="89"/>
        <item x="8"/>
        <item x="52"/>
        <item x="57"/>
        <item x="37"/>
        <item x="29"/>
        <item x="60"/>
        <item x="53"/>
        <item x="27"/>
        <item x="92"/>
        <item x="65"/>
        <item x="101"/>
        <item x="40"/>
        <item x="107"/>
        <item x="22"/>
        <item x="32"/>
        <item x="81"/>
        <item x="38"/>
        <item x="86"/>
        <item x="90"/>
        <item x="23"/>
        <item x="61"/>
        <item x="51"/>
        <item x="78"/>
        <item x="45"/>
        <item x="85"/>
        <item x="12"/>
        <item x="34"/>
        <item x="69"/>
        <item x="67"/>
        <item x="25"/>
        <item x="6"/>
        <item x="43"/>
        <item x="93"/>
        <item x="94"/>
        <item x="99"/>
        <item x="91"/>
        <item x="97"/>
        <item x="108"/>
        <item x="54"/>
        <item x="88"/>
        <item x="84"/>
        <item x="20"/>
        <item x="73"/>
        <item x="4"/>
        <item x="31"/>
        <item x="64"/>
        <item x="70"/>
        <item x="24"/>
        <item x="50"/>
        <item x="66"/>
        <item x="95"/>
        <item x="44"/>
        <item x="1"/>
        <item t="default"/>
      </items>
    </pivotField>
    <pivotField dataField="1" showAll="0">
      <items count="130">
        <item x="0"/>
        <item x="39"/>
        <item x="26"/>
        <item x="61"/>
        <item x="17"/>
        <item x="63"/>
        <item x="25"/>
        <item x="38"/>
        <item x="2"/>
        <item x="55"/>
        <item x="49"/>
        <item x="19"/>
        <item x="90"/>
        <item x="88"/>
        <item x="76"/>
        <item x="94"/>
        <item x="36"/>
        <item x="50"/>
        <item x="91"/>
        <item x="1"/>
        <item x="48"/>
        <item x="95"/>
        <item x="105"/>
        <item x="16"/>
        <item x="67"/>
        <item x="99"/>
        <item x="62"/>
        <item x="111"/>
        <item x="120"/>
        <item x="83"/>
        <item x="78"/>
        <item x="104"/>
        <item x="123"/>
        <item x="54"/>
        <item x="28"/>
        <item x="116"/>
        <item x="18"/>
        <item x="11"/>
        <item x="27"/>
        <item x="35"/>
        <item x="33"/>
        <item x="68"/>
        <item x="22"/>
        <item x="29"/>
        <item x="15"/>
        <item x="7"/>
        <item x="8"/>
        <item x="106"/>
        <item x="110"/>
        <item x="43"/>
        <item x="10"/>
        <item x="31"/>
        <item x="124"/>
        <item x="74"/>
        <item x="115"/>
        <item x="77"/>
        <item x="82"/>
        <item x="75"/>
        <item x="57"/>
        <item x="34"/>
        <item x="100"/>
        <item x="96"/>
        <item x="56"/>
        <item x="44"/>
        <item x="89"/>
        <item x="125"/>
        <item x="109"/>
        <item x="24"/>
        <item x="117"/>
        <item x="37"/>
        <item x="42"/>
        <item x="47"/>
        <item x="4"/>
        <item x="72"/>
        <item x="81"/>
        <item x="84"/>
        <item x="113"/>
        <item x="51"/>
        <item x="45"/>
        <item x="5"/>
        <item x="69"/>
        <item x="121"/>
        <item x="13"/>
        <item x="92"/>
        <item x="107"/>
        <item x="46"/>
        <item x="97"/>
        <item x="58"/>
        <item x="41"/>
        <item x="9"/>
        <item x="73"/>
        <item x="108"/>
        <item x="128"/>
        <item x="86"/>
        <item x="64"/>
        <item x="70"/>
        <item x="127"/>
        <item x="71"/>
        <item x="30"/>
        <item x="32"/>
        <item x="119"/>
        <item x="20"/>
        <item x="79"/>
        <item x="60"/>
        <item x="101"/>
        <item x="118"/>
        <item x="102"/>
        <item x="23"/>
        <item x="53"/>
        <item x="6"/>
        <item x="98"/>
        <item x="114"/>
        <item x="80"/>
        <item x="93"/>
        <item x="112"/>
        <item x="122"/>
        <item x="65"/>
        <item x="21"/>
        <item x="85"/>
        <item x="126"/>
        <item x="40"/>
        <item x="66"/>
        <item x="59"/>
        <item x="103"/>
        <item x="87"/>
        <item x="14"/>
        <item x="12"/>
        <item x="52"/>
        <item x="3"/>
        <item t="default"/>
      </items>
    </pivotField>
    <pivotField dataField="1" showAll="0">
      <items count="105">
        <item x="6"/>
        <item x="30"/>
        <item x="51"/>
        <item x="23"/>
        <item x="0"/>
        <item x="62"/>
        <item x="1"/>
        <item x="27"/>
        <item x="37"/>
        <item x="13"/>
        <item x="41"/>
        <item x="12"/>
        <item x="28"/>
        <item x="91"/>
        <item x="71"/>
        <item x="60"/>
        <item x="57"/>
        <item x="70"/>
        <item x="44"/>
        <item x="5"/>
        <item x="46"/>
        <item x="17"/>
        <item x="26"/>
        <item x="96"/>
        <item x="75"/>
        <item x="90"/>
        <item x="21"/>
        <item x="35"/>
        <item x="29"/>
        <item x="7"/>
        <item x="81"/>
        <item x="66"/>
        <item x="15"/>
        <item x="9"/>
        <item x="56"/>
        <item x="94"/>
        <item x="86"/>
        <item x="69"/>
        <item x="49"/>
        <item x="22"/>
        <item x="8"/>
        <item x="98"/>
        <item x="59"/>
        <item x="40"/>
        <item x="79"/>
        <item x="73"/>
        <item x="74"/>
        <item x="76"/>
        <item x="95"/>
        <item x="45"/>
        <item x="87"/>
        <item x="24"/>
        <item x="33"/>
        <item x="58"/>
        <item x="63"/>
        <item x="36"/>
        <item x="34"/>
        <item x="31"/>
        <item x="14"/>
        <item x="64"/>
        <item x="19"/>
        <item x="10"/>
        <item x="16"/>
        <item x="84"/>
        <item x="48"/>
        <item x="93"/>
        <item x="102"/>
        <item x="67"/>
        <item x="80"/>
        <item x="100"/>
        <item x="50"/>
        <item x="77"/>
        <item x="2"/>
        <item x="20"/>
        <item x="99"/>
        <item x="53"/>
        <item x="82"/>
        <item x="54"/>
        <item x="39"/>
        <item x="103"/>
        <item x="83"/>
        <item x="4"/>
        <item x="18"/>
        <item x="25"/>
        <item x="32"/>
        <item x="52"/>
        <item x="42"/>
        <item x="47"/>
        <item x="11"/>
        <item x="55"/>
        <item x="72"/>
        <item x="92"/>
        <item x="78"/>
        <item x="88"/>
        <item x="85"/>
        <item x="61"/>
        <item x="97"/>
        <item x="68"/>
        <item x="38"/>
        <item x="65"/>
        <item x="43"/>
        <item x="89"/>
        <item x="101"/>
        <item x="3"/>
        <item t="default"/>
      </items>
    </pivotField>
    <pivotField showAll="0"/>
    <pivotField showAll="0"/>
  </pivotFields>
  <rowFields count="1">
    <field x="6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0" hier="-1"/>
  </pageFields>
  <dataFields count="3">
    <dataField name="Somme de Planifié " fld="9" baseField="0" baseItem="0"/>
    <dataField name="Somme de Non Planifié Non urgent " fld="7" baseField="0" baseItem="0"/>
    <dataField name="Somme de Non Planifié Urgent 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BD2BDC4-BDB5-4D6C-A144-D227BF527565}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10" firstHeaderRow="0" firstDataRow="1" firstDataCol="1" rowPageCount="1" colPageCount="1"/>
  <pivotFields count="12">
    <pivotField axis="axisPage" multipleItemSelectionAllowed="1" showAll="0">
      <items count="14">
        <item h="1" x="8"/>
        <item h="1" x="0"/>
        <item h="1" x="1"/>
        <item h="1" x="9"/>
        <item x="2"/>
        <item h="1" x="3"/>
        <item h="1" x="10"/>
        <item h="1" x="4"/>
        <item h="1" x="5"/>
        <item h="1" x="11"/>
        <item h="1" x="6"/>
        <item h="1" x="7"/>
        <item h="1" x="12"/>
        <item t="default"/>
      </items>
    </pivotField>
    <pivotField showAll="0"/>
    <pivotField showAll="0"/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dataField="1" showAll="0">
      <items count="110">
        <item x="18"/>
        <item x="26"/>
        <item x="33"/>
        <item x="7"/>
        <item x="46"/>
        <item x="59"/>
        <item x="76"/>
        <item x="83"/>
        <item x="17"/>
        <item x="28"/>
        <item x="19"/>
        <item x="30"/>
        <item x="98"/>
        <item x="49"/>
        <item x="96"/>
        <item x="13"/>
        <item x="80"/>
        <item x="0"/>
        <item x="100"/>
        <item x="75"/>
        <item x="39"/>
        <item x="42"/>
        <item x="72"/>
        <item x="5"/>
        <item x="2"/>
        <item x="74"/>
        <item x="16"/>
        <item x="36"/>
        <item x="11"/>
        <item x="104"/>
        <item x="41"/>
        <item x="47"/>
        <item x="56"/>
        <item x="55"/>
        <item x="68"/>
        <item x="87"/>
        <item x="21"/>
        <item x="106"/>
        <item x="35"/>
        <item x="105"/>
        <item x="71"/>
        <item x="48"/>
        <item x="79"/>
        <item x="14"/>
        <item x="103"/>
        <item x="62"/>
        <item x="3"/>
        <item x="63"/>
        <item x="102"/>
        <item x="10"/>
        <item x="77"/>
        <item x="9"/>
        <item x="82"/>
        <item x="15"/>
        <item x="58"/>
        <item x="89"/>
        <item x="8"/>
        <item x="52"/>
        <item x="57"/>
        <item x="37"/>
        <item x="29"/>
        <item x="60"/>
        <item x="53"/>
        <item x="27"/>
        <item x="92"/>
        <item x="65"/>
        <item x="101"/>
        <item x="40"/>
        <item x="107"/>
        <item x="22"/>
        <item x="32"/>
        <item x="81"/>
        <item x="38"/>
        <item x="86"/>
        <item x="90"/>
        <item x="23"/>
        <item x="61"/>
        <item x="51"/>
        <item x="78"/>
        <item x="45"/>
        <item x="85"/>
        <item x="12"/>
        <item x="34"/>
        <item x="69"/>
        <item x="67"/>
        <item x="25"/>
        <item x="6"/>
        <item x="43"/>
        <item x="93"/>
        <item x="94"/>
        <item x="99"/>
        <item x="91"/>
        <item x="97"/>
        <item x="108"/>
        <item x="54"/>
        <item x="88"/>
        <item x="84"/>
        <item x="20"/>
        <item x="73"/>
        <item x="4"/>
        <item x="31"/>
        <item x="64"/>
        <item x="70"/>
        <item x="24"/>
        <item x="50"/>
        <item x="66"/>
        <item x="95"/>
        <item x="44"/>
        <item x="1"/>
        <item t="default"/>
      </items>
    </pivotField>
    <pivotField dataField="1" showAll="0">
      <items count="130">
        <item x="0"/>
        <item x="39"/>
        <item x="26"/>
        <item x="61"/>
        <item x="17"/>
        <item x="63"/>
        <item x="25"/>
        <item x="38"/>
        <item x="2"/>
        <item x="55"/>
        <item x="49"/>
        <item x="19"/>
        <item x="90"/>
        <item x="88"/>
        <item x="76"/>
        <item x="94"/>
        <item x="36"/>
        <item x="50"/>
        <item x="91"/>
        <item x="1"/>
        <item x="48"/>
        <item x="95"/>
        <item x="105"/>
        <item x="16"/>
        <item x="67"/>
        <item x="99"/>
        <item x="62"/>
        <item x="111"/>
        <item x="120"/>
        <item x="83"/>
        <item x="78"/>
        <item x="104"/>
        <item x="123"/>
        <item x="54"/>
        <item x="28"/>
        <item x="116"/>
        <item x="18"/>
        <item x="11"/>
        <item x="27"/>
        <item x="35"/>
        <item x="33"/>
        <item x="68"/>
        <item x="22"/>
        <item x="29"/>
        <item x="15"/>
        <item x="7"/>
        <item x="8"/>
        <item x="106"/>
        <item x="110"/>
        <item x="43"/>
        <item x="10"/>
        <item x="31"/>
        <item x="124"/>
        <item x="74"/>
        <item x="115"/>
        <item x="77"/>
        <item x="82"/>
        <item x="75"/>
        <item x="57"/>
        <item x="34"/>
        <item x="100"/>
        <item x="96"/>
        <item x="56"/>
        <item x="44"/>
        <item x="89"/>
        <item x="125"/>
        <item x="109"/>
        <item x="24"/>
        <item x="117"/>
        <item x="37"/>
        <item x="42"/>
        <item x="47"/>
        <item x="4"/>
        <item x="72"/>
        <item x="81"/>
        <item x="84"/>
        <item x="113"/>
        <item x="51"/>
        <item x="45"/>
        <item x="5"/>
        <item x="69"/>
        <item x="121"/>
        <item x="13"/>
        <item x="92"/>
        <item x="107"/>
        <item x="46"/>
        <item x="97"/>
        <item x="58"/>
        <item x="41"/>
        <item x="9"/>
        <item x="73"/>
        <item x="108"/>
        <item x="128"/>
        <item x="86"/>
        <item x="64"/>
        <item x="70"/>
        <item x="127"/>
        <item x="71"/>
        <item x="30"/>
        <item x="32"/>
        <item x="119"/>
        <item x="20"/>
        <item x="79"/>
        <item x="60"/>
        <item x="101"/>
        <item x="118"/>
        <item x="102"/>
        <item x="23"/>
        <item x="53"/>
        <item x="6"/>
        <item x="98"/>
        <item x="114"/>
        <item x="80"/>
        <item x="93"/>
        <item x="112"/>
        <item x="122"/>
        <item x="65"/>
        <item x="21"/>
        <item x="85"/>
        <item x="126"/>
        <item x="40"/>
        <item x="66"/>
        <item x="59"/>
        <item x="103"/>
        <item x="87"/>
        <item x="14"/>
        <item x="12"/>
        <item x="52"/>
        <item x="3"/>
        <item t="default"/>
      </items>
    </pivotField>
    <pivotField dataField="1" showAll="0">
      <items count="105">
        <item x="6"/>
        <item x="30"/>
        <item x="51"/>
        <item x="23"/>
        <item x="0"/>
        <item x="62"/>
        <item x="1"/>
        <item x="27"/>
        <item x="37"/>
        <item x="13"/>
        <item x="41"/>
        <item x="12"/>
        <item x="28"/>
        <item x="91"/>
        <item x="71"/>
        <item x="60"/>
        <item x="57"/>
        <item x="70"/>
        <item x="44"/>
        <item x="5"/>
        <item x="46"/>
        <item x="17"/>
        <item x="26"/>
        <item x="96"/>
        <item x="75"/>
        <item x="90"/>
        <item x="21"/>
        <item x="35"/>
        <item x="29"/>
        <item x="7"/>
        <item x="81"/>
        <item x="66"/>
        <item x="15"/>
        <item x="9"/>
        <item x="56"/>
        <item x="94"/>
        <item x="86"/>
        <item x="69"/>
        <item x="49"/>
        <item x="22"/>
        <item x="8"/>
        <item x="98"/>
        <item x="59"/>
        <item x="40"/>
        <item x="79"/>
        <item x="73"/>
        <item x="74"/>
        <item x="76"/>
        <item x="95"/>
        <item x="45"/>
        <item x="87"/>
        <item x="24"/>
        <item x="33"/>
        <item x="58"/>
        <item x="63"/>
        <item x="36"/>
        <item x="34"/>
        <item x="31"/>
        <item x="14"/>
        <item x="64"/>
        <item x="19"/>
        <item x="10"/>
        <item x="16"/>
        <item x="84"/>
        <item x="48"/>
        <item x="93"/>
        <item x="102"/>
        <item x="67"/>
        <item x="80"/>
        <item x="100"/>
        <item x="50"/>
        <item x="77"/>
        <item x="2"/>
        <item x="20"/>
        <item x="99"/>
        <item x="53"/>
        <item x="82"/>
        <item x="54"/>
        <item x="39"/>
        <item x="103"/>
        <item x="83"/>
        <item x="4"/>
        <item x="18"/>
        <item x="25"/>
        <item x="32"/>
        <item x="52"/>
        <item x="42"/>
        <item x="47"/>
        <item x="11"/>
        <item x="55"/>
        <item x="72"/>
        <item x="92"/>
        <item x="78"/>
        <item x="88"/>
        <item x="85"/>
        <item x="61"/>
        <item x="97"/>
        <item x="68"/>
        <item x="38"/>
        <item x="65"/>
        <item x="43"/>
        <item x="89"/>
        <item x="101"/>
        <item x="3"/>
        <item t="default"/>
      </items>
    </pivotField>
    <pivotField showAll="0"/>
    <pivotField showAll="0"/>
  </pivotFields>
  <rowFields count="1">
    <field x="6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0" hier="-1"/>
  </pageFields>
  <dataFields count="3">
    <dataField name="Somme de Planifié " fld="9" baseField="0" baseItem="0"/>
    <dataField name="Somme de Non Planifié Non urgent " fld="7" baseField="0" baseItem="0"/>
    <dataField name="Somme de Non Planifié Urgent 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37A0417-A4BD-4F30-AC60-AC9682945151}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10" firstHeaderRow="0" firstDataRow="1" firstDataCol="1" rowPageCount="1" colPageCount="1"/>
  <pivotFields count="12">
    <pivotField axis="axisPage" multipleItemSelectionAllowed="1" showAll="0">
      <items count="14">
        <item h="1" x="8"/>
        <item h="1" x="0"/>
        <item h="1" x="1"/>
        <item h="1" x="9"/>
        <item h="1" x="2"/>
        <item x="3"/>
        <item h="1" x="10"/>
        <item h="1" x="4"/>
        <item h="1" x="5"/>
        <item h="1" x="11"/>
        <item h="1" x="6"/>
        <item h="1" x="7"/>
        <item h="1" x="12"/>
        <item t="default"/>
      </items>
    </pivotField>
    <pivotField showAll="0"/>
    <pivotField showAll="0"/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dataField="1" showAll="0">
      <items count="110">
        <item x="18"/>
        <item x="26"/>
        <item x="33"/>
        <item x="7"/>
        <item x="46"/>
        <item x="59"/>
        <item x="76"/>
        <item x="83"/>
        <item x="17"/>
        <item x="28"/>
        <item x="19"/>
        <item x="30"/>
        <item x="98"/>
        <item x="49"/>
        <item x="96"/>
        <item x="13"/>
        <item x="80"/>
        <item x="0"/>
        <item x="100"/>
        <item x="75"/>
        <item x="39"/>
        <item x="42"/>
        <item x="72"/>
        <item x="5"/>
        <item x="2"/>
        <item x="74"/>
        <item x="16"/>
        <item x="36"/>
        <item x="11"/>
        <item x="104"/>
        <item x="41"/>
        <item x="47"/>
        <item x="56"/>
        <item x="55"/>
        <item x="68"/>
        <item x="87"/>
        <item x="21"/>
        <item x="106"/>
        <item x="35"/>
        <item x="105"/>
        <item x="71"/>
        <item x="48"/>
        <item x="79"/>
        <item x="14"/>
        <item x="103"/>
        <item x="62"/>
        <item x="3"/>
        <item x="63"/>
        <item x="102"/>
        <item x="10"/>
        <item x="77"/>
        <item x="9"/>
        <item x="82"/>
        <item x="15"/>
        <item x="58"/>
        <item x="89"/>
        <item x="8"/>
        <item x="52"/>
        <item x="57"/>
        <item x="37"/>
        <item x="29"/>
        <item x="60"/>
        <item x="53"/>
        <item x="27"/>
        <item x="92"/>
        <item x="65"/>
        <item x="101"/>
        <item x="40"/>
        <item x="107"/>
        <item x="22"/>
        <item x="32"/>
        <item x="81"/>
        <item x="38"/>
        <item x="86"/>
        <item x="90"/>
        <item x="23"/>
        <item x="61"/>
        <item x="51"/>
        <item x="78"/>
        <item x="45"/>
        <item x="85"/>
        <item x="12"/>
        <item x="34"/>
        <item x="69"/>
        <item x="67"/>
        <item x="25"/>
        <item x="6"/>
        <item x="43"/>
        <item x="93"/>
        <item x="94"/>
        <item x="99"/>
        <item x="91"/>
        <item x="97"/>
        <item x="108"/>
        <item x="54"/>
        <item x="88"/>
        <item x="84"/>
        <item x="20"/>
        <item x="73"/>
        <item x="4"/>
        <item x="31"/>
        <item x="64"/>
        <item x="70"/>
        <item x="24"/>
        <item x="50"/>
        <item x="66"/>
        <item x="95"/>
        <item x="44"/>
        <item x="1"/>
        <item t="default"/>
      </items>
    </pivotField>
    <pivotField dataField="1" showAll="0">
      <items count="130">
        <item x="0"/>
        <item x="39"/>
        <item x="26"/>
        <item x="61"/>
        <item x="17"/>
        <item x="63"/>
        <item x="25"/>
        <item x="38"/>
        <item x="2"/>
        <item x="55"/>
        <item x="49"/>
        <item x="19"/>
        <item x="90"/>
        <item x="88"/>
        <item x="76"/>
        <item x="94"/>
        <item x="36"/>
        <item x="50"/>
        <item x="91"/>
        <item x="1"/>
        <item x="48"/>
        <item x="95"/>
        <item x="105"/>
        <item x="16"/>
        <item x="67"/>
        <item x="99"/>
        <item x="62"/>
        <item x="111"/>
        <item x="120"/>
        <item x="83"/>
        <item x="78"/>
        <item x="104"/>
        <item x="123"/>
        <item x="54"/>
        <item x="28"/>
        <item x="116"/>
        <item x="18"/>
        <item x="11"/>
        <item x="27"/>
        <item x="35"/>
        <item x="33"/>
        <item x="68"/>
        <item x="22"/>
        <item x="29"/>
        <item x="15"/>
        <item x="7"/>
        <item x="8"/>
        <item x="106"/>
        <item x="110"/>
        <item x="43"/>
        <item x="10"/>
        <item x="31"/>
        <item x="124"/>
        <item x="74"/>
        <item x="115"/>
        <item x="77"/>
        <item x="82"/>
        <item x="75"/>
        <item x="57"/>
        <item x="34"/>
        <item x="100"/>
        <item x="96"/>
        <item x="56"/>
        <item x="44"/>
        <item x="89"/>
        <item x="125"/>
        <item x="109"/>
        <item x="24"/>
        <item x="117"/>
        <item x="37"/>
        <item x="42"/>
        <item x="47"/>
        <item x="4"/>
        <item x="72"/>
        <item x="81"/>
        <item x="84"/>
        <item x="113"/>
        <item x="51"/>
        <item x="45"/>
        <item x="5"/>
        <item x="69"/>
        <item x="121"/>
        <item x="13"/>
        <item x="92"/>
        <item x="107"/>
        <item x="46"/>
        <item x="97"/>
        <item x="58"/>
        <item x="41"/>
        <item x="9"/>
        <item x="73"/>
        <item x="108"/>
        <item x="128"/>
        <item x="86"/>
        <item x="64"/>
        <item x="70"/>
        <item x="127"/>
        <item x="71"/>
        <item x="30"/>
        <item x="32"/>
        <item x="119"/>
        <item x="20"/>
        <item x="79"/>
        <item x="60"/>
        <item x="101"/>
        <item x="118"/>
        <item x="102"/>
        <item x="23"/>
        <item x="53"/>
        <item x="6"/>
        <item x="98"/>
        <item x="114"/>
        <item x="80"/>
        <item x="93"/>
        <item x="112"/>
        <item x="122"/>
        <item x="65"/>
        <item x="21"/>
        <item x="85"/>
        <item x="126"/>
        <item x="40"/>
        <item x="66"/>
        <item x="59"/>
        <item x="103"/>
        <item x="87"/>
        <item x="14"/>
        <item x="12"/>
        <item x="52"/>
        <item x="3"/>
        <item t="default"/>
      </items>
    </pivotField>
    <pivotField dataField="1" showAll="0">
      <items count="105">
        <item x="6"/>
        <item x="30"/>
        <item x="51"/>
        <item x="23"/>
        <item x="0"/>
        <item x="62"/>
        <item x="1"/>
        <item x="27"/>
        <item x="37"/>
        <item x="13"/>
        <item x="41"/>
        <item x="12"/>
        <item x="28"/>
        <item x="91"/>
        <item x="71"/>
        <item x="60"/>
        <item x="57"/>
        <item x="70"/>
        <item x="44"/>
        <item x="5"/>
        <item x="46"/>
        <item x="17"/>
        <item x="26"/>
        <item x="96"/>
        <item x="75"/>
        <item x="90"/>
        <item x="21"/>
        <item x="35"/>
        <item x="29"/>
        <item x="7"/>
        <item x="81"/>
        <item x="66"/>
        <item x="15"/>
        <item x="9"/>
        <item x="56"/>
        <item x="94"/>
        <item x="86"/>
        <item x="69"/>
        <item x="49"/>
        <item x="22"/>
        <item x="8"/>
        <item x="98"/>
        <item x="59"/>
        <item x="40"/>
        <item x="79"/>
        <item x="73"/>
        <item x="74"/>
        <item x="76"/>
        <item x="95"/>
        <item x="45"/>
        <item x="87"/>
        <item x="24"/>
        <item x="33"/>
        <item x="58"/>
        <item x="63"/>
        <item x="36"/>
        <item x="34"/>
        <item x="31"/>
        <item x="14"/>
        <item x="64"/>
        <item x="19"/>
        <item x="10"/>
        <item x="16"/>
        <item x="84"/>
        <item x="48"/>
        <item x="93"/>
        <item x="102"/>
        <item x="67"/>
        <item x="80"/>
        <item x="100"/>
        <item x="50"/>
        <item x="77"/>
        <item x="2"/>
        <item x="20"/>
        <item x="99"/>
        <item x="53"/>
        <item x="82"/>
        <item x="54"/>
        <item x="39"/>
        <item x="103"/>
        <item x="83"/>
        <item x="4"/>
        <item x="18"/>
        <item x="25"/>
        <item x="32"/>
        <item x="52"/>
        <item x="42"/>
        <item x="47"/>
        <item x="11"/>
        <item x="55"/>
        <item x="72"/>
        <item x="92"/>
        <item x="78"/>
        <item x="88"/>
        <item x="85"/>
        <item x="61"/>
        <item x="97"/>
        <item x="68"/>
        <item x="38"/>
        <item x="65"/>
        <item x="43"/>
        <item x="89"/>
        <item x="101"/>
        <item x="3"/>
        <item t="default"/>
      </items>
    </pivotField>
    <pivotField showAll="0"/>
    <pivotField showAll="0"/>
  </pivotFields>
  <rowFields count="1">
    <field x="6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0" hier="-1"/>
  </pageFields>
  <dataFields count="3">
    <dataField name="Somme de Planifié " fld="9" baseField="0" baseItem="0"/>
    <dataField name="Somme de Non Planifié Non urgent " fld="7" baseField="0" baseItem="0"/>
    <dataField name="Somme de Non Planifié Urgent 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CA91985-9366-4123-B8C2-784D5276A324}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9" firstHeaderRow="0" firstDataRow="1" firstDataCol="1" rowPageCount="1" colPageCount="1"/>
  <pivotFields count="12">
    <pivotField axis="axisPage" multipleItemSelectionAllowed="1" showAll="0">
      <items count="14">
        <item h="1" x="8"/>
        <item h="1" x="0"/>
        <item h="1" x="1"/>
        <item h="1" x="9"/>
        <item h="1" x="2"/>
        <item h="1" x="3"/>
        <item x="10"/>
        <item h="1" x="4"/>
        <item h="1" x="5"/>
        <item x="11"/>
        <item h="1" x="6"/>
        <item h="1" x="7"/>
        <item h="1" x="12"/>
        <item t="default"/>
      </items>
    </pivotField>
    <pivotField showAll="0"/>
    <pivotField showAll="0"/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dataField="1" showAll="0">
      <items count="110">
        <item x="18"/>
        <item x="26"/>
        <item x="33"/>
        <item x="7"/>
        <item x="46"/>
        <item x="59"/>
        <item x="76"/>
        <item x="83"/>
        <item x="17"/>
        <item x="28"/>
        <item x="19"/>
        <item x="30"/>
        <item x="98"/>
        <item x="49"/>
        <item x="96"/>
        <item x="13"/>
        <item x="80"/>
        <item x="0"/>
        <item x="100"/>
        <item x="75"/>
        <item x="39"/>
        <item x="42"/>
        <item x="72"/>
        <item x="5"/>
        <item x="2"/>
        <item x="74"/>
        <item x="16"/>
        <item x="36"/>
        <item x="11"/>
        <item x="104"/>
        <item x="41"/>
        <item x="47"/>
        <item x="56"/>
        <item x="55"/>
        <item x="68"/>
        <item x="87"/>
        <item x="21"/>
        <item x="106"/>
        <item x="35"/>
        <item x="105"/>
        <item x="71"/>
        <item x="48"/>
        <item x="79"/>
        <item x="14"/>
        <item x="103"/>
        <item x="62"/>
        <item x="3"/>
        <item x="63"/>
        <item x="102"/>
        <item x="10"/>
        <item x="77"/>
        <item x="9"/>
        <item x="82"/>
        <item x="15"/>
        <item x="58"/>
        <item x="89"/>
        <item x="8"/>
        <item x="52"/>
        <item x="57"/>
        <item x="37"/>
        <item x="29"/>
        <item x="60"/>
        <item x="53"/>
        <item x="27"/>
        <item x="92"/>
        <item x="65"/>
        <item x="101"/>
        <item x="40"/>
        <item x="107"/>
        <item x="22"/>
        <item x="32"/>
        <item x="81"/>
        <item x="38"/>
        <item x="86"/>
        <item x="90"/>
        <item x="23"/>
        <item x="61"/>
        <item x="51"/>
        <item x="78"/>
        <item x="45"/>
        <item x="85"/>
        <item x="12"/>
        <item x="34"/>
        <item x="69"/>
        <item x="67"/>
        <item x="25"/>
        <item x="6"/>
        <item x="43"/>
        <item x="93"/>
        <item x="94"/>
        <item x="99"/>
        <item x="91"/>
        <item x="97"/>
        <item x="108"/>
        <item x="54"/>
        <item x="88"/>
        <item x="84"/>
        <item x="20"/>
        <item x="73"/>
        <item x="4"/>
        <item x="31"/>
        <item x="64"/>
        <item x="70"/>
        <item x="24"/>
        <item x="50"/>
        <item x="66"/>
        <item x="95"/>
        <item x="44"/>
        <item x="1"/>
        <item t="default"/>
      </items>
    </pivotField>
    <pivotField dataField="1" showAll="0">
      <items count="130">
        <item x="0"/>
        <item x="39"/>
        <item x="26"/>
        <item x="61"/>
        <item x="17"/>
        <item x="63"/>
        <item x="25"/>
        <item x="38"/>
        <item x="2"/>
        <item x="55"/>
        <item x="49"/>
        <item x="19"/>
        <item x="90"/>
        <item x="88"/>
        <item x="76"/>
        <item x="94"/>
        <item x="36"/>
        <item x="50"/>
        <item x="91"/>
        <item x="1"/>
        <item x="48"/>
        <item x="95"/>
        <item x="105"/>
        <item x="16"/>
        <item x="67"/>
        <item x="99"/>
        <item x="62"/>
        <item x="111"/>
        <item x="120"/>
        <item x="83"/>
        <item x="78"/>
        <item x="104"/>
        <item x="123"/>
        <item x="54"/>
        <item x="28"/>
        <item x="116"/>
        <item x="18"/>
        <item x="11"/>
        <item x="27"/>
        <item x="35"/>
        <item x="33"/>
        <item x="68"/>
        <item x="22"/>
        <item x="29"/>
        <item x="15"/>
        <item x="7"/>
        <item x="8"/>
        <item x="106"/>
        <item x="110"/>
        <item x="43"/>
        <item x="10"/>
        <item x="31"/>
        <item x="124"/>
        <item x="74"/>
        <item x="115"/>
        <item x="77"/>
        <item x="82"/>
        <item x="75"/>
        <item x="57"/>
        <item x="34"/>
        <item x="100"/>
        <item x="96"/>
        <item x="56"/>
        <item x="44"/>
        <item x="89"/>
        <item x="125"/>
        <item x="109"/>
        <item x="24"/>
        <item x="117"/>
        <item x="37"/>
        <item x="42"/>
        <item x="47"/>
        <item x="4"/>
        <item x="72"/>
        <item x="81"/>
        <item x="84"/>
        <item x="113"/>
        <item x="51"/>
        <item x="45"/>
        <item x="5"/>
        <item x="69"/>
        <item x="121"/>
        <item x="13"/>
        <item x="92"/>
        <item x="107"/>
        <item x="46"/>
        <item x="97"/>
        <item x="58"/>
        <item x="41"/>
        <item x="9"/>
        <item x="73"/>
        <item x="108"/>
        <item x="128"/>
        <item x="86"/>
        <item x="64"/>
        <item x="70"/>
        <item x="127"/>
        <item x="71"/>
        <item x="30"/>
        <item x="32"/>
        <item x="119"/>
        <item x="20"/>
        <item x="79"/>
        <item x="60"/>
        <item x="101"/>
        <item x="118"/>
        <item x="102"/>
        <item x="23"/>
        <item x="53"/>
        <item x="6"/>
        <item x="98"/>
        <item x="114"/>
        <item x="80"/>
        <item x="93"/>
        <item x="112"/>
        <item x="122"/>
        <item x="65"/>
        <item x="21"/>
        <item x="85"/>
        <item x="126"/>
        <item x="40"/>
        <item x="66"/>
        <item x="59"/>
        <item x="103"/>
        <item x="87"/>
        <item x="14"/>
        <item x="12"/>
        <item x="52"/>
        <item x="3"/>
        <item t="default"/>
      </items>
    </pivotField>
    <pivotField dataField="1" showAll="0">
      <items count="105">
        <item x="6"/>
        <item x="30"/>
        <item x="51"/>
        <item x="23"/>
        <item x="0"/>
        <item x="62"/>
        <item x="1"/>
        <item x="27"/>
        <item x="37"/>
        <item x="13"/>
        <item x="41"/>
        <item x="12"/>
        <item x="28"/>
        <item x="91"/>
        <item x="71"/>
        <item x="60"/>
        <item x="57"/>
        <item x="70"/>
        <item x="44"/>
        <item x="5"/>
        <item x="46"/>
        <item x="17"/>
        <item x="26"/>
        <item x="96"/>
        <item x="75"/>
        <item x="90"/>
        <item x="21"/>
        <item x="35"/>
        <item x="29"/>
        <item x="7"/>
        <item x="81"/>
        <item x="66"/>
        <item x="15"/>
        <item x="9"/>
        <item x="56"/>
        <item x="94"/>
        <item x="86"/>
        <item x="69"/>
        <item x="49"/>
        <item x="22"/>
        <item x="8"/>
        <item x="98"/>
        <item x="59"/>
        <item x="40"/>
        <item x="79"/>
        <item x="73"/>
        <item x="74"/>
        <item x="76"/>
        <item x="95"/>
        <item x="45"/>
        <item x="87"/>
        <item x="24"/>
        <item x="33"/>
        <item x="58"/>
        <item x="63"/>
        <item x="36"/>
        <item x="34"/>
        <item x="31"/>
        <item x="14"/>
        <item x="64"/>
        <item x="19"/>
        <item x="10"/>
        <item x="16"/>
        <item x="84"/>
        <item x="48"/>
        <item x="93"/>
        <item x="102"/>
        <item x="67"/>
        <item x="80"/>
        <item x="100"/>
        <item x="50"/>
        <item x="77"/>
        <item x="2"/>
        <item x="20"/>
        <item x="99"/>
        <item x="53"/>
        <item x="82"/>
        <item x="54"/>
        <item x="39"/>
        <item x="103"/>
        <item x="83"/>
        <item x="4"/>
        <item x="18"/>
        <item x="25"/>
        <item x="32"/>
        <item x="52"/>
        <item x="42"/>
        <item x="47"/>
        <item x="11"/>
        <item x="55"/>
        <item x="72"/>
        <item x="92"/>
        <item x="78"/>
        <item x="88"/>
        <item x="85"/>
        <item x="61"/>
        <item x="97"/>
        <item x="68"/>
        <item x="38"/>
        <item x="65"/>
        <item x="43"/>
        <item x="89"/>
        <item x="101"/>
        <item x="3"/>
        <item t="default"/>
      </items>
    </pivotField>
    <pivotField showAll="0"/>
    <pivotField showAll="0"/>
  </pivotFields>
  <rowFields count="1">
    <field x="6"/>
  </rowFields>
  <rowItems count="6">
    <i>
      <x/>
    </i>
    <i>
      <x v="1"/>
    </i>
    <i>
      <x v="2"/>
    </i>
    <i>
      <x v="3"/>
    </i>
    <i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0" hier="-1"/>
  </pageFields>
  <dataFields count="3">
    <dataField name="Somme de Planifié " fld="9" baseField="0" baseItem="0"/>
    <dataField name="Somme de Non Planifié Non urgent " fld="7" baseField="0" baseItem="0"/>
    <dataField name="Somme de Non Planifié Urgent 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1897080-62F9-41E6-BA3A-CCC15DDFB3C4}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10" firstHeaderRow="0" firstDataRow="1" firstDataCol="1" rowPageCount="1" colPageCount="1"/>
  <pivotFields count="12">
    <pivotField axis="axisPage" multipleItemSelectionAllowed="1" showAll="0">
      <items count="14">
        <item h="1" x="8"/>
        <item h="1" x="0"/>
        <item h="1" x="1"/>
        <item h="1" x="9"/>
        <item h="1" x="2"/>
        <item h="1" x="3"/>
        <item h="1" x="10"/>
        <item x="4"/>
        <item h="1" x="5"/>
        <item h="1" x="11"/>
        <item h="1" x="6"/>
        <item h="1" x="7"/>
        <item h="1" x="12"/>
        <item t="default"/>
      </items>
    </pivotField>
    <pivotField showAll="0"/>
    <pivotField showAll="0"/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dataField="1" showAll="0">
      <items count="110">
        <item x="18"/>
        <item x="26"/>
        <item x="33"/>
        <item x="7"/>
        <item x="46"/>
        <item x="59"/>
        <item x="76"/>
        <item x="83"/>
        <item x="17"/>
        <item x="28"/>
        <item x="19"/>
        <item x="30"/>
        <item x="98"/>
        <item x="49"/>
        <item x="96"/>
        <item x="13"/>
        <item x="80"/>
        <item x="0"/>
        <item x="100"/>
        <item x="75"/>
        <item x="39"/>
        <item x="42"/>
        <item x="72"/>
        <item x="5"/>
        <item x="2"/>
        <item x="74"/>
        <item x="16"/>
        <item x="36"/>
        <item x="11"/>
        <item x="104"/>
        <item x="41"/>
        <item x="47"/>
        <item x="56"/>
        <item x="55"/>
        <item x="68"/>
        <item x="87"/>
        <item x="21"/>
        <item x="106"/>
        <item x="35"/>
        <item x="105"/>
        <item x="71"/>
        <item x="48"/>
        <item x="79"/>
        <item x="14"/>
        <item x="103"/>
        <item x="62"/>
        <item x="3"/>
        <item x="63"/>
        <item x="102"/>
        <item x="10"/>
        <item x="77"/>
        <item x="9"/>
        <item x="82"/>
        <item x="15"/>
        <item x="58"/>
        <item x="89"/>
        <item x="8"/>
        <item x="52"/>
        <item x="57"/>
        <item x="37"/>
        <item x="29"/>
        <item x="60"/>
        <item x="53"/>
        <item x="27"/>
        <item x="92"/>
        <item x="65"/>
        <item x="101"/>
        <item x="40"/>
        <item x="107"/>
        <item x="22"/>
        <item x="32"/>
        <item x="81"/>
        <item x="38"/>
        <item x="86"/>
        <item x="90"/>
        <item x="23"/>
        <item x="61"/>
        <item x="51"/>
        <item x="78"/>
        <item x="45"/>
        <item x="85"/>
        <item x="12"/>
        <item x="34"/>
        <item x="69"/>
        <item x="67"/>
        <item x="25"/>
        <item x="6"/>
        <item x="43"/>
        <item x="93"/>
        <item x="94"/>
        <item x="99"/>
        <item x="91"/>
        <item x="97"/>
        <item x="108"/>
        <item x="54"/>
        <item x="88"/>
        <item x="84"/>
        <item x="20"/>
        <item x="73"/>
        <item x="4"/>
        <item x="31"/>
        <item x="64"/>
        <item x="70"/>
        <item x="24"/>
        <item x="50"/>
        <item x="66"/>
        <item x="95"/>
        <item x="44"/>
        <item x="1"/>
        <item t="default"/>
      </items>
    </pivotField>
    <pivotField dataField="1" showAll="0">
      <items count="130">
        <item x="0"/>
        <item x="39"/>
        <item x="26"/>
        <item x="61"/>
        <item x="17"/>
        <item x="63"/>
        <item x="25"/>
        <item x="38"/>
        <item x="2"/>
        <item x="55"/>
        <item x="49"/>
        <item x="19"/>
        <item x="90"/>
        <item x="88"/>
        <item x="76"/>
        <item x="94"/>
        <item x="36"/>
        <item x="50"/>
        <item x="91"/>
        <item x="1"/>
        <item x="48"/>
        <item x="95"/>
        <item x="105"/>
        <item x="16"/>
        <item x="67"/>
        <item x="99"/>
        <item x="62"/>
        <item x="111"/>
        <item x="120"/>
        <item x="83"/>
        <item x="78"/>
        <item x="104"/>
        <item x="123"/>
        <item x="54"/>
        <item x="28"/>
        <item x="116"/>
        <item x="18"/>
        <item x="11"/>
        <item x="27"/>
        <item x="35"/>
        <item x="33"/>
        <item x="68"/>
        <item x="22"/>
        <item x="29"/>
        <item x="15"/>
        <item x="7"/>
        <item x="8"/>
        <item x="106"/>
        <item x="110"/>
        <item x="43"/>
        <item x="10"/>
        <item x="31"/>
        <item x="124"/>
        <item x="74"/>
        <item x="115"/>
        <item x="77"/>
        <item x="82"/>
        <item x="75"/>
        <item x="57"/>
        <item x="34"/>
        <item x="100"/>
        <item x="96"/>
        <item x="56"/>
        <item x="44"/>
        <item x="89"/>
        <item x="125"/>
        <item x="109"/>
        <item x="24"/>
        <item x="117"/>
        <item x="37"/>
        <item x="42"/>
        <item x="47"/>
        <item x="4"/>
        <item x="72"/>
        <item x="81"/>
        <item x="84"/>
        <item x="113"/>
        <item x="51"/>
        <item x="45"/>
        <item x="5"/>
        <item x="69"/>
        <item x="121"/>
        <item x="13"/>
        <item x="92"/>
        <item x="107"/>
        <item x="46"/>
        <item x="97"/>
        <item x="58"/>
        <item x="41"/>
        <item x="9"/>
        <item x="73"/>
        <item x="108"/>
        <item x="128"/>
        <item x="86"/>
        <item x="64"/>
        <item x="70"/>
        <item x="127"/>
        <item x="71"/>
        <item x="30"/>
        <item x="32"/>
        <item x="119"/>
        <item x="20"/>
        <item x="79"/>
        <item x="60"/>
        <item x="101"/>
        <item x="118"/>
        <item x="102"/>
        <item x="23"/>
        <item x="53"/>
        <item x="6"/>
        <item x="98"/>
        <item x="114"/>
        <item x="80"/>
        <item x="93"/>
        <item x="112"/>
        <item x="122"/>
        <item x="65"/>
        <item x="21"/>
        <item x="85"/>
        <item x="126"/>
        <item x="40"/>
        <item x="66"/>
        <item x="59"/>
        <item x="103"/>
        <item x="87"/>
        <item x="14"/>
        <item x="12"/>
        <item x="52"/>
        <item x="3"/>
        <item t="default"/>
      </items>
    </pivotField>
    <pivotField dataField="1" showAll="0">
      <items count="105">
        <item x="6"/>
        <item x="30"/>
        <item x="51"/>
        <item x="23"/>
        <item x="0"/>
        <item x="62"/>
        <item x="1"/>
        <item x="27"/>
        <item x="37"/>
        <item x="13"/>
        <item x="41"/>
        <item x="12"/>
        <item x="28"/>
        <item x="91"/>
        <item x="71"/>
        <item x="60"/>
        <item x="57"/>
        <item x="70"/>
        <item x="44"/>
        <item x="5"/>
        <item x="46"/>
        <item x="17"/>
        <item x="26"/>
        <item x="96"/>
        <item x="75"/>
        <item x="90"/>
        <item x="21"/>
        <item x="35"/>
        <item x="29"/>
        <item x="7"/>
        <item x="81"/>
        <item x="66"/>
        <item x="15"/>
        <item x="9"/>
        <item x="56"/>
        <item x="94"/>
        <item x="86"/>
        <item x="69"/>
        <item x="49"/>
        <item x="22"/>
        <item x="8"/>
        <item x="98"/>
        <item x="59"/>
        <item x="40"/>
        <item x="79"/>
        <item x="73"/>
        <item x="74"/>
        <item x="76"/>
        <item x="95"/>
        <item x="45"/>
        <item x="87"/>
        <item x="24"/>
        <item x="33"/>
        <item x="58"/>
        <item x="63"/>
        <item x="36"/>
        <item x="34"/>
        <item x="31"/>
        <item x="14"/>
        <item x="64"/>
        <item x="19"/>
        <item x="10"/>
        <item x="16"/>
        <item x="84"/>
        <item x="48"/>
        <item x="93"/>
        <item x="102"/>
        <item x="67"/>
        <item x="80"/>
        <item x="100"/>
        <item x="50"/>
        <item x="77"/>
        <item x="2"/>
        <item x="20"/>
        <item x="99"/>
        <item x="53"/>
        <item x="82"/>
        <item x="54"/>
        <item x="39"/>
        <item x="103"/>
        <item x="83"/>
        <item x="4"/>
        <item x="18"/>
        <item x="25"/>
        <item x="32"/>
        <item x="52"/>
        <item x="42"/>
        <item x="47"/>
        <item x="11"/>
        <item x="55"/>
        <item x="72"/>
        <item x="92"/>
        <item x="78"/>
        <item x="88"/>
        <item x="85"/>
        <item x="61"/>
        <item x="97"/>
        <item x="68"/>
        <item x="38"/>
        <item x="65"/>
        <item x="43"/>
        <item x="89"/>
        <item x="101"/>
        <item x="3"/>
        <item t="default"/>
      </items>
    </pivotField>
    <pivotField showAll="0"/>
    <pivotField showAll="0"/>
  </pivotFields>
  <rowFields count="1">
    <field x="6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0" hier="-1"/>
  </pageFields>
  <dataFields count="3">
    <dataField name="Somme de Planifié " fld="9" baseField="0" baseItem="0"/>
    <dataField name="Somme de Non Planifié Non urgent " fld="7" baseField="0" baseItem="0"/>
    <dataField name="Somme de Non Planifié Urgent 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99038DC-077D-4AE0-A89C-9D0DE4B365D3}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10" firstHeaderRow="0" firstDataRow="1" firstDataCol="1" rowPageCount="1" colPageCount="1"/>
  <pivotFields count="12">
    <pivotField axis="axisPage" multipleItemSelectionAllowed="1" showAll="0">
      <items count="14">
        <item h="1" x="8"/>
        <item h="1" x="0"/>
        <item h="1" x="1"/>
        <item h="1" x="9"/>
        <item h="1" x="2"/>
        <item h="1" x="3"/>
        <item h="1" x="10"/>
        <item h="1" x="4"/>
        <item x="5"/>
        <item h="1" x="11"/>
        <item h="1" x="6"/>
        <item h="1" x="7"/>
        <item h="1" x="12"/>
        <item t="default"/>
      </items>
    </pivotField>
    <pivotField showAll="0"/>
    <pivotField showAll="0"/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dataField="1" showAll="0">
      <items count="110">
        <item x="18"/>
        <item x="26"/>
        <item x="33"/>
        <item x="7"/>
        <item x="46"/>
        <item x="59"/>
        <item x="76"/>
        <item x="83"/>
        <item x="17"/>
        <item x="28"/>
        <item x="19"/>
        <item x="30"/>
        <item x="98"/>
        <item x="49"/>
        <item x="96"/>
        <item x="13"/>
        <item x="80"/>
        <item x="0"/>
        <item x="100"/>
        <item x="75"/>
        <item x="39"/>
        <item x="42"/>
        <item x="72"/>
        <item x="5"/>
        <item x="2"/>
        <item x="74"/>
        <item x="16"/>
        <item x="36"/>
        <item x="11"/>
        <item x="104"/>
        <item x="41"/>
        <item x="47"/>
        <item x="56"/>
        <item x="55"/>
        <item x="68"/>
        <item x="87"/>
        <item x="21"/>
        <item x="106"/>
        <item x="35"/>
        <item x="105"/>
        <item x="71"/>
        <item x="48"/>
        <item x="79"/>
        <item x="14"/>
        <item x="103"/>
        <item x="62"/>
        <item x="3"/>
        <item x="63"/>
        <item x="102"/>
        <item x="10"/>
        <item x="77"/>
        <item x="9"/>
        <item x="82"/>
        <item x="15"/>
        <item x="58"/>
        <item x="89"/>
        <item x="8"/>
        <item x="52"/>
        <item x="57"/>
        <item x="37"/>
        <item x="29"/>
        <item x="60"/>
        <item x="53"/>
        <item x="27"/>
        <item x="92"/>
        <item x="65"/>
        <item x="101"/>
        <item x="40"/>
        <item x="107"/>
        <item x="22"/>
        <item x="32"/>
        <item x="81"/>
        <item x="38"/>
        <item x="86"/>
        <item x="90"/>
        <item x="23"/>
        <item x="61"/>
        <item x="51"/>
        <item x="78"/>
        <item x="45"/>
        <item x="85"/>
        <item x="12"/>
        <item x="34"/>
        <item x="69"/>
        <item x="67"/>
        <item x="25"/>
        <item x="6"/>
        <item x="43"/>
        <item x="93"/>
        <item x="94"/>
        <item x="99"/>
        <item x="91"/>
        <item x="97"/>
        <item x="108"/>
        <item x="54"/>
        <item x="88"/>
        <item x="84"/>
        <item x="20"/>
        <item x="73"/>
        <item x="4"/>
        <item x="31"/>
        <item x="64"/>
        <item x="70"/>
        <item x="24"/>
        <item x="50"/>
        <item x="66"/>
        <item x="95"/>
        <item x="44"/>
        <item x="1"/>
        <item t="default"/>
      </items>
    </pivotField>
    <pivotField dataField="1" showAll="0">
      <items count="130">
        <item x="0"/>
        <item x="39"/>
        <item x="26"/>
        <item x="61"/>
        <item x="17"/>
        <item x="63"/>
        <item x="25"/>
        <item x="38"/>
        <item x="2"/>
        <item x="55"/>
        <item x="49"/>
        <item x="19"/>
        <item x="90"/>
        <item x="88"/>
        <item x="76"/>
        <item x="94"/>
        <item x="36"/>
        <item x="50"/>
        <item x="91"/>
        <item x="1"/>
        <item x="48"/>
        <item x="95"/>
        <item x="105"/>
        <item x="16"/>
        <item x="67"/>
        <item x="99"/>
        <item x="62"/>
        <item x="111"/>
        <item x="120"/>
        <item x="83"/>
        <item x="78"/>
        <item x="104"/>
        <item x="123"/>
        <item x="54"/>
        <item x="28"/>
        <item x="116"/>
        <item x="18"/>
        <item x="11"/>
        <item x="27"/>
        <item x="35"/>
        <item x="33"/>
        <item x="68"/>
        <item x="22"/>
        <item x="29"/>
        <item x="15"/>
        <item x="7"/>
        <item x="8"/>
        <item x="106"/>
        <item x="110"/>
        <item x="43"/>
        <item x="10"/>
        <item x="31"/>
        <item x="124"/>
        <item x="74"/>
        <item x="115"/>
        <item x="77"/>
        <item x="82"/>
        <item x="75"/>
        <item x="57"/>
        <item x="34"/>
        <item x="100"/>
        <item x="96"/>
        <item x="56"/>
        <item x="44"/>
        <item x="89"/>
        <item x="125"/>
        <item x="109"/>
        <item x="24"/>
        <item x="117"/>
        <item x="37"/>
        <item x="42"/>
        <item x="47"/>
        <item x="4"/>
        <item x="72"/>
        <item x="81"/>
        <item x="84"/>
        <item x="113"/>
        <item x="51"/>
        <item x="45"/>
        <item x="5"/>
        <item x="69"/>
        <item x="121"/>
        <item x="13"/>
        <item x="92"/>
        <item x="107"/>
        <item x="46"/>
        <item x="97"/>
        <item x="58"/>
        <item x="41"/>
        <item x="9"/>
        <item x="73"/>
        <item x="108"/>
        <item x="128"/>
        <item x="86"/>
        <item x="64"/>
        <item x="70"/>
        <item x="127"/>
        <item x="71"/>
        <item x="30"/>
        <item x="32"/>
        <item x="119"/>
        <item x="20"/>
        <item x="79"/>
        <item x="60"/>
        <item x="101"/>
        <item x="118"/>
        <item x="102"/>
        <item x="23"/>
        <item x="53"/>
        <item x="6"/>
        <item x="98"/>
        <item x="114"/>
        <item x="80"/>
        <item x="93"/>
        <item x="112"/>
        <item x="122"/>
        <item x="65"/>
        <item x="21"/>
        <item x="85"/>
        <item x="126"/>
        <item x="40"/>
        <item x="66"/>
        <item x="59"/>
        <item x="103"/>
        <item x="87"/>
        <item x="14"/>
        <item x="12"/>
        <item x="52"/>
        <item x="3"/>
        <item t="default"/>
      </items>
    </pivotField>
    <pivotField dataField="1" showAll="0">
      <items count="105">
        <item x="6"/>
        <item x="30"/>
        <item x="51"/>
        <item x="23"/>
        <item x="0"/>
        <item x="62"/>
        <item x="1"/>
        <item x="27"/>
        <item x="37"/>
        <item x="13"/>
        <item x="41"/>
        <item x="12"/>
        <item x="28"/>
        <item x="91"/>
        <item x="71"/>
        <item x="60"/>
        <item x="57"/>
        <item x="70"/>
        <item x="44"/>
        <item x="5"/>
        <item x="46"/>
        <item x="17"/>
        <item x="26"/>
        <item x="96"/>
        <item x="75"/>
        <item x="90"/>
        <item x="21"/>
        <item x="35"/>
        <item x="29"/>
        <item x="7"/>
        <item x="81"/>
        <item x="66"/>
        <item x="15"/>
        <item x="9"/>
        <item x="56"/>
        <item x="94"/>
        <item x="86"/>
        <item x="69"/>
        <item x="49"/>
        <item x="22"/>
        <item x="8"/>
        <item x="98"/>
        <item x="59"/>
        <item x="40"/>
        <item x="79"/>
        <item x="73"/>
        <item x="74"/>
        <item x="76"/>
        <item x="95"/>
        <item x="45"/>
        <item x="87"/>
        <item x="24"/>
        <item x="33"/>
        <item x="58"/>
        <item x="63"/>
        <item x="36"/>
        <item x="34"/>
        <item x="31"/>
        <item x="14"/>
        <item x="64"/>
        <item x="19"/>
        <item x="10"/>
        <item x="16"/>
        <item x="84"/>
        <item x="48"/>
        <item x="93"/>
        <item x="102"/>
        <item x="67"/>
        <item x="80"/>
        <item x="100"/>
        <item x="50"/>
        <item x="77"/>
        <item x="2"/>
        <item x="20"/>
        <item x="99"/>
        <item x="53"/>
        <item x="82"/>
        <item x="54"/>
        <item x="39"/>
        <item x="103"/>
        <item x="83"/>
        <item x="4"/>
        <item x="18"/>
        <item x="25"/>
        <item x="32"/>
        <item x="52"/>
        <item x="42"/>
        <item x="47"/>
        <item x="11"/>
        <item x="55"/>
        <item x="72"/>
        <item x="92"/>
        <item x="78"/>
        <item x="88"/>
        <item x="85"/>
        <item x="61"/>
        <item x="97"/>
        <item x="68"/>
        <item x="38"/>
        <item x="65"/>
        <item x="43"/>
        <item x="89"/>
        <item x="101"/>
        <item x="3"/>
        <item t="default"/>
      </items>
    </pivotField>
    <pivotField showAll="0"/>
    <pivotField showAll="0"/>
  </pivotFields>
  <rowFields count="1">
    <field x="6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0" hier="-1"/>
  </pageFields>
  <dataFields count="3">
    <dataField name="Somme de Planifié " fld="9" baseField="0" baseItem="0"/>
    <dataField name="Somme de Non Planifié Non urgent " fld="7" baseField="0" baseItem="0"/>
    <dataField name="Somme de Non Planifié Urgent 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878509F-E5E5-4E6F-B63A-0EF007345738}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10" firstHeaderRow="0" firstDataRow="1" firstDataCol="1" rowPageCount="1" colPageCount="1"/>
  <pivotFields count="12">
    <pivotField axis="axisPage" multipleItemSelectionAllowed="1" showAll="0">
      <items count="14">
        <item h="1" x="8"/>
        <item h="1" x="0"/>
        <item h="1" x="1"/>
        <item h="1" x="9"/>
        <item h="1" x="2"/>
        <item h="1" x="3"/>
        <item h="1" x="10"/>
        <item h="1" x="4"/>
        <item h="1" x="5"/>
        <item h="1" x="11"/>
        <item x="6"/>
        <item h="1" x="7"/>
        <item h="1" x="12"/>
        <item t="default"/>
      </items>
    </pivotField>
    <pivotField showAll="0"/>
    <pivotField showAll="0"/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dataField="1" showAll="0">
      <items count="110">
        <item x="18"/>
        <item x="26"/>
        <item x="33"/>
        <item x="7"/>
        <item x="46"/>
        <item x="59"/>
        <item x="76"/>
        <item x="83"/>
        <item x="17"/>
        <item x="28"/>
        <item x="19"/>
        <item x="30"/>
        <item x="98"/>
        <item x="49"/>
        <item x="96"/>
        <item x="13"/>
        <item x="80"/>
        <item x="0"/>
        <item x="100"/>
        <item x="75"/>
        <item x="39"/>
        <item x="42"/>
        <item x="72"/>
        <item x="5"/>
        <item x="2"/>
        <item x="74"/>
        <item x="16"/>
        <item x="36"/>
        <item x="11"/>
        <item x="104"/>
        <item x="41"/>
        <item x="47"/>
        <item x="56"/>
        <item x="55"/>
        <item x="68"/>
        <item x="87"/>
        <item x="21"/>
        <item x="106"/>
        <item x="35"/>
        <item x="105"/>
        <item x="71"/>
        <item x="48"/>
        <item x="79"/>
        <item x="14"/>
        <item x="103"/>
        <item x="62"/>
        <item x="3"/>
        <item x="63"/>
        <item x="102"/>
        <item x="10"/>
        <item x="77"/>
        <item x="9"/>
        <item x="82"/>
        <item x="15"/>
        <item x="58"/>
        <item x="89"/>
        <item x="8"/>
        <item x="52"/>
        <item x="57"/>
        <item x="37"/>
        <item x="29"/>
        <item x="60"/>
        <item x="53"/>
        <item x="27"/>
        <item x="92"/>
        <item x="65"/>
        <item x="101"/>
        <item x="40"/>
        <item x="107"/>
        <item x="22"/>
        <item x="32"/>
        <item x="81"/>
        <item x="38"/>
        <item x="86"/>
        <item x="90"/>
        <item x="23"/>
        <item x="61"/>
        <item x="51"/>
        <item x="78"/>
        <item x="45"/>
        <item x="85"/>
        <item x="12"/>
        <item x="34"/>
        <item x="69"/>
        <item x="67"/>
        <item x="25"/>
        <item x="6"/>
        <item x="43"/>
        <item x="93"/>
        <item x="94"/>
        <item x="99"/>
        <item x="91"/>
        <item x="97"/>
        <item x="108"/>
        <item x="54"/>
        <item x="88"/>
        <item x="84"/>
        <item x="20"/>
        <item x="73"/>
        <item x="4"/>
        <item x="31"/>
        <item x="64"/>
        <item x="70"/>
        <item x="24"/>
        <item x="50"/>
        <item x="66"/>
        <item x="95"/>
        <item x="44"/>
        <item x="1"/>
        <item t="default"/>
      </items>
    </pivotField>
    <pivotField dataField="1" showAll="0">
      <items count="130">
        <item x="0"/>
        <item x="39"/>
        <item x="26"/>
        <item x="61"/>
        <item x="17"/>
        <item x="63"/>
        <item x="25"/>
        <item x="38"/>
        <item x="2"/>
        <item x="55"/>
        <item x="49"/>
        <item x="19"/>
        <item x="90"/>
        <item x="88"/>
        <item x="76"/>
        <item x="94"/>
        <item x="36"/>
        <item x="50"/>
        <item x="91"/>
        <item x="1"/>
        <item x="48"/>
        <item x="95"/>
        <item x="105"/>
        <item x="16"/>
        <item x="67"/>
        <item x="99"/>
        <item x="62"/>
        <item x="111"/>
        <item x="120"/>
        <item x="83"/>
        <item x="78"/>
        <item x="104"/>
        <item x="123"/>
        <item x="54"/>
        <item x="28"/>
        <item x="116"/>
        <item x="18"/>
        <item x="11"/>
        <item x="27"/>
        <item x="35"/>
        <item x="33"/>
        <item x="68"/>
        <item x="22"/>
        <item x="29"/>
        <item x="15"/>
        <item x="7"/>
        <item x="8"/>
        <item x="106"/>
        <item x="110"/>
        <item x="43"/>
        <item x="10"/>
        <item x="31"/>
        <item x="124"/>
        <item x="74"/>
        <item x="115"/>
        <item x="77"/>
        <item x="82"/>
        <item x="75"/>
        <item x="57"/>
        <item x="34"/>
        <item x="100"/>
        <item x="96"/>
        <item x="56"/>
        <item x="44"/>
        <item x="89"/>
        <item x="125"/>
        <item x="109"/>
        <item x="24"/>
        <item x="117"/>
        <item x="37"/>
        <item x="42"/>
        <item x="47"/>
        <item x="4"/>
        <item x="72"/>
        <item x="81"/>
        <item x="84"/>
        <item x="113"/>
        <item x="51"/>
        <item x="45"/>
        <item x="5"/>
        <item x="69"/>
        <item x="121"/>
        <item x="13"/>
        <item x="92"/>
        <item x="107"/>
        <item x="46"/>
        <item x="97"/>
        <item x="58"/>
        <item x="41"/>
        <item x="9"/>
        <item x="73"/>
        <item x="108"/>
        <item x="128"/>
        <item x="86"/>
        <item x="64"/>
        <item x="70"/>
        <item x="127"/>
        <item x="71"/>
        <item x="30"/>
        <item x="32"/>
        <item x="119"/>
        <item x="20"/>
        <item x="79"/>
        <item x="60"/>
        <item x="101"/>
        <item x="118"/>
        <item x="102"/>
        <item x="23"/>
        <item x="53"/>
        <item x="6"/>
        <item x="98"/>
        <item x="114"/>
        <item x="80"/>
        <item x="93"/>
        <item x="112"/>
        <item x="122"/>
        <item x="65"/>
        <item x="21"/>
        <item x="85"/>
        <item x="126"/>
        <item x="40"/>
        <item x="66"/>
        <item x="59"/>
        <item x="103"/>
        <item x="87"/>
        <item x="14"/>
        <item x="12"/>
        <item x="52"/>
        <item x="3"/>
        <item t="default"/>
      </items>
    </pivotField>
    <pivotField dataField="1" showAll="0">
      <items count="105">
        <item x="6"/>
        <item x="30"/>
        <item x="51"/>
        <item x="23"/>
        <item x="0"/>
        <item x="62"/>
        <item x="1"/>
        <item x="27"/>
        <item x="37"/>
        <item x="13"/>
        <item x="41"/>
        <item x="12"/>
        <item x="28"/>
        <item x="91"/>
        <item x="71"/>
        <item x="60"/>
        <item x="57"/>
        <item x="70"/>
        <item x="44"/>
        <item x="5"/>
        <item x="46"/>
        <item x="17"/>
        <item x="26"/>
        <item x="96"/>
        <item x="75"/>
        <item x="90"/>
        <item x="21"/>
        <item x="35"/>
        <item x="29"/>
        <item x="7"/>
        <item x="81"/>
        <item x="66"/>
        <item x="15"/>
        <item x="9"/>
        <item x="56"/>
        <item x="94"/>
        <item x="86"/>
        <item x="69"/>
        <item x="49"/>
        <item x="22"/>
        <item x="8"/>
        <item x="98"/>
        <item x="59"/>
        <item x="40"/>
        <item x="79"/>
        <item x="73"/>
        <item x="74"/>
        <item x="76"/>
        <item x="95"/>
        <item x="45"/>
        <item x="87"/>
        <item x="24"/>
        <item x="33"/>
        <item x="58"/>
        <item x="63"/>
        <item x="36"/>
        <item x="34"/>
        <item x="31"/>
        <item x="14"/>
        <item x="64"/>
        <item x="19"/>
        <item x="10"/>
        <item x="16"/>
        <item x="84"/>
        <item x="48"/>
        <item x="93"/>
        <item x="102"/>
        <item x="67"/>
        <item x="80"/>
        <item x="100"/>
        <item x="50"/>
        <item x="77"/>
        <item x="2"/>
        <item x="20"/>
        <item x="99"/>
        <item x="53"/>
        <item x="82"/>
        <item x="54"/>
        <item x="39"/>
        <item x="103"/>
        <item x="83"/>
        <item x="4"/>
        <item x="18"/>
        <item x="25"/>
        <item x="32"/>
        <item x="52"/>
        <item x="42"/>
        <item x="47"/>
        <item x="11"/>
        <item x="55"/>
        <item x="72"/>
        <item x="92"/>
        <item x="78"/>
        <item x="88"/>
        <item x="85"/>
        <item x="61"/>
        <item x="97"/>
        <item x="68"/>
        <item x="38"/>
        <item x="65"/>
        <item x="43"/>
        <item x="89"/>
        <item x="101"/>
        <item x="3"/>
        <item t="default"/>
      </items>
    </pivotField>
    <pivotField showAll="0"/>
    <pivotField showAll="0"/>
  </pivotFields>
  <rowFields count="1">
    <field x="6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0" hier="-1"/>
  </pageFields>
  <dataFields count="3">
    <dataField name="Somme de Planifié " fld="9" baseField="0" baseItem="0"/>
    <dataField name="Somme de Non Planifié Non urgent " fld="7" baseField="0" baseItem="0"/>
    <dataField name="Somme de Non Planifié Urgent 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75F391C-E3C0-48A9-A59A-168596FAD677}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10" firstHeaderRow="0" firstDataRow="1" firstDataCol="1" rowPageCount="1" colPageCount="1"/>
  <pivotFields count="12">
    <pivotField axis="axisPage" multipleItemSelectionAllowed="1" showAll="0">
      <items count="14">
        <item h="1" x="8"/>
        <item h="1" x="0"/>
        <item h="1" x="1"/>
        <item h="1" x="9"/>
        <item h="1" x="2"/>
        <item h="1" x="3"/>
        <item h="1" x="10"/>
        <item h="1" x="4"/>
        <item h="1" x="5"/>
        <item h="1" x="11"/>
        <item h="1" x="6"/>
        <item x="7"/>
        <item h="1" x="12"/>
        <item t="default"/>
      </items>
    </pivotField>
    <pivotField showAll="0"/>
    <pivotField showAll="0"/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dataField="1" showAll="0">
      <items count="110">
        <item x="18"/>
        <item x="26"/>
        <item x="33"/>
        <item x="7"/>
        <item x="46"/>
        <item x="59"/>
        <item x="76"/>
        <item x="83"/>
        <item x="17"/>
        <item x="28"/>
        <item x="19"/>
        <item x="30"/>
        <item x="98"/>
        <item x="49"/>
        <item x="96"/>
        <item x="13"/>
        <item x="80"/>
        <item x="0"/>
        <item x="100"/>
        <item x="75"/>
        <item x="39"/>
        <item x="42"/>
        <item x="72"/>
        <item x="5"/>
        <item x="2"/>
        <item x="74"/>
        <item x="16"/>
        <item x="36"/>
        <item x="11"/>
        <item x="104"/>
        <item x="41"/>
        <item x="47"/>
        <item x="56"/>
        <item x="55"/>
        <item x="68"/>
        <item x="87"/>
        <item x="21"/>
        <item x="106"/>
        <item x="35"/>
        <item x="105"/>
        <item x="71"/>
        <item x="48"/>
        <item x="79"/>
        <item x="14"/>
        <item x="103"/>
        <item x="62"/>
        <item x="3"/>
        <item x="63"/>
        <item x="102"/>
        <item x="10"/>
        <item x="77"/>
        <item x="9"/>
        <item x="82"/>
        <item x="15"/>
        <item x="58"/>
        <item x="89"/>
        <item x="8"/>
        <item x="52"/>
        <item x="57"/>
        <item x="37"/>
        <item x="29"/>
        <item x="60"/>
        <item x="53"/>
        <item x="27"/>
        <item x="92"/>
        <item x="65"/>
        <item x="101"/>
        <item x="40"/>
        <item x="107"/>
        <item x="22"/>
        <item x="32"/>
        <item x="81"/>
        <item x="38"/>
        <item x="86"/>
        <item x="90"/>
        <item x="23"/>
        <item x="61"/>
        <item x="51"/>
        <item x="78"/>
        <item x="45"/>
        <item x="85"/>
        <item x="12"/>
        <item x="34"/>
        <item x="69"/>
        <item x="67"/>
        <item x="25"/>
        <item x="6"/>
        <item x="43"/>
        <item x="93"/>
        <item x="94"/>
        <item x="99"/>
        <item x="91"/>
        <item x="97"/>
        <item x="108"/>
        <item x="54"/>
        <item x="88"/>
        <item x="84"/>
        <item x="20"/>
        <item x="73"/>
        <item x="4"/>
        <item x="31"/>
        <item x="64"/>
        <item x="70"/>
        <item x="24"/>
        <item x="50"/>
        <item x="66"/>
        <item x="95"/>
        <item x="44"/>
        <item x="1"/>
        <item t="default"/>
      </items>
    </pivotField>
    <pivotField dataField="1" showAll="0">
      <items count="130">
        <item x="0"/>
        <item x="39"/>
        <item x="26"/>
        <item x="61"/>
        <item x="17"/>
        <item x="63"/>
        <item x="25"/>
        <item x="38"/>
        <item x="2"/>
        <item x="55"/>
        <item x="49"/>
        <item x="19"/>
        <item x="90"/>
        <item x="88"/>
        <item x="76"/>
        <item x="94"/>
        <item x="36"/>
        <item x="50"/>
        <item x="91"/>
        <item x="1"/>
        <item x="48"/>
        <item x="95"/>
        <item x="105"/>
        <item x="16"/>
        <item x="67"/>
        <item x="99"/>
        <item x="62"/>
        <item x="111"/>
        <item x="120"/>
        <item x="83"/>
        <item x="78"/>
        <item x="104"/>
        <item x="123"/>
        <item x="54"/>
        <item x="28"/>
        <item x="116"/>
        <item x="18"/>
        <item x="11"/>
        <item x="27"/>
        <item x="35"/>
        <item x="33"/>
        <item x="68"/>
        <item x="22"/>
        <item x="29"/>
        <item x="15"/>
        <item x="7"/>
        <item x="8"/>
        <item x="106"/>
        <item x="110"/>
        <item x="43"/>
        <item x="10"/>
        <item x="31"/>
        <item x="124"/>
        <item x="74"/>
        <item x="115"/>
        <item x="77"/>
        <item x="82"/>
        <item x="75"/>
        <item x="57"/>
        <item x="34"/>
        <item x="100"/>
        <item x="96"/>
        <item x="56"/>
        <item x="44"/>
        <item x="89"/>
        <item x="125"/>
        <item x="109"/>
        <item x="24"/>
        <item x="117"/>
        <item x="37"/>
        <item x="42"/>
        <item x="47"/>
        <item x="4"/>
        <item x="72"/>
        <item x="81"/>
        <item x="84"/>
        <item x="113"/>
        <item x="51"/>
        <item x="45"/>
        <item x="5"/>
        <item x="69"/>
        <item x="121"/>
        <item x="13"/>
        <item x="92"/>
        <item x="107"/>
        <item x="46"/>
        <item x="97"/>
        <item x="58"/>
        <item x="41"/>
        <item x="9"/>
        <item x="73"/>
        <item x="108"/>
        <item x="128"/>
        <item x="86"/>
        <item x="64"/>
        <item x="70"/>
        <item x="127"/>
        <item x="71"/>
        <item x="30"/>
        <item x="32"/>
        <item x="119"/>
        <item x="20"/>
        <item x="79"/>
        <item x="60"/>
        <item x="101"/>
        <item x="118"/>
        <item x="102"/>
        <item x="23"/>
        <item x="53"/>
        <item x="6"/>
        <item x="98"/>
        <item x="114"/>
        <item x="80"/>
        <item x="93"/>
        <item x="112"/>
        <item x="122"/>
        <item x="65"/>
        <item x="21"/>
        <item x="85"/>
        <item x="126"/>
        <item x="40"/>
        <item x="66"/>
        <item x="59"/>
        <item x="103"/>
        <item x="87"/>
        <item x="14"/>
        <item x="12"/>
        <item x="52"/>
        <item x="3"/>
        <item t="default"/>
      </items>
    </pivotField>
    <pivotField dataField="1" showAll="0">
      <items count="105">
        <item x="6"/>
        <item x="30"/>
        <item x="51"/>
        <item x="23"/>
        <item x="0"/>
        <item x="62"/>
        <item x="1"/>
        <item x="27"/>
        <item x="37"/>
        <item x="13"/>
        <item x="41"/>
        <item x="12"/>
        <item x="28"/>
        <item x="91"/>
        <item x="71"/>
        <item x="60"/>
        <item x="57"/>
        <item x="70"/>
        <item x="44"/>
        <item x="5"/>
        <item x="46"/>
        <item x="17"/>
        <item x="26"/>
        <item x="96"/>
        <item x="75"/>
        <item x="90"/>
        <item x="21"/>
        <item x="35"/>
        <item x="29"/>
        <item x="7"/>
        <item x="81"/>
        <item x="66"/>
        <item x="15"/>
        <item x="9"/>
        <item x="56"/>
        <item x="94"/>
        <item x="86"/>
        <item x="69"/>
        <item x="49"/>
        <item x="22"/>
        <item x="8"/>
        <item x="98"/>
        <item x="59"/>
        <item x="40"/>
        <item x="79"/>
        <item x="73"/>
        <item x="74"/>
        <item x="76"/>
        <item x="95"/>
        <item x="45"/>
        <item x="87"/>
        <item x="24"/>
        <item x="33"/>
        <item x="58"/>
        <item x="63"/>
        <item x="36"/>
        <item x="34"/>
        <item x="31"/>
        <item x="14"/>
        <item x="64"/>
        <item x="19"/>
        <item x="10"/>
        <item x="16"/>
        <item x="84"/>
        <item x="48"/>
        <item x="93"/>
        <item x="102"/>
        <item x="67"/>
        <item x="80"/>
        <item x="100"/>
        <item x="50"/>
        <item x="77"/>
        <item x="2"/>
        <item x="20"/>
        <item x="99"/>
        <item x="53"/>
        <item x="82"/>
        <item x="54"/>
        <item x="39"/>
        <item x="103"/>
        <item x="83"/>
        <item x="4"/>
        <item x="18"/>
        <item x="25"/>
        <item x="32"/>
        <item x="52"/>
        <item x="42"/>
        <item x="47"/>
        <item x="11"/>
        <item x="55"/>
        <item x="72"/>
        <item x="92"/>
        <item x="78"/>
        <item x="88"/>
        <item x="85"/>
        <item x="61"/>
        <item x="97"/>
        <item x="68"/>
        <item x="38"/>
        <item x="65"/>
        <item x="43"/>
        <item x="89"/>
        <item x="101"/>
        <item x="3"/>
        <item t="default"/>
      </items>
    </pivotField>
    <pivotField showAll="0"/>
    <pivotField showAll="0"/>
  </pivotFields>
  <rowFields count="1">
    <field x="6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0" hier="-1"/>
  </pageFields>
  <dataFields count="3">
    <dataField name="Somme de Planifié " fld="9" baseField="0" baseItem="0"/>
    <dataField name="Somme de Non Planifié Non urgent " fld="7" baseField="0" baseItem="0"/>
    <dataField name="Somme de Non Planifié Urgent 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08AD5B4-D4CD-4D68-9857-CF3BF75222DA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N91:P108" firstHeaderRow="1" firstDataRow="1" firstDataCol="0"/>
  <pivotFields count="12">
    <pivotField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1716D32-6D2C-458D-B698-39A82226B155}" name="Tableau3" displayName="Tableau3" ref="A4:H16" totalsRowShown="0">
  <autoFilter ref="A4:H16" xr:uid="{1A035CA9-521E-4E11-8302-5B7CC5CD2C05}"/>
  <tableColumns count="8">
    <tableColumn id="1" xr3:uid="{6929D703-9D1F-4773-AADC-A8E04A216F0A}" name="Division" dataDxfId="13"/>
    <tableColumn id="2" xr3:uid="{F73B7FD1-5BA9-4ACC-BC2B-A7630585534D}" name="Planifié " dataDxfId="12"/>
    <tableColumn id="3" xr3:uid="{0C5642CA-208D-44DD-8D0D-BA57D8C64B87}" name="Non Planifié urgent " dataDxfId="11"/>
    <tableColumn id="4" xr3:uid="{5376A087-3B68-40A5-8A6F-5907AFF2CE8D}" name="Non planifié non urgent " dataDxfId="10"/>
    <tableColumn id="5" xr3:uid="{A28DAF21-839B-448F-9A7E-FF628C30FA47}" name="Total" dataDxfId="9">
      <calculatedColumnFormula>SUM(Tableau3[[#This Row],[Planifié ]:[Non planifié non urgent ]])</calculatedColumnFormula>
    </tableColumn>
    <tableColumn id="6" xr3:uid="{D3FCE2C9-C33A-4C71-9FB4-9DA3009B1856}" name="Planifié %" dataCellStyle="Pourcentage">
      <calculatedColumnFormula>Tableau3[[#This Row],[Planifié ]]/Tableau3[[#This Row],[Total]]</calculatedColumnFormula>
    </tableColumn>
    <tableColumn id="7" xr3:uid="{27A2F153-ECD2-4464-B65D-FCD3F7275B3B}" name="Non Planifié urgent %" dataCellStyle="Pourcentage">
      <calculatedColumnFormula>Tableau3[[#This Row],[Non Planifié urgent ]]/Tableau3[[#This Row],[Total]]</calculatedColumnFormula>
    </tableColumn>
    <tableColumn id="8" xr3:uid="{02C473CC-D86E-43A5-973B-766FD43FB333}" name="Non planifié non urgent %" dataCellStyle="Pourcentage">
      <calculatedColumnFormula>Tableau3[[#This Row],[Non planifié non urgent ]]/Tableau3[[#This Row],[Total]]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757C6D-9277-4B1F-BF9F-1880C41A5FEB}" name="Tableau1" displayName="Tableau1" ref="A1:L522" totalsRowShown="0">
  <autoFilter ref="A1:L522" xr:uid="{9CD29037-A9A3-4482-986C-2CAF3096B7D2}"/>
  <tableColumns count="12">
    <tableColumn id="1" xr3:uid="{048318EC-849B-44F3-A8EA-2270C4C30782}" name="Usine" dataDxfId="8"/>
    <tableColumn id="7" xr3:uid="{418B78EE-A149-4F69-AFA5-67C1BDE8BA27}" name="Date " dataDxfId="7"/>
    <tableColumn id="6" xr3:uid="{E6FE1919-5EBB-42E4-AFC7-08047F0405C1}" name="Colonne1" dataDxfId="6">
      <calculatedColumnFormula>WEEKNUM(Tableau1[[#This Row],[Date ]])</calculatedColumnFormula>
    </tableColumn>
    <tableColumn id="8" xr3:uid="{E494C6EB-870F-4C04-B315-324EA362360A}" name="N° Semaine" dataDxfId="5">
      <calculatedColumnFormula>Tableau1[[#This Row],[Colonne1]]-1</calculatedColumnFormula>
    </tableColumn>
    <tableColumn id="10" xr3:uid="{9E15FDDE-2B9A-4926-8D34-550129D2335C}" name="Colonne2" dataDxfId="4">
      <calculatedColumnFormula>_xlfn.CONCAT("0",Tableau1[[#This Row],[N° Semaine]])</calculatedColumnFormula>
    </tableColumn>
    <tableColumn id="9" xr3:uid="{8B52B5B6-47FC-4367-B1DD-37D9CF3C1C23}" name="Semaine " dataDxfId="3">
      <calculatedColumnFormula>_xlfn.CONCAT("S",Tableau1[[#This Row],[Colonne2]])</calculatedColumnFormula>
    </tableColumn>
    <tableColumn id="12" xr3:uid="{4D1B594B-2BEB-4EC9-816F-C8E3A392541E}" name="Mois texte " dataDxfId="2">
      <calculatedColumnFormula>TEXT(Tableau1[[#This Row],[Date ]],"mmmm")</calculatedColumnFormula>
    </tableColumn>
    <tableColumn id="3" xr3:uid="{3779E237-F715-4366-AD8A-5EC5C50DE298}" name="Non Planifié Non urgent "/>
    <tableColumn id="4" xr3:uid="{B515F415-DEFF-4A9D-8546-7265E441E3D9}" name="Non Planifié Urgent "/>
    <tableColumn id="5" xr3:uid="{F3F35A94-01CD-4126-A6FF-2FB37CE8CEE3}" name="Planifié "/>
    <tableColumn id="14" xr3:uid="{D6DC01B4-DD71-4C43-92C0-1D29CF4C935B}" name="Total" dataDxfId="1">
      <calculatedColumnFormula>SUM(H2:J3)</calculatedColumnFormula>
    </tableColumn>
    <tableColumn id="2" xr3:uid="{C66A0C1C-EF8B-41CD-B4F7-8177180C5D83}" name="Div et Sem" dataDxfId="0">
      <calculatedColumnFormula>CONCATENATE(Tableau1[[#This Row],[Usine]],"-",Tableau1[[#This Row],[Semaine 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0.bin"/><Relationship Id="rId1" Type="http://schemas.openxmlformats.org/officeDocument/2006/relationships/pivotTable" Target="../pivotTables/pivotTable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1.bin"/><Relationship Id="rId1" Type="http://schemas.openxmlformats.org/officeDocument/2006/relationships/pivotTable" Target="../pivotTables/pivotTable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12.bin"/><Relationship Id="rId1" Type="http://schemas.openxmlformats.org/officeDocument/2006/relationships/pivotTable" Target="../pivotTables/pivot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7AAFD-52A9-4428-9B56-AFA7F65AD0E2}">
  <sheetPr>
    <tabColor rgb="FFFF0000"/>
  </sheetPr>
  <dimension ref="A2:D18"/>
  <sheetViews>
    <sheetView workbookViewId="0">
      <selection activeCell="D6" sqref="D6"/>
    </sheetView>
  </sheetViews>
  <sheetFormatPr baseColWidth="10" defaultRowHeight="14.4" x14ac:dyDescent="0.3"/>
  <cols>
    <col min="1" max="1" width="21.77734375" bestFit="1" customWidth="1"/>
    <col min="2" max="2" width="9" bestFit="1" customWidth="1"/>
    <col min="3" max="3" width="19" bestFit="1" customWidth="1"/>
    <col min="4" max="4" width="22.88671875" bestFit="1" customWidth="1"/>
    <col min="5" max="5" width="31.5546875" bestFit="1" customWidth="1"/>
    <col min="6" max="6" width="27.6640625" bestFit="1" customWidth="1"/>
    <col min="7" max="7" width="17.21875" bestFit="1" customWidth="1"/>
    <col min="8" max="8" width="31.5546875" bestFit="1" customWidth="1"/>
    <col min="9" max="9" width="27.6640625" bestFit="1" customWidth="1"/>
    <col min="10" max="10" width="17.21875" bestFit="1" customWidth="1"/>
    <col min="11" max="11" width="31.5546875" bestFit="1" customWidth="1"/>
    <col min="12" max="12" width="27.6640625" bestFit="1" customWidth="1"/>
    <col min="13" max="13" width="17.21875" bestFit="1" customWidth="1"/>
    <col min="14" max="14" width="31.5546875" bestFit="1" customWidth="1"/>
    <col min="15" max="15" width="27.6640625" bestFit="1" customWidth="1"/>
    <col min="16" max="16" width="17.21875" bestFit="1" customWidth="1"/>
    <col min="17" max="17" width="31.5546875" bestFit="1" customWidth="1"/>
    <col min="18" max="18" width="27.6640625" bestFit="1" customWidth="1"/>
    <col min="19" max="19" width="17.21875" bestFit="1" customWidth="1"/>
    <col min="20" max="20" width="31.5546875" bestFit="1" customWidth="1"/>
    <col min="21" max="21" width="27.6640625" bestFit="1" customWidth="1"/>
    <col min="22" max="22" width="17.21875" bestFit="1" customWidth="1"/>
    <col min="23" max="23" width="31.5546875" bestFit="1" customWidth="1"/>
    <col min="24" max="24" width="27.6640625" bestFit="1" customWidth="1"/>
    <col min="25" max="25" width="17.21875" bestFit="1" customWidth="1"/>
    <col min="26" max="26" width="31.5546875" bestFit="1" customWidth="1"/>
    <col min="27" max="27" width="27.6640625" bestFit="1" customWidth="1"/>
    <col min="28" max="28" width="17.21875" bestFit="1" customWidth="1"/>
    <col min="29" max="29" width="31.5546875" bestFit="1" customWidth="1"/>
    <col min="30" max="30" width="27.6640625" bestFit="1" customWidth="1"/>
    <col min="31" max="31" width="17.21875" bestFit="1" customWidth="1"/>
    <col min="32" max="32" width="31.5546875" bestFit="1" customWidth="1"/>
    <col min="33" max="33" width="27.6640625" bestFit="1" customWidth="1"/>
    <col min="34" max="34" width="17.21875" bestFit="1" customWidth="1"/>
    <col min="35" max="35" width="36.21875" bestFit="1" customWidth="1"/>
    <col min="36" max="36" width="32.44140625" bestFit="1" customWidth="1"/>
    <col min="37" max="37" width="22" bestFit="1" customWidth="1"/>
  </cols>
  <sheetData>
    <row r="2" spans="1:4" x14ac:dyDescent="0.3">
      <c r="A2" s="12" t="s">
        <v>19</v>
      </c>
      <c r="B2" t="s">
        <v>18</v>
      </c>
    </row>
    <row r="4" spans="1:4" x14ac:dyDescent="0.3">
      <c r="A4" s="12" t="s">
        <v>15</v>
      </c>
      <c r="B4" t="s">
        <v>22</v>
      </c>
      <c r="C4" t="s">
        <v>24</v>
      </c>
      <c r="D4" t="s">
        <v>23</v>
      </c>
    </row>
    <row r="5" spans="1:4" x14ac:dyDescent="0.3">
      <c r="A5" s="13" t="s">
        <v>14</v>
      </c>
      <c r="B5" s="14">
        <v>533.75</v>
      </c>
      <c r="C5" s="14">
        <v>617.5</v>
      </c>
      <c r="D5" s="14">
        <v>771.5</v>
      </c>
    </row>
    <row r="6" spans="1:4" x14ac:dyDescent="0.3">
      <c r="A6" s="13" t="s">
        <v>5</v>
      </c>
      <c r="B6" s="14">
        <v>663.25</v>
      </c>
      <c r="C6" s="14">
        <v>87</v>
      </c>
      <c r="D6" s="14">
        <v>394</v>
      </c>
    </row>
    <row r="7" spans="1:4" x14ac:dyDescent="0.3">
      <c r="A7" s="13" t="s">
        <v>6</v>
      </c>
      <c r="B7" s="14">
        <v>477.5</v>
      </c>
      <c r="C7" s="14">
        <v>449.81</v>
      </c>
      <c r="D7" s="14">
        <v>143.5</v>
      </c>
    </row>
    <row r="8" spans="1:4" x14ac:dyDescent="0.3">
      <c r="A8" s="13" t="s">
        <v>7</v>
      </c>
      <c r="B8" s="14">
        <v>109</v>
      </c>
      <c r="C8" s="14">
        <v>431</v>
      </c>
      <c r="D8" s="14">
        <v>221.5</v>
      </c>
    </row>
    <row r="9" spans="1:4" x14ac:dyDescent="0.3">
      <c r="A9" s="13" t="s">
        <v>8</v>
      </c>
      <c r="B9" s="14">
        <v>1214</v>
      </c>
      <c r="C9" s="14">
        <v>1074</v>
      </c>
      <c r="D9" s="14">
        <v>763.75</v>
      </c>
    </row>
    <row r="10" spans="1:4" x14ac:dyDescent="0.3">
      <c r="A10" s="13" t="s">
        <v>9</v>
      </c>
      <c r="B10" s="14">
        <v>110.5</v>
      </c>
      <c r="C10" s="14">
        <v>62</v>
      </c>
      <c r="D10" s="14">
        <v>289.25</v>
      </c>
    </row>
    <row r="11" spans="1:4" x14ac:dyDescent="0.3">
      <c r="A11" s="13" t="s">
        <v>17</v>
      </c>
      <c r="B11" s="14"/>
      <c r="C11" s="14">
        <v>58.5</v>
      </c>
      <c r="D11" s="14">
        <v>2.5</v>
      </c>
    </row>
    <row r="12" spans="1:4" x14ac:dyDescent="0.3">
      <c r="A12" s="13" t="s">
        <v>10</v>
      </c>
      <c r="B12" s="14">
        <v>9213</v>
      </c>
      <c r="C12" s="14">
        <v>3245.25</v>
      </c>
      <c r="D12" s="14">
        <v>2279.75</v>
      </c>
    </row>
    <row r="13" spans="1:4" x14ac:dyDescent="0.3">
      <c r="A13" s="13" t="s">
        <v>11</v>
      </c>
      <c r="B13" s="14">
        <v>1449.5</v>
      </c>
      <c r="C13" s="14">
        <v>2854</v>
      </c>
      <c r="D13" s="14">
        <v>1025.25</v>
      </c>
    </row>
    <row r="14" spans="1:4" x14ac:dyDescent="0.3">
      <c r="A14" s="13" t="s">
        <v>12</v>
      </c>
      <c r="B14" s="14">
        <v>657</v>
      </c>
      <c r="C14" s="14">
        <v>3660.75</v>
      </c>
      <c r="D14" s="14">
        <v>1656.5</v>
      </c>
    </row>
    <row r="15" spans="1:4" x14ac:dyDescent="0.3">
      <c r="A15" s="13" t="s">
        <v>13</v>
      </c>
      <c r="B15" s="14">
        <v>861.75</v>
      </c>
      <c r="C15" s="14">
        <v>599.5</v>
      </c>
      <c r="D15" s="14">
        <v>362.5</v>
      </c>
    </row>
    <row r="16" spans="1:4" x14ac:dyDescent="0.3">
      <c r="A16" s="13" t="s">
        <v>25</v>
      </c>
      <c r="B16" s="14"/>
      <c r="C16" s="14">
        <v>6</v>
      </c>
      <c r="D16" s="14">
        <v>1.5</v>
      </c>
    </row>
    <row r="17" spans="1:4" x14ac:dyDescent="0.3">
      <c r="A17" s="13" t="s">
        <v>33</v>
      </c>
      <c r="B17" s="14"/>
      <c r="C17" s="14"/>
      <c r="D17" s="14"/>
    </row>
    <row r="18" spans="1:4" x14ac:dyDescent="0.3">
      <c r="A18" s="13" t="s">
        <v>16</v>
      </c>
      <c r="B18" s="14">
        <v>15289.25</v>
      </c>
      <c r="C18" s="14">
        <v>13145.31</v>
      </c>
      <c r="D18" s="14">
        <v>7911.5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894D2-A505-48EB-99DF-01AB0172B05A}">
  <sheetPr>
    <tabColor rgb="FFFF0000"/>
  </sheetPr>
  <dimension ref="A2:M16"/>
  <sheetViews>
    <sheetView showGridLines="0" zoomScale="80" zoomScaleNormal="80" workbookViewId="0">
      <selection activeCell="G46" sqref="G46"/>
    </sheetView>
  </sheetViews>
  <sheetFormatPr baseColWidth="10" defaultRowHeight="14.4" x14ac:dyDescent="0.3"/>
  <cols>
    <col min="3" max="3" width="23" customWidth="1"/>
    <col min="4" max="4" width="23.33203125" customWidth="1"/>
    <col min="7" max="7" width="21.44140625" bestFit="1" customWidth="1"/>
    <col min="8" max="8" width="25.33203125" bestFit="1" customWidth="1"/>
  </cols>
  <sheetData>
    <row r="2" spans="1:13" ht="17.399999999999999" x14ac:dyDescent="0.3">
      <c r="A2" s="35" t="s">
        <v>34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4" spans="1:13" x14ac:dyDescent="0.3">
      <c r="A4" t="s">
        <v>26</v>
      </c>
      <c r="B4" t="s">
        <v>4</v>
      </c>
      <c r="C4" t="s">
        <v>28</v>
      </c>
      <c r="D4" t="s">
        <v>29</v>
      </c>
      <c r="E4" t="s">
        <v>30</v>
      </c>
      <c r="F4" t="s">
        <v>31</v>
      </c>
      <c r="G4" t="s">
        <v>27</v>
      </c>
      <c r="H4" t="s">
        <v>32</v>
      </c>
    </row>
    <row r="5" spans="1:13" x14ac:dyDescent="0.3">
      <c r="A5" s="13" t="s">
        <v>14</v>
      </c>
      <c r="B5" s="14">
        <f>GETPIVOTDATA("Planifié  ",'Global en heures'!$A$4,"Usine","#N/A")</f>
        <v>533.75</v>
      </c>
      <c r="C5" s="14">
        <f>GETPIVOTDATA("Non Planifié : Urgent ",'Global en heures'!$A$4,"Usine","#N/A")</f>
        <v>617.5</v>
      </c>
      <c r="D5" s="14">
        <f>GETPIVOTDATA("Non Planifié : Non urgent ",'Global en heures'!$A$4,"Usine","#N/A")</f>
        <v>771.5</v>
      </c>
      <c r="E5" s="14">
        <f>SUM(Tableau3[[#This Row],[Planifié ]:[Non planifié non urgent ]])</f>
        <v>1922.75</v>
      </c>
      <c r="F5" s="18">
        <f>Tableau3[[#This Row],[Planifié ]]/Tableau3[[#This Row],[Total]]</f>
        <v>0.27759719152255885</v>
      </c>
      <c r="G5" s="18">
        <f>Tableau3[[#This Row],[Non Planifié urgent ]]/Tableau3[[#This Row],[Total]]</f>
        <v>0.32115459628136783</v>
      </c>
      <c r="H5" s="18">
        <f>Tableau3[[#This Row],[Non planifié non urgent ]]/Tableau3[[#This Row],[Total]]</f>
        <v>0.40124821219607332</v>
      </c>
    </row>
    <row r="6" spans="1:13" x14ac:dyDescent="0.3">
      <c r="A6" s="13" t="s">
        <v>5</v>
      </c>
      <c r="B6" s="14">
        <f>GETPIVOTDATA("Planifié  ",'Global en heures'!$A$4,"Usine","Autres")</f>
        <v>663.25</v>
      </c>
      <c r="C6" s="14">
        <f>GETPIVOTDATA("Non Planifié : Urgent ",'Global en heures'!$A$4,"Usine","Autres")</f>
        <v>87</v>
      </c>
      <c r="D6" s="14">
        <f>GETPIVOTDATA("Non Planifié : Non urgent ",'Global en heures'!$A$4,"Usine","Autres")</f>
        <v>394</v>
      </c>
      <c r="E6" s="14">
        <f>SUM(Tableau3[[#This Row],[Planifié ]:[Non planifié non urgent ]])</f>
        <v>1144.25</v>
      </c>
      <c r="F6" s="18">
        <f>Tableau3[[#This Row],[Planifié ]]/Tableau3[[#This Row],[Total]]</f>
        <v>0.57963731701988197</v>
      </c>
      <c r="G6" s="18">
        <f>Tableau3[[#This Row],[Non Planifié urgent ]]/Tableau3[[#This Row],[Total]]</f>
        <v>7.6032335590998465E-2</v>
      </c>
      <c r="H6" s="18">
        <f>Tableau3[[#This Row],[Non planifié non urgent ]]/Tableau3[[#This Row],[Total]]</f>
        <v>0.3443303473891195</v>
      </c>
    </row>
    <row r="7" spans="1:13" x14ac:dyDescent="0.3">
      <c r="A7" s="13" t="s">
        <v>6</v>
      </c>
      <c r="B7" s="14">
        <f>GETPIVOTDATA("Planifié  ",'Global en heures'!$A$4,"Usine","Biamonique")</f>
        <v>477.5</v>
      </c>
      <c r="C7" s="14">
        <f>GETPIVOTDATA("Non Planifié : Urgent ",'Global en heures'!$A$4,"Usine","Biamonique")</f>
        <v>449.81</v>
      </c>
      <c r="D7" s="14">
        <f>GETPIVOTDATA("Non Planifié : Non urgent ",'Global en heures'!$A$4,"Usine","Biamonique")</f>
        <v>143.5</v>
      </c>
      <c r="E7" s="14">
        <f>SUM(Tableau3[[#This Row],[Planifié ]:[Non planifié non urgent ]])</f>
        <v>1070.81</v>
      </c>
      <c r="F7" s="18">
        <f>Tableau3[[#This Row],[Planifié ]]/Tableau3[[#This Row],[Total]]</f>
        <v>0.44592411352153977</v>
      </c>
      <c r="G7" s="18">
        <f>Tableau3[[#This Row],[Non Planifié urgent ]]/Tableau3[[#This Row],[Total]]</f>
        <v>0.42006518429973572</v>
      </c>
      <c r="H7" s="18">
        <f>Tableau3[[#This Row],[Non planifié non urgent ]]/Tableau3[[#This Row],[Total]]</f>
        <v>0.13401070217872452</v>
      </c>
    </row>
    <row r="8" spans="1:13" x14ac:dyDescent="0.3">
      <c r="A8" s="13" t="s">
        <v>7</v>
      </c>
      <c r="B8" s="14">
        <f>GETPIVOTDATA("Planifié  ",'Global en heures'!$A$4,"Usine","D1")</f>
        <v>109</v>
      </c>
      <c r="C8" s="14">
        <f>GETPIVOTDATA("Non Planifié : Urgent ",'Global en heures'!$A$4,"Usine","D1")</f>
        <v>431</v>
      </c>
      <c r="D8" s="14">
        <f>GETPIVOTDATA("Non Planifié : Non urgent ",'Global en heures'!$A$4,"Usine","D1")</f>
        <v>221.5</v>
      </c>
      <c r="E8" s="14">
        <f>SUM(Tableau3[[#This Row],[Planifié ]:[Non planifié non urgent ]])</f>
        <v>761.5</v>
      </c>
      <c r="F8" s="18">
        <f>Tableau3[[#This Row],[Planifié ]]/Tableau3[[#This Row],[Total]]</f>
        <v>0.14313854235062376</v>
      </c>
      <c r="G8" s="18">
        <f>Tableau3[[#This Row],[Non Planifié urgent ]]/Tableau3[[#This Row],[Total]]</f>
        <v>0.56598818122127381</v>
      </c>
      <c r="H8" s="18">
        <f>Tableau3[[#This Row],[Non planifié non urgent ]]/Tableau3[[#This Row],[Total]]</f>
        <v>0.29087327642810246</v>
      </c>
    </row>
    <row r="9" spans="1:13" x14ac:dyDescent="0.3">
      <c r="A9" s="13" t="s">
        <v>8</v>
      </c>
      <c r="B9" s="14">
        <f>GETPIVOTDATA("Planifié  ",'Global en heures'!$A$4,"Usine","Engrais")</f>
        <v>1214</v>
      </c>
      <c r="C9" s="14">
        <f>GETPIVOTDATA("Non Planifié : Urgent ",'Global en heures'!$A$4,"Usine","Engrais")</f>
        <v>1074</v>
      </c>
      <c r="D9" s="14">
        <f>GETPIVOTDATA("Non Planifié : Non urgent ",'Global en heures'!$A$4,"Usine","Engrais")</f>
        <v>763.75</v>
      </c>
      <c r="E9" s="14">
        <f>SUM(Tableau3[[#This Row],[Planifié ]:[Non planifié non urgent ]])</f>
        <v>3051.75</v>
      </c>
      <c r="F9" s="18">
        <f>Tableau3[[#This Row],[Planifié ]]/Tableau3[[#This Row],[Total]]</f>
        <v>0.39780453837961827</v>
      </c>
      <c r="G9" s="18">
        <f>Tableau3[[#This Row],[Non Planifié urgent ]]/Tableau3[[#This Row],[Total]]</f>
        <v>0.35192922093880558</v>
      </c>
      <c r="H9" s="18">
        <f>Tableau3[[#This Row],[Non planifié non urgent ]]/Tableau3[[#This Row],[Total]]</f>
        <v>0.25026624068157616</v>
      </c>
    </row>
    <row r="10" spans="1:13" x14ac:dyDescent="0.3">
      <c r="A10" s="13" t="s">
        <v>9</v>
      </c>
      <c r="B10" s="14">
        <f>GETPIVOTDATA("Planifié  ",'Global en heures'!$A$4,"Usine","Entretien")</f>
        <v>110.5</v>
      </c>
      <c r="C10" s="14">
        <f>GETPIVOTDATA("Non Planifié : Urgent ",'Global en heures'!$A$4,"Usine","Entretien")</f>
        <v>62</v>
      </c>
      <c r="D10" s="14">
        <f>GETPIVOTDATA("Non Planifié : Non urgent ",'Global en heures'!$A$4,"Usine","Entretien")</f>
        <v>289.25</v>
      </c>
      <c r="E10" s="14">
        <f>SUM(Tableau3[[#This Row],[Planifié ]:[Non planifié non urgent ]])</f>
        <v>461.75</v>
      </c>
      <c r="F10" s="18">
        <f>Tableau3[[#This Row],[Planifié ]]/Tableau3[[#This Row],[Total]]</f>
        <v>0.23930698429886302</v>
      </c>
      <c r="G10" s="18">
        <f>Tableau3[[#This Row],[Non Planifié urgent ]]/Tableau3[[#This Row],[Total]]</f>
        <v>0.13427179209528967</v>
      </c>
      <c r="H10" s="18">
        <f>Tableau3[[#This Row],[Non planifié non urgent ]]/Tableau3[[#This Row],[Total]]</f>
        <v>0.62642122360584729</v>
      </c>
    </row>
    <row r="11" spans="1:13" x14ac:dyDescent="0.3">
      <c r="A11" s="13" t="s">
        <v>17</v>
      </c>
      <c r="B11" s="14">
        <f>GETPIVOTDATA("Planifié  ",'Global en heures'!$A$4,"Usine","Hydro")</f>
        <v>0</v>
      </c>
      <c r="C11" s="14">
        <f>GETPIVOTDATA("Non Planifié : Urgent ",'Global en heures'!$A$4,"Usine","Hydro")</f>
        <v>58.5</v>
      </c>
      <c r="D11" s="14">
        <f>GETPIVOTDATA("Non Planifié : Non urgent ",'Global en heures'!$A$4,"Usine","Hydro")</f>
        <v>2.5</v>
      </c>
      <c r="E11" s="14">
        <f>SUM(Tableau3[[#This Row],[Planifié ]:[Non planifié non urgent ]])</f>
        <v>61</v>
      </c>
      <c r="F11" s="18">
        <f>Tableau3[[#This Row],[Planifié ]]/Tableau3[[#This Row],[Total]]</f>
        <v>0</v>
      </c>
      <c r="G11" s="18">
        <f>Tableau3[[#This Row],[Non Planifié urgent ]]/Tableau3[[#This Row],[Total]]</f>
        <v>0.95901639344262291</v>
      </c>
      <c r="H11" s="18">
        <f>Tableau3[[#This Row],[Non planifié non urgent ]]/Tableau3[[#This Row],[Total]]</f>
        <v>4.0983606557377046E-2</v>
      </c>
    </row>
    <row r="12" spans="1:13" x14ac:dyDescent="0.3">
      <c r="A12" s="13" t="s">
        <v>10</v>
      </c>
      <c r="B12" s="14">
        <f>GETPIVOTDATA("Planifié  ",'Global en heures'!$A$4,"Usine","P2O5")</f>
        <v>9213</v>
      </c>
      <c r="C12" s="14">
        <f>GETPIVOTDATA("Non Planifié : Urgent ",'Global en heures'!$A$4,"Usine","P2O5")</f>
        <v>3245.25</v>
      </c>
      <c r="D12" s="14">
        <f>GETPIVOTDATA("Non Planifié : Non urgent ",'Global en heures'!$A$4,"Usine","P2O5")</f>
        <v>2279.75</v>
      </c>
      <c r="E12" s="14">
        <f>SUM(Tableau3[[#This Row],[Planifié ]:[Non planifié non urgent ]])</f>
        <v>14738</v>
      </c>
      <c r="F12" s="18">
        <f>Tableau3[[#This Row],[Planifié ]]/Tableau3[[#This Row],[Total]]</f>
        <v>0.62511874067037587</v>
      </c>
      <c r="G12" s="18">
        <f>Tableau3[[#This Row],[Non Planifié urgent ]]/Tableau3[[#This Row],[Total]]</f>
        <v>0.22019609173564933</v>
      </c>
      <c r="H12" s="18">
        <f>Tableau3[[#This Row],[Non planifié non urgent ]]/Tableau3[[#This Row],[Total]]</f>
        <v>0.15468516759397477</v>
      </c>
    </row>
    <row r="13" spans="1:13" x14ac:dyDescent="0.3">
      <c r="A13" s="13" t="s">
        <v>11</v>
      </c>
      <c r="B13" s="14">
        <f>GETPIVOTDATA("Planifié  ",'Global en heures'!$A$4,"Usine","PTA")</f>
        <v>1449.5</v>
      </c>
      <c r="C13" s="14">
        <f>GETPIVOTDATA("Non Planifié : Urgent ",'Global en heures'!$A$4,"Usine","PTA")</f>
        <v>2854</v>
      </c>
      <c r="D13" s="14">
        <f>GETPIVOTDATA("Non Planifié : Non urgent ",'Global en heures'!$A$4,"Usine","PTA")</f>
        <v>1025.25</v>
      </c>
      <c r="E13" s="14">
        <f>SUM(Tableau3[[#This Row],[Planifié ]:[Non planifié non urgent ]])</f>
        <v>5328.75</v>
      </c>
      <c r="F13" s="18">
        <f>Tableau3[[#This Row],[Planifié ]]/Tableau3[[#This Row],[Total]]</f>
        <v>0.27201501290171243</v>
      </c>
      <c r="G13" s="18">
        <f>Tableau3[[#This Row],[Non Planifié urgent ]]/Tableau3[[#This Row],[Total]]</f>
        <v>0.53558526859019473</v>
      </c>
      <c r="H13" s="18">
        <f>Tableau3[[#This Row],[Non planifié non urgent ]]/Tableau3[[#This Row],[Total]]</f>
        <v>0.1923997185080929</v>
      </c>
    </row>
    <row r="14" spans="1:13" x14ac:dyDescent="0.3">
      <c r="A14" s="13" t="s">
        <v>12</v>
      </c>
      <c r="B14" s="14">
        <f>GETPIVOTDATA("Planifié  ",'Global en heures'!$A$4,"Usine","Soufre &amp; Energie - Sulfine")</f>
        <v>657</v>
      </c>
      <c r="C14" s="14">
        <f>GETPIVOTDATA("Non Planifié : Urgent ",'Global en heures'!$A$4,"Usine","Soufre &amp; Energie - Sulfine")</f>
        <v>3660.75</v>
      </c>
      <c r="D14" s="14">
        <f>GETPIVOTDATA("Non Planifié : Non urgent ",'Global en heures'!$A$4,"Usine","Soufre &amp; Energie - Sulfine")</f>
        <v>1656.5</v>
      </c>
      <c r="E14" s="14">
        <f>SUM(Tableau3[[#This Row],[Planifié ]:[Non planifié non urgent ]])</f>
        <v>5974.25</v>
      </c>
      <c r="F14" s="18">
        <f>Tableau3[[#This Row],[Planifié ]]/Tableau3[[#This Row],[Total]]</f>
        <v>0.10997196300790894</v>
      </c>
      <c r="G14" s="18">
        <f>Tableau3[[#This Row],[Non Planifié urgent ]]/Tableau3[[#This Row],[Total]]</f>
        <v>0.61275473908858857</v>
      </c>
      <c r="H14" s="18">
        <f>Tableau3[[#This Row],[Non planifié non urgent ]]/Tableau3[[#This Row],[Total]]</f>
        <v>0.27727329790350252</v>
      </c>
    </row>
    <row r="15" spans="1:13" x14ac:dyDescent="0.3">
      <c r="A15" s="13" t="s">
        <v>13</v>
      </c>
      <c r="B15" s="14">
        <f>GETPIVOTDATA("Planifié  ",'Global en heures'!$A$4,"Usine","Zéoline")</f>
        <v>861.75</v>
      </c>
      <c r="C15" s="14">
        <f>GETPIVOTDATA("Non Planifié : Urgent ",'Global en heures'!$A$4,"Usine","Zéoline")</f>
        <v>599.5</v>
      </c>
      <c r="D15" s="14">
        <f>GETPIVOTDATA("Non Planifié : Non urgent ",'Global en heures'!$A$4,"Usine","Zéoline")</f>
        <v>362.5</v>
      </c>
      <c r="E15" s="14">
        <f>SUM(Tableau3[[#This Row],[Planifié ]:[Non planifié non urgent ]])</f>
        <v>1823.75</v>
      </c>
      <c r="F15" s="18">
        <f>Tableau3[[#This Row],[Planifié ]]/Tableau3[[#This Row],[Total]]</f>
        <v>0.47251542152159015</v>
      </c>
      <c r="G15" s="18">
        <f>Tableau3[[#This Row],[Non Planifié urgent ]]/Tableau3[[#This Row],[Total]]</f>
        <v>0.32871830020562026</v>
      </c>
      <c r="H15" s="18">
        <f>Tableau3[[#This Row],[Non planifié non urgent ]]/Tableau3[[#This Row],[Total]]</f>
        <v>0.19876627827278959</v>
      </c>
    </row>
    <row r="16" spans="1:13" x14ac:dyDescent="0.3">
      <c r="A16" s="13" t="s">
        <v>25</v>
      </c>
      <c r="B16" s="14">
        <f>GETPIVOTDATA("Planifié  ",'Global en heures'!$A$4,"Usine","Silox")</f>
        <v>0</v>
      </c>
      <c r="C16" s="14">
        <f>GETPIVOTDATA("Non Planifié : Urgent ",'Global en heures'!$A$4,"Usine","Silox")</f>
        <v>6</v>
      </c>
      <c r="D16" s="14">
        <f>GETPIVOTDATA("Non Planifié : Non urgent ",'Global en heures'!$A$4,"Usine","Silox")</f>
        <v>1.5</v>
      </c>
      <c r="E16" s="14">
        <f>SUM(Tableau3[[#This Row],[Planifié ]:[Non planifié non urgent ]])</f>
        <v>7.5</v>
      </c>
      <c r="F16" s="18">
        <f>Tableau3[[#This Row],[Planifié ]]/Tableau3[[#This Row],[Total]]</f>
        <v>0</v>
      </c>
      <c r="G16" s="18">
        <f>Tableau3[[#This Row],[Non Planifié urgent ]]/Tableau3[[#This Row],[Total]]</f>
        <v>0.8</v>
      </c>
      <c r="H16" s="18">
        <f>Tableau3[[#This Row],[Non planifié non urgent ]]/Tableau3[[#This Row],[Total]]</f>
        <v>0.2</v>
      </c>
    </row>
  </sheetData>
  <mergeCells count="1">
    <mergeCell ref="A2:M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FAC39-5575-4871-BFA4-D2FE5AE3D8A4}">
  <sheetPr>
    <tabColor rgb="FFFF0000"/>
  </sheetPr>
  <dimension ref="B1:N1"/>
  <sheetViews>
    <sheetView showGridLines="0" topLeftCell="A69" workbookViewId="0">
      <selection activeCell="S71" sqref="S71"/>
    </sheetView>
  </sheetViews>
  <sheetFormatPr baseColWidth="10" defaultRowHeight="14.4" x14ac:dyDescent="0.3"/>
  <cols>
    <col min="1" max="1" width="4.5546875" customWidth="1"/>
    <col min="8" max="8" width="3.44140625" customWidth="1"/>
  </cols>
  <sheetData>
    <row r="1" spans="2:14" ht="15.6" x14ac:dyDescent="0.3">
      <c r="B1" s="36" t="s">
        <v>53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</sheetData>
  <mergeCells count="1">
    <mergeCell ref="B1:N1"/>
  </mergeCells>
  <pageMargins left="0.7" right="0.7" top="0.75" bottom="0.75" header="0.3" footer="0.3"/>
  <drawing r:id="rId1"/>
  <webPublishItems count="1">
    <webPublishItem id="16706" divId="01 - KPI annuel - par division de production_16706" sourceType="range" sourceRef="B1:N97" destinationFile="Z:\Usine Engis\SiteWebKPIUsineEngis\Mois en cours\Maintenance\Planification\Planification par division de production.htm"/>
  </webPublishItem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F17D9-5FD1-41B3-A305-2BE2CC88E9B4}">
  <sheetPr>
    <tabColor theme="9"/>
  </sheetPr>
  <dimension ref="A1:L10"/>
  <sheetViews>
    <sheetView tabSelected="1" workbookViewId="0">
      <selection activeCell="C13" sqref="C13"/>
    </sheetView>
  </sheetViews>
  <sheetFormatPr baseColWidth="10" defaultRowHeight="14.4" x14ac:dyDescent="0.3"/>
  <cols>
    <col min="1" max="1" width="19.5546875" bestFit="1" customWidth="1"/>
    <col min="2" max="2" width="17.21875" bestFit="1" customWidth="1"/>
    <col min="3" max="3" width="31.5546875" bestFit="1" customWidth="1"/>
    <col min="4" max="4" width="27.6640625" bestFit="1" customWidth="1"/>
    <col min="5" max="7" width="8" bestFit="1" customWidth="1"/>
    <col min="8" max="9" width="13.21875" customWidth="1"/>
    <col min="10" max="10" width="13.88671875" customWidth="1"/>
    <col min="11" max="11" width="16.5546875" customWidth="1"/>
    <col min="12" max="12" width="11" bestFit="1" customWidth="1"/>
    <col min="13" max="14" width="8" bestFit="1" customWidth="1"/>
    <col min="15" max="15" width="31.5546875" bestFit="1" customWidth="1"/>
    <col min="16" max="16" width="8" bestFit="1" customWidth="1"/>
    <col min="17" max="18" width="7" bestFit="1" customWidth="1"/>
    <col min="19" max="19" width="8" bestFit="1" customWidth="1"/>
    <col min="20" max="20" width="6" bestFit="1" customWidth="1"/>
    <col min="21" max="21" width="22" bestFit="1" customWidth="1"/>
    <col min="22" max="22" width="32.44140625" bestFit="1" customWidth="1"/>
    <col min="23" max="23" width="36.21875" bestFit="1" customWidth="1"/>
    <col min="24" max="26" width="3" bestFit="1" customWidth="1"/>
    <col min="27" max="27" width="6" bestFit="1" customWidth="1"/>
    <col min="28" max="28" width="5" bestFit="1" customWidth="1"/>
    <col min="29" max="29" width="4" bestFit="1" customWidth="1"/>
    <col min="30" max="30" width="5" bestFit="1" customWidth="1"/>
    <col min="31" max="31" width="5.88671875" bestFit="1" customWidth="1"/>
    <col min="32" max="32" width="10.5546875" bestFit="1" customWidth="1"/>
    <col min="33" max="33" width="11.88671875" bestFit="1" customWidth="1"/>
    <col min="34" max="34" width="7.88671875" bestFit="1" customWidth="1"/>
    <col min="35" max="35" width="8.21875" bestFit="1" customWidth="1"/>
    <col min="36" max="36" width="5" bestFit="1" customWidth="1"/>
    <col min="37" max="37" width="7.6640625" bestFit="1" customWidth="1"/>
    <col min="38" max="38" width="5.88671875" bestFit="1" customWidth="1"/>
    <col min="39" max="39" width="7.6640625" bestFit="1" customWidth="1"/>
    <col min="40" max="40" width="5" bestFit="1" customWidth="1"/>
    <col min="41" max="41" width="7.6640625" bestFit="1" customWidth="1"/>
    <col min="42" max="42" width="5.88671875" bestFit="1" customWidth="1"/>
    <col min="43" max="43" width="7.6640625" bestFit="1" customWidth="1"/>
    <col min="44" max="44" width="8" bestFit="1" customWidth="1"/>
    <col min="45" max="45" width="10.21875" bestFit="1" customWidth="1"/>
    <col min="46" max="46" width="7" bestFit="1" customWidth="1"/>
    <col min="47" max="47" width="9.21875" bestFit="1" customWidth="1"/>
    <col min="48" max="48" width="5" bestFit="1" customWidth="1"/>
    <col min="49" max="49" width="7.6640625" bestFit="1" customWidth="1"/>
    <col min="50" max="50" width="7" bestFit="1" customWidth="1"/>
    <col min="51" max="51" width="9.21875" bestFit="1" customWidth="1"/>
    <col min="52" max="52" width="7.88671875" bestFit="1" customWidth="1"/>
    <col min="53" max="54" width="10.5546875" bestFit="1" customWidth="1"/>
    <col min="55" max="55" width="11.88671875" bestFit="1" customWidth="1"/>
  </cols>
  <sheetData>
    <row r="1" spans="1:12" x14ac:dyDescent="0.3">
      <c r="A1" s="12" t="s">
        <v>1</v>
      </c>
      <c r="B1" t="s">
        <v>6</v>
      </c>
    </row>
    <row r="2" spans="1:12" ht="15" thickBot="1" x14ac:dyDescent="0.35"/>
    <row r="3" spans="1:12" ht="15" thickBot="1" x14ac:dyDescent="0.35">
      <c r="A3" s="12" t="s">
        <v>15</v>
      </c>
      <c r="B3" t="s">
        <v>38</v>
      </c>
      <c r="C3" t="s">
        <v>36</v>
      </c>
      <c r="D3" t="s">
        <v>37</v>
      </c>
      <c r="H3" s="29" t="s">
        <v>47</v>
      </c>
      <c r="I3" s="32" t="s">
        <v>51</v>
      </c>
      <c r="J3" s="30" t="s">
        <v>48</v>
      </c>
      <c r="K3" s="30" t="s">
        <v>49</v>
      </c>
      <c r="L3" s="31" t="s">
        <v>50</v>
      </c>
    </row>
    <row r="4" spans="1:12" x14ac:dyDescent="0.3">
      <c r="A4" s="13" t="s">
        <v>41</v>
      </c>
      <c r="B4" s="14">
        <v>105.5</v>
      </c>
      <c r="C4" s="14">
        <v>11</v>
      </c>
      <c r="D4" s="14">
        <v>61</v>
      </c>
      <c r="H4" s="26">
        <f>SUM(B4:D4)</f>
        <v>177.5</v>
      </c>
      <c r="I4" s="33" t="str">
        <f>A4</f>
        <v>janvier</v>
      </c>
      <c r="J4" s="27">
        <f>GETPIVOTDATA("Somme de Planifié ",$A$3,"Mois texte ","janvier")/H4</f>
        <v>0.59436619718309858</v>
      </c>
      <c r="K4" s="27">
        <f>GETPIVOTDATA("Somme de Non Planifié Non urgent ",$A$3,"Mois texte ","janvier")/H4</f>
        <v>6.1971830985915494E-2</v>
      </c>
      <c r="L4" s="28">
        <f>GETPIVOTDATA("Somme de Non Planifié Urgent ",$A$3,"Mois texte ","janvier")/H4</f>
        <v>0.3436619718309859</v>
      </c>
    </row>
    <row r="5" spans="1:12" x14ac:dyDescent="0.3">
      <c r="A5" s="13" t="s">
        <v>42</v>
      </c>
      <c r="B5" s="14">
        <v>50.5</v>
      </c>
      <c r="C5" s="14">
        <v>35</v>
      </c>
      <c r="D5" s="14">
        <v>105.5</v>
      </c>
      <c r="H5" s="21">
        <f t="shared" ref="H5:H9" si="0">SUM(B5:D5)</f>
        <v>191</v>
      </c>
      <c r="I5" s="33" t="str">
        <f t="shared" ref="I5:I9" si="1">A5</f>
        <v>février</v>
      </c>
      <c r="J5" s="20">
        <f>GETPIVOTDATA("Somme de Planifié ",$A$3,"Mois texte ","février")/H5</f>
        <v>0.26439790575916228</v>
      </c>
      <c r="K5" s="20">
        <f>GETPIVOTDATA("Somme de Non Planifié Non urgent ",$A$3,"Mois texte ","février")/H5</f>
        <v>0.18324607329842932</v>
      </c>
      <c r="L5" s="22">
        <f>GETPIVOTDATA("Somme de Non Planifié Urgent ",$A$3,"Mois texte ","février")/H5</f>
        <v>0.55235602094240843</v>
      </c>
    </row>
    <row r="6" spans="1:12" x14ac:dyDescent="0.3">
      <c r="A6" s="13" t="s">
        <v>43</v>
      </c>
      <c r="B6" s="14">
        <v>68</v>
      </c>
      <c r="C6" s="14">
        <v>42.5</v>
      </c>
      <c r="D6" s="14">
        <v>54.5</v>
      </c>
      <c r="H6" s="21">
        <f t="shared" si="0"/>
        <v>165</v>
      </c>
      <c r="I6" s="33" t="str">
        <f t="shared" si="1"/>
        <v>mars</v>
      </c>
      <c r="J6" s="20">
        <f>GETPIVOTDATA("Somme de Planifié ",$A$3,"Mois texte ","mars")/H6</f>
        <v>0.41212121212121211</v>
      </c>
      <c r="K6" s="20">
        <f>GETPIVOTDATA("Somme de Non Planifié Non urgent ",$A$3,"Mois texte ","mars")/H6</f>
        <v>0.25757575757575757</v>
      </c>
      <c r="L6" s="22">
        <f>GETPIVOTDATA("Somme de Non Planifié Urgent ",$A$3,"Mois texte ","mars")/H6</f>
        <v>0.33030303030303032</v>
      </c>
    </row>
    <row r="7" spans="1:12" x14ac:dyDescent="0.3">
      <c r="A7" s="13" t="s">
        <v>44</v>
      </c>
      <c r="B7" s="14">
        <v>58.5</v>
      </c>
      <c r="C7" s="14">
        <v>19.5</v>
      </c>
      <c r="D7" s="14">
        <v>85.8</v>
      </c>
      <c r="H7" s="21">
        <f t="shared" si="0"/>
        <v>163.80000000000001</v>
      </c>
      <c r="I7" s="33" t="str">
        <f t="shared" si="1"/>
        <v>avril</v>
      </c>
      <c r="J7" s="20">
        <f>GETPIVOTDATA("Somme de Planifié ",$A$3,"Mois texte ","avril")/H7</f>
        <v>0.3571428571428571</v>
      </c>
      <c r="K7" s="20">
        <f>GETPIVOTDATA("Somme de Non Planifié Non urgent ",$A$3,"Mois texte ","avril")/H7</f>
        <v>0.11904761904761904</v>
      </c>
      <c r="L7" s="22">
        <f>GETPIVOTDATA("Somme de Non Planifié Urgent ",$A$3,"Mois texte ","avril")/H7</f>
        <v>0.52380952380952372</v>
      </c>
    </row>
    <row r="8" spans="1:12" x14ac:dyDescent="0.3">
      <c r="A8" s="13" t="s">
        <v>45</v>
      </c>
      <c r="B8" s="14">
        <v>122.5</v>
      </c>
      <c r="C8" s="14">
        <v>27.5</v>
      </c>
      <c r="D8" s="14">
        <v>118.01</v>
      </c>
      <c r="H8" s="21">
        <f t="shared" si="0"/>
        <v>268.01</v>
      </c>
      <c r="I8" s="33" t="str">
        <f t="shared" si="1"/>
        <v>mai</v>
      </c>
      <c r="J8" s="20">
        <f>GETPIVOTDATA("Somme de Planifié ",$A$3,"Mois texte ","mai")/H8</f>
        <v>0.45707249729487709</v>
      </c>
      <c r="K8" s="20">
        <f>GETPIVOTDATA("Somme de Non Planifié Non urgent ",$A$3,"Mois texte ","mai")/H8</f>
        <v>0.10260811163762547</v>
      </c>
      <c r="L8" s="22">
        <f>GETPIVOTDATA("Somme de Non Planifié Urgent ",$A$3,"Mois texte ","mai")/H8</f>
        <v>0.44031939106749751</v>
      </c>
    </row>
    <row r="9" spans="1:12" ht="15" thickBot="1" x14ac:dyDescent="0.35">
      <c r="A9" s="13" t="s">
        <v>46</v>
      </c>
      <c r="B9" s="14">
        <v>72.5</v>
      </c>
      <c r="C9" s="14">
        <v>8</v>
      </c>
      <c r="D9" s="14">
        <v>25</v>
      </c>
      <c r="H9" s="23">
        <f t="shared" si="0"/>
        <v>105.5</v>
      </c>
      <c r="I9" s="34" t="str">
        <f t="shared" si="1"/>
        <v>juin</v>
      </c>
      <c r="J9" s="24">
        <f>GETPIVOTDATA("Somme de Planifié ",$A$3,"Mois texte ","juin")/H9</f>
        <v>0.6872037914691943</v>
      </c>
      <c r="K9" s="24">
        <f>GETPIVOTDATA("Somme de Non Planifié Non urgent ",$A$3,"Mois texte ","juin")/H9</f>
        <v>7.582938388625593E-2</v>
      </c>
      <c r="L9" s="25">
        <f>GETPIVOTDATA("Somme de Non Planifié Urgent ",$A$3,"Mois texte ","juin")/H9</f>
        <v>0.23696682464454977</v>
      </c>
    </row>
    <row r="10" spans="1:12" x14ac:dyDescent="0.3">
      <c r="A10" s="13" t="s">
        <v>16</v>
      </c>
      <c r="B10" s="14">
        <v>477.5</v>
      </c>
      <c r="C10" s="14">
        <v>143.5</v>
      </c>
      <c r="D10" s="14">
        <v>449.81</v>
      </c>
      <c r="J10" s="19"/>
      <c r="K10" s="19"/>
      <c r="L10" s="19"/>
    </row>
  </sheetData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EE951-8598-4FC2-82BD-F639A7952ACB}">
  <sheetPr>
    <tabColor theme="9"/>
  </sheetPr>
  <dimension ref="A1:L10"/>
  <sheetViews>
    <sheetView workbookViewId="0">
      <selection activeCell="H12" sqref="H12"/>
    </sheetView>
  </sheetViews>
  <sheetFormatPr baseColWidth="10" defaultRowHeight="14.4" x14ac:dyDescent="0.3"/>
  <cols>
    <col min="1" max="1" width="19.5546875" bestFit="1" customWidth="1"/>
    <col min="2" max="2" width="19.44140625" bestFit="1" customWidth="1"/>
    <col min="3" max="3" width="31.5546875" bestFit="1" customWidth="1"/>
    <col min="4" max="4" width="27.6640625" bestFit="1" customWidth="1"/>
    <col min="5" max="7" width="8" bestFit="1" customWidth="1"/>
    <col min="8" max="9" width="13.21875" customWidth="1"/>
    <col min="10" max="10" width="13.88671875" customWidth="1"/>
    <col min="11" max="11" width="16.5546875" customWidth="1"/>
    <col min="12" max="12" width="11" bestFit="1" customWidth="1"/>
    <col min="13" max="14" width="8" bestFit="1" customWidth="1"/>
    <col min="15" max="15" width="31.5546875" bestFit="1" customWidth="1"/>
    <col min="16" max="16" width="8" bestFit="1" customWidth="1"/>
    <col min="17" max="18" width="7" bestFit="1" customWidth="1"/>
    <col min="19" max="19" width="8" bestFit="1" customWidth="1"/>
    <col min="20" max="20" width="6" bestFit="1" customWidth="1"/>
    <col min="21" max="21" width="22" bestFit="1" customWidth="1"/>
    <col min="22" max="22" width="32.44140625" bestFit="1" customWidth="1"/>
    <col min="23" max="23" width="36.21875" bestFit="1" customWidth="1"/>
    <col min="24" max="26" width="3" bestFit="1" customWidth="1"/>
    <col min="27" max="27" width="6" bestFit="1" customWidth="1"/>
    <col min="28" max="28" width="5" bestFit="1" customWidth="1"/>
    <col min="29" max="29" width="4" bestFit="1" customWidth="1"/>
    <col min="30" max="30" width="5" bestFit="1" customWidth="1"/>
    <col min="31" max="31" width="5.88671875" bestFit="1" customWidth="1"/>
    <col min="32" max="32" width="10.5546875" bestFit="1" customWidth="1"/>
    <col min="33" max="33" width="11.88671875" bestFit="1" customWidth="1"/>
    <col min="34" max="34" width="7.88671875" bestFit="1" customWidth="1"/>
    <col min="35" max="35" width="8.21875" bestFit="1" customWidth="1"/>
    <col min="36" max="36" width="5" bestFit="1" customWidth="1"/>
    <col min="37" max="37" width="7.6640625" bestFit="1" customWidth="1"/>
    <col min="38" max="38" width="5.88671875" bestFit="1" customWidth="1"/>
    <col min="39" max="39" width="7.6640625" bestFit="1" customWidth="1"/>
    <col min="40" max="40" width="5" bestFit="1" customWidth="1"/>
    <col min="41" max="41" width="7.6640625" bestFit="1" customWidth="1"/>
    <col min="42" max="42" width="5.88671875" bestFit="1" customWidth="1"/>
    <col min="43" max="43" width="7.6640625" bestFit="1" customWidth="1"/>
    <col min="44" max="44" width="8" bestFit="1" customWidth="1"/>
    <col min="45" max="45" width="10.21875" bestFit="1" customWidth="1"/>
    <col min="46" max="46" width="7" bestFit="1" customWidth="1"/>
    <col min="47" max="47" width="9.21875" bestFit="1" customWidth="1"/>
    <col min="48" max="48" width="5" bestFit="1" customWidth="1"/>
    <col min="49" max="49" width="7.6640625" bestFit="1" customWidth="1"/>
    <col min="50" max="50" width="7" bestFit="1" customWidth="1"/>
    <col min="51" max="51" width="9.21875" bestFit="1" customWidth="1"/>
    <col min="52" max="52" width="7.88671875" bestFit="1" customWidth="1"/>
    <col min="53" max="54" width="10.5546875" bestFit="1" customWidth="1"/>
    <col min="55" max="55" width="11.88671875" bestFit="1" customWidth="1"/>
  </cols>
  <sheetData>
    <row r="1" spans="1:12" x14ac:dyDescent="0.3">
      <c r="A1" s="12" t="s">
        <v>1</v>
      </c>
      <c r="B1" t="s">
        <v>52</v>
      </c>
    </row>
    <row r="2" spans="1:12" ht="15" thickBot="1" x14ac:dyDescent="0.35"/>
    <row r="3" spans="1:12" ht="15" thickBot="1" x14ac:dyDescent="0.35">
      <c r="A3" s="12" t="s">
        <v>15</v>
      </c>
      <c r="B3" t="s">
        <v>38</v>
      </c>
      <c r="C3" t="s">
        <v>36</v>
      </c>
      <c r="D3" t="s">
        <v>37</v>
      </c>
      <c r="H3" s="29" t="s">
        <v>47</v>
      </c>
      <c r="I3" s="32" t="s">
        <v>51</v>
      </c>
      <c r="J3" s="30" t="s">
        <v>48</v>
      </c>
      <c r="K3" s="30" t="s">
        <v>49</v>
      </c>
      <c r="L3" s="31" t="s">
        <v>50</v>
      </c>
    </row>
    <row r="4" spans="1:12" x14ac:dyDescent="0.3">
      <c r="A4" s="13" t="s">
        <v>41</v>
      </c>
      <c r="B4" s="14">
        <v>235</v>
      </c>
      <c r="C4" s="14">
        <v>260.5</v>
      </c>
      <c r="D4" s="14">
        <v>87.5</v>
      </c>
      <c r="H4" s="26">
        <f>SUM(B4:D4)</f>
        <v>583</v>
      </c>
      <c r="I4" s="33" t="str">
        <f>A4</f>
        <v>janvier</v>
      </c>
      <c r="J4" s="27">
        <f>GETPIVOTDATA("Somme de Planifié ",$A$3,"Mois texte ","janvier")/H4</f>
        <v>0.40308747855917665</v>
      </c>
      <c r="K4" s="27">
        <f>GETPIVOTDATA("Somme de Non Planifié Non urgent ",$A$3,"Mois texte ","janvier")/H4</f>
        <v>0.44682675814751288</v>
      </c>
      <c r="L4" s="28">
        <f>GETPIVOTDATA("Somme de Non Planifié Urgent ",$A$3,"Mois texte ","janvier")/H4</f>
        <v>0.15008576329331047</v>
      </c>
    </row>
    <row r="5" spans="1:12" x14ac:dyDescent="0.3">
      <c r="A5" s="13" t="s">
        <v>42</v>
      </c>
      <c r="B5" s="14">
        <v>147</v>
      </c>
      <c r="C5" s="14">
        <v>172.5</v>
      </c>
      <c r="D5" s="14">
        <v>154.5</v>
      </c>
      <c r="H5" s="21">
        <f t="shared" ref="H5:H9" si="0">SUM(B5:D5)</f>
        <v>474</v>
      </c>
      <c r="I5" s="33" t="str">
        <f t="shared" ref="I5:I9" si="1">A5</f>
        <v>février</v>
      </c>
      <c r="J5" s="20">
        <f>GETPIVOTDATA("Somme de Planifié ",$A$3,"Mois texte ","février")/H5</f>
        <v>0.310126582278481</v>
      </c>
      <c r="K5" s="20">
        <f>GETPIVOTDATA("Somme de Non Planifié Non urgent ",$A$3,"Mois texte ","février")/H5</f>
        <v>0.36392405063291139</v>
      </c>
      <c r="L5" s="22">
        <f>GETPIVOTDATA("Somme de Non Planifié Urgent ",$A$3,"Mois texte ","février")/H5</f>
        <v>0.32594936708860761</v>
      </c>
    </row>
    <row r="6" spans="1:12" x14ac:dyDescent="0.3">
      <c r="A6" s="13" t="s">
        <v>43</v>
      </c>
      <c r="B6" s="14">
        <v>270.25</v>
      </c>
      <c r="C6" s="14">
        <v>218.5</v>
      </c>
      <c r="D6" s="14">
        <v>106</v>
      </c>
      <c r="H6" s="21">
        <f t="shared" si="0"/>
        <v>594.75</v>
      </c>
      <c r="I6" s="33" t="str">
        <f t="shared" si="1"/>
        <v>mars</v>
      </c>
      <c r="J6" s="20">
        <f>GETPIVOTDATA("Somme de Planifié ",$A$3,"Mois texte ","mars")/H6</f>
        <v>0.45439260193358555</v>
      </c>
      <c r="K6" s="20">
        <f>GETPIVOTDATA("Somme de Non Planifié Non urgent ",$A$3,"Mois texte ","mars")/H6</f>
        <v>0.36738125262715426</v>
      </c>
      <c r="L6" s="22">
        <f>GETPIVOTDATA("Somme de Non Planifié Urgent ",$A$3,"Mois texte ","mars")/H6</f>
        <v>0.17822614543926019</v>
      </c>
    </row>
    <row r="7" spans="1:12" x14ac:dyDescent="0.3">
      <c r="A7" s="13" t="s">
        <v>44</v>
      </c>
      <c r="B7" s="14">
        <v>165.5</v>
      </c>
      <c r="C7" s="14">
        <v>205.5</v>
      </c>
      <c r="D7" s="14">
        <v>157.5</v>
      </c>
      <c r="H7" s="21">
        <f t="shared" si="0"/>
        <v>528.5</v>
      </c>
      <c r="I7" s="33" t="str">
        <f t="shared" si="1"/>
        <v>avril</v>
      </c>
      <c r="J7" s="20">
        <f>GETPIVOTDATA("Somme de Planifié ",$A$3,"Mois texte ","avril")/H7</f>
        <v>0.31315042573320717</v>
      </c>
      <c r="K7" s="20">
        <f>GETPIVOTDATA("Somme de Non Planifié Non urgent ",$A$3,"Mois texte ","avril")/H7</f>
        <v>0.38883632923368022</v>
      </c>
      <c r="L7" s="22">
        <f>GETPIVOTDATA("Somme de Non Planifié Urgent ",$A$3,"Mois texte ","avril")/H7</f>
        <v>0.29801324503311261</v>
      </c>
    </row>
    <row r="8" spans="1:12" x14ac:dyDescent="0.3">
      <c r="A8" s="13" t="s">
        <v>45</v>
      </c>
      <c r="B8" s="14">
        <v>323.25</v>
      </c>
      <c r="C8" s="14">
        <v>249</v>
      </c>
      <c r="D8" s="14">
        <v>71.5</v>
      </c>
      <c r="H8" s="21">
        <f t="shared" si="0"/>
        <v>643.75</v>
      </c>
      <c r="I8" s="33" t="str">
        <f t="shared" si="1"/>
        <v>mai</v>
      </c>
      <c r="J8" s="20">
        <f>GETPIVOTDATA("Somme de Planifié ",$A$3,"Mois texte ","mai")/H8</f>
        <v>0.50213592233009707</v>
      </c>
      <c r="K8" s="20">
        <f>GETPIVOTDATA("Somme de Non Planifié Non urgent ",$A$3,"Mois texte ","mai")/H8</f>
        <v>0.38679611650485435</v>
      </c>
      <c r="L8" s="22">
        <f>GETPIVOTDATA("Somme de Non Planifié Urgent ",$A$3,"Mois texte ","mai")/H8</f>
        <v>0.11106796116504854</v>
      </c>
    </row>
    <row r="9" spans="1:12" ht="15" thickBot="1" x14ac:dyDescent="0.35">
      <c r="A9" s="13" t="s">
        <v>46</v>
      </c>
      <c r="B9" s="14">
        <v>56</v>
      </c>
      <c r="C9" s="14">
        <v>59.5</v>
      </c>
      <c r="D9" s="14">
        <v>127.5</v>
      </c>
      <c r="H9" s="23">
        <f t="shared" si="0"/>
        <v>243</v>
      </c>
      <c r="I9" s="34" t="str">
        <f t="shared" si="1"/>
        <v>juin</v>
      </c>
      <c r="J9" s="24">
        <f>GETPIVOTDATA("Somme de Planifié ",$A$3,"Mois texte ","juin")/H9</f>
        <v>0.23045267489711935</v>
      </c>
      <c r="K9" s="24">
        <f>GETPIVOTDATA("Somme de Non Planifié Non urgent ",$A$3,"Mois texte ","juin")/H9</f>
        <v>0.2448559670781893</v>
      </c>
      <c r="L9" s="25">
        <f>GETPIVOTDATA("Somme de Non Planifié Urgent ",$A$3,"Mois texte ","juin")/H9</f>
        <v>0.52469135802469136</v>
      </c>
    </row>
    <row r="10" spans="1:12" x14ac:dyDescent="0.3">
      <c r="A10" s="13" t="s">
        <v>16</v>
      </c>
      <c r="B10" s="14">
        <v>1197</v>
      </c>
      <c r="C10" s="14">
        <v>1165.5</v>
      </c>
      <c r="D10" s="14">
        <v>704.5</v>
      </c>
      <c r="J10" s="19"/>
      <c r="K10" s="19"/>
      <c r="L10" s="19"/>
    </row>
  </sheetData>
  <pageMargins left="0.7" right="0.7" top="0.75" bottom="0.75" header="0.3" footer="0.3"/>
  <pageSetup paperSize="9" orientation="portrait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2AC3F-9332-4555-ADCF-8EEBA071E02B}">
  <sheetPr>
    <tabColor theme="9"/>
  </sheetPr>
  <dimension ref="A1:L10"/>
  <sheetViews>
    <sheetView workbookViewId="0">
      <selection activeCell="H12" sqref="H12"/>
    </sheetView>
  </sheetViews>
  <sheetFormatPr baseColWidth="10" defaultRowHeight="14.4" x14ac:dyDescent="0.3"/>
  <cols>
    <col min="1" max="1" width="19.5546875" bestFit="1" customWidth="1"/>
    <col min="2" max="2" width="17.21875" bestFit="1" customWidth="1"/>
    <col min="3" max="3" width="31.5546875" bestFit="1" customWidth="1"/>
    <col min="4" max="4" width="27.6640625" bestFit="1" customWidth="1"/>
    <col min="5" max="7" width="8" bestFit="1" customWidth="1"/>
    <col min="8" max="9" width="13.21875" customWidth="1"/>
    <col min="10" max="10" width="13.88671875" customWidth="1"/>
    <col min="11" max="11" width="16.5546875" customWidth="1"/>
    <col min="12" max="12" width="11" bestFit="1" customWidth="1"/>
    <col min="13" max="14" width="8" bestFit="1" customWidth="1"/>
    <col min="15" max="15" width="31.5546875" bestFit="1" customWidth="1"/>
    <col min="16" max="16" width="8" bestFit="1" customWidth="1"/>
    <col min="17" max="18" width="7" bestFit="1" customWidth="1"/>
    <col min="19" max="19" width="8" bestFit="1" customWidth="1"/>
    <col min="20" max="20" width="6" bestFit="1" customWidth="1"/>
    <col min="21" max="21" width="22" bestFit="1" customWidth="1"/>
    <col min="22" max="22" width="32.44140625" bestFit="1" customWidth="1"/>
    <col min="23" max="23" width="36.21875" bestFit="1" customWidth="1"/>
    <col min="24" max="26" width="3" bestFit="1" customWidth="1"/>
    <col min="27" max="27" width="6" bestFit="1" customWidth="1"/>
    <col min="28" max="28" width="5" bestFit="1" customWidth="1"/>
    <col min="29" max="29" width="4" bestFit="1" customWidth="1"/>
    <col min="30" max="30" width="5" bestFit="1" customWidth="1"/>
    <col min="31" max="31" width="5.88671875" bestFit="1" customWidth="1"/>
    <col min="32" max="32" width="10.5546875" bestFit="1" customWidth="1"/>
    <col min="33" max="33" width="11.88671875" bestFit="1" customWidth="1"/>
    <col min="34" max="34" width="7.88671875" bestFit="1" customWidth="1"/>
    <col min="35" max="35" width="8.21875" bestFit="1" customWidth="1"/>
    <col min="36" max="36" width="5" bestFit="1" customWidth="1"/>
    <col min="37" max="37" width="7.6640625" bestFit="1" customWidth="1"/>
    <col min="38" max="38" width="5.88671875" bestFit="1" customWidth="1"/>
    <col min="39" max="39" width="7.6640625" bestFit="1" customWidth="1"/>
    <col min="40" max="40" width="5" bestFit="1" customWidth="1"/>
    <col min="41" max="41" width="7.6640625" bestFit="1" customWidth="1"/>
    <col min="42" max="42" width="5.88671875" bestFit="1" customWidth="1"/>
    <col min="43" max="43" width="7.6640625" bestFit="1" customWidth="1"/>
    <col min="44" max="44" width="8" bestFit="1" customWidth="1"/>
    <col min="45" max="45" width="10.21875" bestFit="1" customWidth="1"/>
    <col min="46" max="46" width="7" bestFit="1" customWidth="1"/>
    <col min="47" max="47" width="9.21875" bestFit="1" customWidth="1"/>
    <col min="48" max="48" width="5" bestFit="1" customWidth="1"/>
    <col min="49" max="49" width="7.6640625" bestFit="1" customWidth="1"/>
    <col min="50" max="50" width="7" bestFit="1" customWidth="1"/>
    <col min="51" max="51" width="9.21875" bestFit="1" customWidth="1"/>
    <col min="52" max="52" width="7.88671875" bestFit="1" customWidth="1"/>
    <col min="53" max="54" width="10.5546875" bestFit="1" customWidth="1"/>
    <col min="55" max="55" width="11.88671875" bestFit="1" customWidth="1"/>
  </cols>
  <sheetData>
    <row r="1" spans="1:12" x14ac:dyDescent="0.3">
      <c r="A1" s="12" t="s">
        <v>1</v>
      </c>
      <c r="B1" t="s">
        <v>7</v>
      </c>
    </row>
    <row r="2" spans="1:12" ht="15" thickBot="1" x14ac:dyDescent="0.35"/>
    <row r="3" spans="1:12" ht="15" thickBot="1" x14ac:dyDescent="0.35">
      <c r="A3" s="12" t="s">
        <v>15</v>
      </c>
      <c r="B3" t="s">
        <v>38</v>
      </c>
      <c r="C3" t="s">
        <v>36</v>
      </c>
      <c r="D3" t="s">
        <v>37</v>
      </c>
      <c r="H3" s="29" t="s">
        <v>47</v>
      </c>
      <c r="I3" s="32" t="s">
        <v>51</v>
      </c>
      <c r="J3" s="30" t="s">
        <v>48</v>
      </c>
      <c r="K3" s="30" t="s">
        <v>49</v>
      </c>
      <c r="L3" s="31" t="s">
        <v>50</v>
      </c>
    </row>
    <row r="4" spans="1:12" x14ac:dyDescent="0.3">
      <c r="A4" s="13" t="s">
        <v>41</v>
      </c>
      <c r="B4" s="14"/>
      <c r="C4" s="14">
        <v>70</v>
      </c>
      <c r="D4" s="14">
        <v>222</v>
      </c>
      <c r="H4" s="26">
        <f>SUM(B4:D4)</f>
        <v>292</v>
      </c>
      <c r="I4" s="33" t="str">
        <f>A4</f>
        <v>janvier</v>
      </c>
      <c r="J4" s="27">
        <f>GETPIVOTDATA("Somme de Planifié ",$A$3,"Mois texte ","janvier")/H4</f>
        <v>0</v>
      </c>
      <c r="K4" s="27">
        <f>GETPIVOTDATA("Somme de Non Planifié Non urgent ",$A$3,"Mois texte ","janvier")/H4</f>
        <v>0.23972602739726026</v>
      </c>
      <c r="L4" s="28">
        <f>GETPIVOTDATA("Somme de Non Planifié Urgent ",$A$3,"Mois texte ","janvier")/H4</f>
        <v>0.76027397260273977</v>
      </c>
    </row>
    <row r="5" spans="1:12" x14ac:dyDescent="0.3">
      <c r="A5" s="13" t="s">
        <v>42</v>
      </c>
      <c r="B5" s="14">
        <v>2.5</v>
      </c>
      <c r="C5" s="14">
        <v>88.5</v>
      </c>
      <c r="D5" s="14">
        <v>30</v>
      </c>
      <c r="H5" s="21">
        <f t="shared" ref="H5:H9" si="0">SUM(B5:D5)</f>
        <v>121</v>
      </c>
      <c r="I5" s="33" t="str">
        <f t="shared" ref="I5:I9" si="1">A5</f>
        <v>février</v>
      </c>
      <c r="J5" s="20">
        <f>GETPIVOTDATA("Somme de Planifié ",$A$3,"Mois texte ","février")/H5</f>
        <v>2.0661157024793389E-2</v>
      </c>
      <c r="K5" s="20">
        <f>GETPIVOTDATA("Somme de Non Planifié Non urgent ",$A$3,"Mois texte ","février")/H5</f>
        <v>0.73140495867768596</v>
      </c>
      <c r="L5" s="22">
        <f>GETPIVOTDATA("Somme de Non Planifié Urgent ",$A$3,"Mois texte ","février")/H5</f>
        <v>0.24793388429752067</v>
      </c>
    </row>
    <row r="6" spans="1:12" x14ac:dyDescent="0.3">
      <c r="A6" s="13" t="s">
        <v>43</v>
      </c>
      <c r="B6" s="14">
        <v>2</v>
      </c>
      <c r="C6" s="14"/>
      <c r="D6" s="14">
        <v>57.5</v>
      </c>
      <c r="H6" s="21">
        <f t="shared" si="0"/>
        <v>59.5</v>
      </c>
      <c r="I6" s="33" t="str">
        <f t="shared" si="1"/>
        <v>mars</v>
      </c>
      <c r="J6" s="20">
        <f>GETPIVOTDATA("Somme de Planifié ",$A$3,"Mois texte ","mars")/H6</f>
        <v>3.3613445378151259E-2</v>
      </c>
      <c r="K6" s="20">
        <f>GETPIVOTDATA("Somme de Non Planifié Non urgent ",$A$3,"Mois texte ","mars")/H6</f>
        <v>0</v>
      </c>
      <c r="L6" s="22">
        <f>GETPIVOTDATA("Somme de Non Planifié Urgent ",$A$3,"Mois texte ","mars")/H6</f>
        <v>0.96638655462184875</v>
      </c>
    </row>
    <row r="7" spans="1:12" x14ac:dyDescent="0.3">
      <c r="A7" s="13" t="s">
        <v>44</v>
      </c>
      <c r="B7" s="14">
        <v>88.5</v>
      </c>
      <c r="C7" s="14">
        <v>63</v>
      </c>
      <c r="D7" s="14">
        <v>31.5</v>
      </c>
      <c r="H7" s="21">
        <f t="shared" si="0"/>
        <v>183</v>
      </c>
      <c r="I7" s="33" t="str">
        <f t="shared" si="1"/>
        <v>avril</v>
      </c>
      <c r="J7" s="20">
        <f>GETPIVOTDATA("Somme de Planifié ",$A$3,"Mois texte ","avril")/H7</f>
        <v>0.48360655737704916</v>
      </c>
      <c r="K7" s="20">
        <f>GETPIVOTDATA("Somme de Non Planifié Non urgent ",$A$3,"Mois texte ","avril")/H7</f>
        <v>0.34426229508196721</v>
      </c>
      <c r="L7" s="22">
        <f>GETPIVOTDATA("Somme de Non Planifié Urgent ",$A$3,"Mois texte ","avril")/H7</f>
        <v>0.1721311475409836</v>
      </c>
    </row>
    <row r="8" spans="1:12" x14ac:dyDescent="0.3">
      <c r="A8" s="13" t="s">
        <v>45</v>
      </c>
      <c r="B8" s="14">
        <v>16</v>
      </c>
      <c r="C8" s="14"/>
      <c r="D8" s="14">
        <v>69</v>
      </c>
      <c r="H8" s="21">
        <f t="shared" si="0"/>
        <v>85</v>
      </c>
      <c r="I8" s="33" t="str">
        <f t="shared" si="1"/>
        <v>mai</v>
      </c>
      <c r="J8" s="20">
        <f>GETPIVOTDATA("Somme de Planifié ",$A$3,"Mois texte ","mai")/H8</f>
        <v>0.18823529411764706</v>
      </c>
      <c r="K8" s="20">
        <f>GETPIVOTDATA("Somme de Non Planifié Non urgent ",$A$3,"Mois texte ","mai")/H8</f>
        <v>0</v>
      </c>
      <c r="L8" s="22">
        <f>GETPIVOTDATA("Somme de Non Planifié Urgent ",$A$3,"Mois texte ","mai")/H8</f>
        <v>0.81176470588235294</v>
      </c>
    </row>
    <row r="9" spans="1:12" ht="15" thickBot="1" x14ac:dyDescent="0.35">
      <c r="A9" s="13" t="s">
        <v>46</v>
      </c>
      <c r="B9" s="14"/>
      <c r="C9" s="14"/>
      <c r="D9" s="14">
        <v>21</v>
      </c>
      <c r="H9" s="23">
        <f t="shared" si="0"/>
        <v>21</v>
      </c>
      <c r="I9" s="34" t="str">
        <f t="shared" si="1"/>
        <v>juin</v>
      </c>
      <c r="J9" s="24">
        <f>GETPIVOTDATA("Somme de Planifié ",$A$3,"Mois texte ","juin")/H9</f>
        <v>0</v>
      </c>
      <c r="K9" s="24">
        <f>GETPIVOTDATA("Somme de Non Planifié Non urgent ",$A$3,"Mois texte ","juin")/H9</f>
        <v>0</v>
      </c>
      <c r="L9" s="25">
        <f>GETPIVOTDATA("Somme de Non Planifié Urgent ",$A$3,"Mois texte ","juin")/H9</f>
        <v>1</v>
      </c>
    </row>
    <row r="10" spans="1:12" x14ac:dyDescent="0.3">
      <c r="A10" s="13" t="s">
        <v>16</v>
      </c>
      <c r="B10" s="14">
        <v>109</v>
      </c>
      <c r="C10" s="14">
        <v>221.5</v>
      </c>
      <c r="D10" s="14">
        <v>431</v>
      </c>
      <c r="J10" s="19"/>
      <c r="K10" s="19"/>
      <c r="L10" s="19"/>
    </row>
  </sheetData>
  <pageMargins left="0.7" right="0.7" top="0.75" bottom="0.75" header="0.3" footer="0.3"/>
  <pageSetup paperSize="9" orientation="portrait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A6290-43B1-4467-ABAC-18262F2A851A}">
  <sheetPr>
    <tabColor theme="9"/>
  </sheetPr>
  <dimension ref="A1:L10"/>
  <sheetViews>
    <sheetView workbookViewId="0">
      <selection activeCell="H12" sqref="H12"/>
    </sheetView>
  </sheetViews>
  <sheetFormatPr baseColWidth="10" defaultRowHeight="14.4" x14ac:dyDescent="0.3"/>
  <cols>
    <col min="1" max="1" width="19.5546875" bestFit="1" customWidth="1"/>
    <col min="2" max="2" width="17.21875" bestFit="1" customWidth="1"/>
    <col min="3" max="3" width="31.5546875" bestFit="1" customWidth="1"/>
    <col min="4" max="4" width="27.6640625" bestFit="1" customWidth="1"/>
    <col min="5" max="7" width="8" bestFit="1" customWidth="1"/>
    <col min="8" max="9" width="13.21875" customWidth="1"/>
    <col min="10" max="10" width="13.88671875" customWidth="1"/>
    <col min="11" max="11" width="16.5546875" customWidth="1"/>
    <col min="12" max="12" width="11" bestFit="1" customWidth="1"/>
    <col min="13" max="14" width="8" bestFit="1" customWidth="1"/>
    <col min="15" max="15" width="31.5546875" bestFit="1" customWidth="1"/>
    <col min="16" max="16" width="8" bestFit="1" customWidth="1"/>
    <col min="17" max="18" width="7" bestFit="1" customWidth="1"/>
    <col min="19" max="19" width="8" bestFit="1" customWidth="1"/>
    <col min="20" max="20" width="6" bestFit="1" customWidth="1"/>
    <col min="21" max="21" width="22" bestFit="1" customWidth="1"/>
    <col min="22" max="22" width="32.44140625" bestFit="1" customWidth="1"/>
    <col min="23" max="23" width="36.21875" bestFit="1" customWidth="1"/>
    <col min="24" max="26" width="3" bestFit="1" customWidth="1"/>
    <col min="27" max="27" width="6" bestFit="1" customWidth="1"/>
    <col min="28" max="28" width="5" bestFit="1" customWidth="1"/>
    <col min="29" max="29" width="4" bestFit="1" customWidth="1"/>
    <col min="30" max="30" width="5" bestFit="1" customWidth="1"/>
    <col min="31" max="31" width="5.88671875" bestFit="1" customWidth="1"/>
    <col min="32" max="32" width="10.5546875" bestFit="1" customWidth="1"/>
    <col min="33" max="33" width="11.88671875" bestFit="1" customWidth="1"/>
    <col min="34" max="34" width="7.88671875" bestFit="1" customWidth="1"/>
    <col min="35" max="35" width="8.21875" bestFit="1" customWidth="1"/>
    <col min="36" max="36" width="5" bestFit="1" customWidth="1"/>
    <col min="37" max="37" width="7.6640625" bestFit="1" customWidth="1"/>
    <col min="38" max="38" width="5.88671875" bestFit="1" customWidth="1"/>
    <col min="39" max="39" width="7.6640625" bestFit="1" customWidth="1"/>
    <col min="40" max="40" width="5" bestFit="1" customWidth="1"/>
    <col min="41" max="41" width="7.6640625" bestFit="1" customWidth="1"/>
    <col min="42" max="42" width="5.88671875" bestFit="1" customWidth="1"/>
    <col min="43" max="43" width="7.6640625" bestFit="1" customWidth="1"/>
    <col min="44" max="44" width="8" bestFit="1" customWidth="1"/>
    <col min="45" max="45" width="10.21875" bestFit="1" customWidth="1"/>
    <col min="46" max="46" width="7" bestFit="1" customWidth="1"/>
    <col min="47" max="47" width="9.21875" bestFit="1" customWidth="1"/>
    <col min="48" max="48" width="5" bestFit="1" customWidth="1"/>
    <col min="49" max="49" width="7.6640625" bestFit="1" customWidth="1"/>
    <col min="50" max="50" width="7" bestFit="1" customWidth="1"/>
    <col min="51" max="51" width="9.21875" bestFit="1" customWidth="1"/>
    <col min="52" max="52" width="7.88671875" bestFit="1" customWidth="1"/>
    <col min="53" max="54" width="10.5546875" bestFit="1" customWidth="1"/>
    <col min="55" max="55" width="11.88671875" bestFit="1" customWidth="1"/>
  </cols>
  <sheetData>
    <row r="1" spans="1:12" x14ac:dyDescent="0.3">
      <c r="A1" s="12" t="s">
        <v>1</v>
      </c>
      <c r="B1" t="s">
        <v>8</v>
      </c>
    </row>
    <row r="2" spans="1:12" ht="15" thickBot="1" x14ac:dyDescent="0.35"/>
    <row r="3" spans="1:12" ht="15" thickBot="1" x14ac:dyDescent="0.35">
      <c r="A3" s="12" t="s">
        <v>15</v>
      </c>
      <c r="B3" t="s">
        <v>38</v>
      </c>
      <c r="C3" t="s">
        <v>36</v>
      </c>
      <c r="D3" t="s">
        <v>37</v>
      </c>
      <c r="H3" s="29" t="s">
        <v>47</v>
      </c>
      <c r="I3" s="32" t="s">
        <v>51</v>
      </c>
      <c r="J3" s="30" t="s">
        <v>48</v>
      </c>
      <c r="K3" s="30" t="s">
        <v>49</v>
      </c>
      <c r="L3" s="31" t="s">
        <v>50</v>
      </c>
    </row>
    <row r="4" spans="1:12" x14ac:dyDescent="0.3">
      <c r="A4" s="13" t="s">
        <v>41</v>
      </c>
      <c r="B4" s="14">
        <v>328.5</v>
      </c>
      <c r="C4" s="14">
        <v>109.5</v>
      </c>
      <c r="D4" s="14">
        <v>358</v>
      </c>
      <c r="H4" s="26">
        <f>SUM(B4:D4)</f>
        <v>796</v>
      </c>
      <c r="I4" s="33" t="str">
        <f>A4</f>
        <v>janvier</v>
      </c>
      <c r="J4" s="27">
        <f>GETPIVOTDATA("Somme de Planifié ",$A$3,"Mois texte ","janvier")/H4</f>
        <v>0.41268844221105527</v>
      </c>
      <c r="K4" s="27">
        <f>GETPIVOTDATA("Somme de Non Planifié Non urgent ",$A$3,"Mois texte ","janvier")/H4</f>
        <v>0.13756281407035176</v>
      </c>
      <c r="L4" s="28">
        <f>GETPIVOTDATA("Somme de Non Planifié Urgent ",$A$3,"Mois texte ","janvier")/H4</f>
        <v>0.44974874371859297</v>
      </c>
    </row>
    <row r="5" spans="1:12" x14ac:dyDescent="0.3">
      <c r="A5" s="13" t="s">
        <v>42</v>
      </c>
      <c r="B5" s="14">
        <v>103.5</v>
      </c>
      <c r="C5" s="14">
        <v>223</v>
      </c>
      <c r="D5" s="14">
        <v>157.5</v>
      </c>
      <c r="H5" s="21">
        <f t="shared" ref="H5:H9" si="0">SUM(B5:D5)</f>
        <v>484</v>
      </c>
      <c r="I5" s="33" t="str">
        <f t="shared" ref="I5:I9" si="1">A5</f>
        <v>février</v>
      </c>
      <c r="J5" s="20">
        <f>GETPIVOTDATA("Somme de Planifié ",$A$3,"Mois texte ","février")/H5</f>
        <v>0.21384297520661158</v>
      </c>
      <c r="K5" s="20">
        <f>GETPIVOTDATA("Somme de Non Planifié Non urgent ",$A$3,"Mois texte ","février")/H5</f>
        <v>0.46074380165289258</v>
      </c>
      <c r="L5" s="22">
        <f>GETPIVOTDATA("Somme de Non Planifié Urgent ",$A$3,"Mois texte ","février")/H5</f>
        <v>0.32541322314049587</v>
      </c>
    </row>
    <row r="6" spans="1:12" x14ac:dyDescent="0.3">
      <c r="A6" s="13" t="s">
        <v>43</v>
      </c>
      <c r="B6" s="14">
        <v>200.5</v>
      </c>
      <c r="C6" s="14">
        <v>115.5</v>
      </c>
      <c r="D6" s="14">
        <v>154.25</v>
      </c>
      <c r="H6" s="21">
        <f t="shared" si="0"/>
        <v>470.25</v>
      </c>
      <c r="I6" s="33" t="str">
        <f t="shared" si="1"/>
        <v>mars</v>
      </c>
      <c r="J6" s="20">
        <f>GETPIVOTDATA("Somme de Planifié ",$A$3,"Mois texte ","mars")/H6</f>
        <v>0.42636895268474218</v>
      </c>
      <c r="K6" s="20">
        <f>GETPIVOTDATA("Somme de Non Planifié Non urgent ",$A$3,"Mois texte ","mars")/H6</f>
        <v>0.24561403508771928</v>
      </c>
      <c r="L6" s="22">
        <f>GETPIVOTDATA("Somme de Non Planifié Urgent ",$A$3,"Mois texte ","mars")/H6</f>
        <v>0.32801701222753854</v>
      </c>
    </row>
    <row r="7" spans="1:12" x14ac:dyDescent="0.3">
      <c r="A7" s="13" t="s">
        <v>44</v>
      </c>
      <c r="B7" s="14">
        <v>191.5</v>
      </c>
      <c r="C7" s="14">
        <v>79.25</v>
      </c>
      <c r="D7" s="14">
        <v>151.5</v>
      </c>
      <c r="H7" s="21">
        <f t="shared" si="0"/>
        <v>422.25</v>
      </c>
      <c r="I7" s="33" t="str">
        <f t="shared" si="1"/>
        <v>avril</v>
      </c>
      <c r="J7" s="20">
        <f>GETPIVOTDATA("Somme de Planifié ",$A$3,"Mois texte ","avril")/H7</f>
        <v>0.45352279455298994</v>
      </c>
      <c r="K7" s="20">
        <f>GETPIVOTDATA("Somme de Non Planifié Non urgent ",$A$3,"Mois texte ","avril")/H7</f>
        <v>0.18768502072232091</v>
      </c>
      <c r="L7" s="22">
        <f>GETPIVOTDATA("Somme de Non Planifié Urgent ",$A$3,"Mois texte ","avril")/H7</f>
        <v>0.35879218472468916</v>
      </c>
    </row>
    <row r="8" spans="1:12" x14ac:dyDescent="0.3">
      <c r="A8" s="13" t="s">
        <v>45</v>
      </c>
      <c r="B8" s="14">
        <v>325</v>
      </c>
      <c r="C8" s="14">
        <v>157.5</v>
      </c>
      <c r="D8" s="14">
        <v>186.5</v>
      </c>
      <c r="H8" s="21">
        <f t="shared" si="0"/>
        <v>669</v>
      </c>
      <c r="I8" s="33" t="str">
        <f t="shared" si="1"/>
        <v>mai</v>
      </c>
      <c r="J8" s="20">
        <f>GETPIVOTDATA("Somme de Planifié ",$A$3,"Mois texte ","mai")/H8</f>
        <v>0.4857997010463378</v>
      </c>
      <c r="K8" s="20">
        <f>GETPIVOTDATA("Somme de Non Planifié Non urgent ",$A$3,"Mois texte ","mai")/H8</f>
        <v>0.23542600896860988</v>
      </c>
      <c r="L8" s="22">
        <f>GETPIVOTDATA("Somme de Non Planifié Urgent ",$A$3,"Mois texte ","mai")/H8</f>
        <v>0.27877428998505233</v>
      </c>
    </row>
    <row r="9" spans="1:12" ht="15" thickBot="1" x14ac:dyDescent="0.35">
      <c r="A9" s="13" t="s">
        <v>46</v>
      </c>
      <c r="B9" s="14">
        <v>65</v>
      </c>
      <c r="C9" s="14">
        <v>79</v>
      </c>
      <c r="D9" s="14">
        <v>66.25</v>
      </c>
      <c r="H9" s="23">
        <f t="shared" si="0"/>
        <v>210.25</v>
      </c>
      <c r="I9" s="34" t="str">
        <f t="shared" si="1"/>
        <v>juin</v>
      </c>
      <c r="J9" s="24">
        <f>GETPIVOTDATA("Somme de Planifié ",$A$3,"Mois texte ","juin")/H9</f>
        <v>0.30915576694411417</v>
      </c>
      <c r="K9" s="24">
        <f>GETPIVOTDATA("Somme de Non Planifié Non urgent ",$A$3,"Mois texte ","juin")/H9</f>
        <v>0.37574316290130799</v>
      </c>
      <c r="L9" s="25">
        <f>GETPIVOTDATA("Somme de Non Planifié Urgent ",$A$3,"Mois texte ","juin")/H9</f>
        <v>0.31510107015457789</v>
      </c>
    </row>
    <row r="10" spans="1:12" x14ac:dyDescent="0.3">
      <c r="A10" s="13" t="s">
        <v>16</v>
      </c>
      <c r="B10" s="14">
        <v>1214</v>
      </c>
      <c r="C10" s="14">
        <v>763.75</v>
      </c>
      <c r="D10" s="14">
        <v>1074</v>
      </c>
      <c r="J10" s="19"/>
      <c r="K10" s="19"/>
      <c r="L10" s="19"/>
    </row>
  </sheetData>
  <pageMargins left="0.7" right="0.7" top="0.75" bottom="0.75" header="0.3" footer="0.3"/>
  <pageSetup paperSize="9" orientation="portrait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C0B15-B87D-435E-98A1-2ADB89D45A12}">
  <sheetPr>
    <tabColor theme="9"/>
  </sheetPr>
  <dimension ref="A1:L10"/>
  <sheetViews>
    <sheetView workbookViewId="0">
      <selection activeCell="D39" sqref="D39"/>
    </sheetView>
  </sheetViews>
  <sheetFormatPr baseColWidth="10" defaultRowHeight="14.4" x14ac:dyDescent="0.3"/>
  <cols>
    <col min="1" max="1" width="19.5546875" bestFit="1" customWidth="1"/>
    <col min="2" max="2" width="17.21875" bestFit="1" customWidth="1"/>
    <col min="3" max="3" width="31.5546875" bestFit="1" customWidth="1"/>
    <col min="4" max="4" width="27.6640625" bestFit="1" customWidth="1"/>
    <col min="5" max="7" width="8" bestFit="1" customWidth="1"/>
    <col min="8" max="9" width="13.21875" customWidth="1"/>
    <col min="10" max="10" width="13.88671875" customWidth="1"/>
    <col min="11" max="11" width="16.5546875" customWidth="1"/>
    <col min="12" max="12" width="11" bestFit="1" customWidth="1"/>
    <col min="13" max="14" width="8" bestFit="1" customWidth="1"/>
    <col min="15" max="15" width="31.5546875" bestFit="1" customWidth="1"/>
    <col min="16" max="16" width="8" bestFit="1" customWidth="1"/>
    <col min="17" max="18" width="7" bestFit="1" customWidth="1"/>
    <col min="19" max="19" width="8" bestFit="1" customWidth="1"/>
    <col min="20" max="20" width="6" bestFit="1" customWidth="1"/>
    <col min="21" max="21" width="22" bestFit="1" customWidth="1"/>
    <col min="22" max="22" width="32.44140625" bestFit="1" customWidth="1"/>
    <col min="23" max="23" width="36.21875" bestFit="1" customWidth="1"/>
    <col min="24" max="26" width="3" bestFit="1" customWidth="1"/>
    <col min="27" max="27" width="6" bestFit="1" customWidth="1"/>
    <col min="28" max="28" width="5" bestFit="1" customWidth="1"/>
    <col min="29" max="29" width="4" bestFit="1" customWidth="1"/>
    <col min="30" max="30" width="5" bestFit="1" customWidth="1"/>
    <col min="31" max="31" width="5.88671875" bestFit="1" customWidth="1"/>
    <col min="32" max="32" width="10.5546875" bestFit="1" customWidth="1"/>
    <col min="33" max="33" width="11.88671875" bestFit="1" customWidth="1"/>
    <col min="34" max="34" width="7.88671875" bestFit="1" customWidth="1"/>
    <col min="35" max="35" width="8.21875" bestFit="1" customWidth="1"/>
    <col min="36" max="36" width="5" bestFit="1" customWidth="1"/>
    <col min="37" max="37" width="7.6640625" bestFit="1" customWidth="1"/>
    <col min="38" max="38" width="5.88671875" bestFit="1" customWidth="1"/>
    <col min="39" max="39" width="7.6640625" bestFit="1" customWidth="1"/>
    <col min="40" max="40" width="5" bestFit="1" customWidth="1"/>
    <col min="41" max="41" width="7.6640625" bestFit="1" customWidth="1"/>
    <col min="42" max="42" width="5.88671875" bestFit="1" customWidth="1"/>
    <col min="43" max="43" width="7.6640625" bestFit="1" customWidth="1"/>
    <col min="44" max="44" width="8" bestFit="1" customWidth="1"/>
    <col min="45" max="45" width="10.21875" bestFit="1" customWidth="1"/>
    <col min="46" max="46" width="7" bestFit="1" customWidth="1"/>
    <col min="47" max="47" width="9.21875" bestFit="1" customWidth="1"/>
    <col min="48" max="48" width="5" bestFit="1" customWidth="1"/>
    <col min="49" max="49" width="7.6640625" bestFit="1" customWidth="1"/>
    <col min="50" max="50" width="7" bestFit="1" customWidth="1"/>
    <col min="51" max="51" width="9.21875" bestFit="1" customWidth="1"/>
    <col min="52" max="52" width="7.88671875" bestFit="1" customWidth="1"/>
    <col min="53" max="54" width="10.5546875" bestFit="1" customWidth="1"/>
    <col min="55" max="55" width="11.88671875" bestFit="1" customWidth="1"/>
  </cols>
  <sheetData>
    <row r="1" spans="1:12" x14ac:dyDescent="0.3">
      <c r="A1" s="12" t="s">
        <v>1</v>
      </c>
      <c r="B1" t="s">
        <v>9</v>
      </c>
    </row>
    <row r="2" spans="1:12" ht="15" thickBot="1" x14ac:dyDescent="0.35"/>
    <row r="3" spans="1:12" ht="15" thickBot="1" x14ac:dyDescent="0.35">
      <c r="A3" s="12" t="s">
        <v>15</v>
      </c>
      <c r="B3" t="s">
        <v>38</v>
      </c>
      <c r="C3" t="s">
        <v>36</v>
      </c>
      <c r="D3" t="s">
        <v>37</v>
      </c>
      <c r="H3" s="29" t="s">
        <v>47</v>
      </c>
      <c r="I3" s="32" t="s">
        <v>51</v>
      </c>
      <c r="J3" s="30" t="s">
        <v>48</v>
      </c>
      <c r="K3" s="30" t="s">
        <v>49</v>
      </c>
      <c r="L3" s="31" t="s">
        <v>50</v>
      </c>
    </row>
    <row r="4" spans="1:12" x14ac:dyDescent="0.3">
      <c r="A4" s="13" t="s">
        <v>41</v>
      </c>
      <c r="B4" s="14">
        <v>30</v>
      </c>
      <c r="C4" s="14">
        <v>76.25</v>
      </c>
      <c r="D4" s="14">
        <v>3</v>
      </c>
      <c r="H4" s="26">
        <f>SUM(B4:D4)</f>
        <v>109.25</v>
      </c>
      <c r="I4" s="33" t="str">
        <f>A4</f>
        <v>janvier</v>
      </c>
      <c r="J4" s="27">
        <f>GETPIVOTDATA("Somme de Planifié ",$A$3,"Mois texte ","janvier")/H4</f>
        <v>0.27459954233409611</v>
      </c>
      <c r="K4" s="27">
        <f>GETPIVOTDATA("Somme de Non Planifié Non urgent ",$A$3,"Mois texte ","janvier")/H4</f>
        <v>0.69794050343249425</v>
      </c>
      <c r="L4" s="28">
        <f>GETPIVOTDATA("Somme de Non Planifié Urgent ",$A$3,"Mois texte ","janvier")/H4</f>
        <v>2.7459954233409609E-2</v>
      </c>
    </row>
    <row r="5" spans="1:12" x14ac:dyDescent="0.3">
      <c r="A5" s="13" t="s">
        <v>42</v>
      </c>
      <c r="B5" s="14">
        <v>6.5</v>
      </c>
      <c r="C5" s="14">
        <v>22</v>
      </c>
      <c r="D5" s="14">
        <v>36.5</v>
      </c>
      <c r="H5" s="21">
        <f t="shared" ref="H5:H9" si="0">SUM(B5:D5)</f>
        <v>65</v>
      </c>
      <c r="I5" s="33" t="str">
        <f t="shared" ref="I5:I9" si="1">A5</f>
        <v>février</v>
      </c>
      <c r="J5" s="20">
        <f>GETPIVOTDATA("Somme de Planifié ",$A$3,"Mois texte ","février")/H5</f>
        <v>0.1</v>
      </c>
      <c r="K5" s="20">
        <f>GETPIVOTDATA("Somme de Non Planifié Non urgent ",$A$3,"Mois texte ","février")/H5</f>
        <v>0.33846153846153848</v>
      </c>
      <c r="L5" s="22">
        <f>GETPIVOTDATA("Somme de Non Planifié Urgent ",$A$3,"Mois texte ","février")/H5</f>
        <v>0.56153846153846154</v>
      </c>
    </row>
    <row r="6" spans="1:12" x14ac:dyDescent="0.3">
      <c r="A6" s="13" t="s">
        <v>43</v>
      </c>
      <c r="B6" s="14">
        <v>26</v>
      </c>
      <c r="C6" s="14">
        <v>44</v>
      </c>
      <c r="D6" s="14"/>
      <c r="H6" s="21">
        <f t="shared" si="0"/>
        <v>70</v>
      </c>
      <c r="I6" s="33" t="str">
        <f t="shared" si="1"/>
        <v>mars</v>
      </c>
      <c r="J6" s="20">
        <f>GETPIVOTDATA("Somme de Planifié ",$A$3,"Mois texte ","mars")/H6</f>
        <v>0.37142857142857144</v>
      </c>
      <c r="K6" s="20">
        <f>GETPIVOTDATA("Somme de Non Planifié Non urgent ",$A$3,"Mois texte ","mars")/H6</f>
        <v>0.62857142857142856</v>
      </c>
      <c r="L6" s="22">
        <f>GETPIVOTDATA("Somme de Non Planifié Urgent ",$A$3,"Mois texte ","mars")/H6</f>
        <v>0</v>
      </c>
    </row>
    <row r="7" spans="1:12" x14ac:dyDescent="0.3">
      <c r="A7" s="13" t="s">
        <v>44</v>
      </c>
      <c r="B7" s="14">
        <v>24</v>
      </c>
      <c r="C7" s="14">
        <v>36.5</v>
      </c>
      <c r="D7" s="14">
        <v>14</v>
      </c>
      <c r="H7" s="21">
        <f t="shared" si="0"/>
        <v>74.5</v>
      </c>
      <c r="I7" s="33" t="str">
        <f t="shared" si="1"/>
        <v>avril</v>
      </c>
      <c r="J7" s="20">
        <f>GETPIVOTDATA("Somme de Planifié ",$A$3,"Mois texte ","avril")/H7</f>
        <v>0.32214765100671139</v>
      </c>
      <c r="K7" s="20">
        <f>GETPIVOTDATA("Somme de Non Planifié Non urgent ",$A$3,"Mois texte ","avril")/H7</f>
        <v>0.48993288590604028</v>
      </c>
      <c r="L7" s="22">
        <f>GETPIVOTDATA("Somme de Non Planifié Urgent ",$A$3,"Mois texte ","avril")/H7</f>
        <v>0.18791946308724833</v>
      </c>
    </row>
    <row r="8" spans="1:12" x14ac:dyDescent="0.3">
      <c r="A8" s="13" t="s">
        <v>45</v>
      </c>
      <c r="B8" s="14">
        <v>19</v>
      </c>
      <c r="C8" s="14">
        <v>94.5</v>
      </c>
      <c r="D8" s="14">
        <v>8.5</v>
      </c>
      <c r="H8" s="21">
        <f t="shared" si="0"/>
        <v>122</v>
      </c>
      <c r="I8" s="33" t="str">
        <f t="shared" si="1"/>
        <v>mai</v>
      </c>
      <c r="J8" s="20">
        <f>GETPIVOTDATA("Somme de Planifié ",$A$3,"Mois texte ","mai")/H8</f>
        <v>0.15573770491803279</v>
      </c>
      <c r="K8" s="20">
        <f>GETPIVOTDATA("Somme de Non Planifié Non urgent ",$A$3,"Mois texte ","mai")/H8</f>
        <v>0.77459016393442626</v>
      </c>
      <c r="L8" s="22">
        <f>GETPIVOTDATA("Somme de Non Planifié Urgent ",$A$3,"Mois texte ","mai")/H8</f>
        <v>6.9672131147540978E-2</v>
      </c>
    </row>
    <row r="9" spans="1:12" ht="15" thickBot="1" x14ac:dyDescent="0.35">
      <c r="A9" s="13" t="s">
        <v>46</v>
      </c>
      <c r="B9" s="14">
        <v>5</v>
      </c>
      <c r="C9" s="14">
        <v>16</v>
      </c>
      <c r="D9" s="14"/>
      <c r="H9" s="23">
        <f t="shared" si="0"/>
        <v>21</v>
      </c>
      <c r="I9" s="34" t="str">
        <f t="shared" si="1"/>
        <v>juin</v>
      </c>
      <c r="J9" s="24">
        <f>GETPIVOTDATA("Somme de Planifié ",$A$3,"Mois texte ","juin")/H9</f>
        <v>0.23809523809523808</v>
      </c>
      <c r="K9" s="24">
        <f>GETPIVOTDATA("Somme de Non Planifié Non urgent ",$A$3,"Mois texte ","juin")/H9</f>
        <v>0.76190476190476186</v>
      </c>
      <c r="L9" s="25">
        <f>GETPIVOTDATA("Somme de Non Planifié Urgent ",$A$3,"Mois texte ","juin")/H9</f>
        <v>0</v>
      </c>
    </row>
    <row r="10" spans="1:12" x14ac:dyDescent="0.3">
      <c r="A10" s="13" t="s">
        <v>16</v>
      </c>
      <c r="B10" s="14">
        <v>110.5</v>
      </c>
      <c r="C10" s="14">
        <v>289.25</v>
      </c>
      <c r="D10" s="14">
        <v>62</v>
      </c>
      <c r="J10" s="19"/>
      <c r="K10" s="19"/>
      <c r="L10" s="19"/>
    </row>
  </sheetData>
  <pageMargins left="0.7" right="0.7" top="0.75" bottom="0.75" header="0.3" footer="0.3"/>
  <pageSetup paperSize="9" orientation="portrait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CAE71-76F4-4A4E-A620-BDAE87D9F3FA}">
  <sheetPr>
    <tabColor theme="9"/>
  </sheetPr>
  <dimension ref="A1:L10"/>
  <sheetViews>
    <sheetView workbookViewId="0">
      <selection activeCell="H12" sqref="H12"/>
    </sheetView>
  </sheetViews>
  <sheetFormatPr baseColWidth="10" defaultRowHeight="14.4" x14ac:dyDescent="0.3"/>
  <cols>
    <col min="1" max="1" width="19.5546875" bestFit="1" customWidth="1"/>
    <col min="2" max="2" width="19.44140625" bestFit="1" customWidth="1"/>
    <col min="3" max="3" width="31.5546875" bestFit="1" customWidth="1"/>
    <col min="4" max="4" width="27.6640625" bestFit="1" customWidth="1"/>
    <col min="5" max="7" width="8" bestFit="1" customWidth="1"/>
    <col min="8" max="9" width="13.21875" customWidth="1"/>
    <col min="10" max="10" width="13.88671875" customWidth="1"/>
    <col min="11" max="11" width="16.5546875" customWidth="1"/>
    <col min="12" max="12" width="11" bestFit="1" customWidth="1"/>
    <col min="13" max="14" width="8" bestFit="1" customWidth="1"/>
    <col min="15" max="15" width="31.5546875" bestFit="1" customWidth="1"/>
    <col min="16" max="16" width="8" bestFit="1" customWidth="1"/>
    <col min="17" max="18" width="7" bestFit="1" customWidth="1"/>
    <col min="19" max="19" width="8" bestFit="1" customWidth="1"/>
    <col min="20" max="20" width="6" bestFit="1" customWidth="1"/>
    <col min="21" max="21" width="22" bestFit="1" customWidth="1"/>
    <col min="22" max="22" width="32.44140625" bestFit="1" customWidth="1"/>
    <col min="23" max="23" width="36.21875" bestFit="1" customWidth="1"/>
    <col min="24" max="26" width="3" bestFit="1" customWidth="1"/>
    <col min="27" max="27" width="6" bestFit="1" customWidth="1"/>
    <col min="28" max="28" width="5" bestFit="1" customWidth="1"/>
    <col min="29" max="29" width="4" bestFit="1" customWidth="1"/>
    <col min="30" max="30" width="5" bestFit="1" customWidth="1"/>
    <col min="31" max="31" width="5.88671875" bestFit="1" customWidth="1"/>
    <col min="32" max="32" width="10.5546875" bestFit="1" customWidth="1"/>
    <col min="33" max="33" width="11.88671875" bestFit="1" customWidth="1"/>
    <col min="34" max="34" width="7.88671875" bestFit="1" customWidth="1"/>
    <col min="35" max="35" width="8.21875" bestFit="1" customWidth="1"/>
    <col min="36" max="36" width="5" bestFit="1" customWidth="1"/>
    <col min="37" max="37" width="7.6640625" bestFit="1" customWidth="1"/>
    <col min="38" max="38" width="5.88671875" bestFit="1" customWidth="1"/>
    <col min="39" max="39" width="7.6640625" bestFit="1" customWidth="1"/>
    <col min="40" max="40" width="5" bestFit="1" customWidth="1"/>
    <col min="41" max="41" width="7.6640625" bestFit="1" customWidth="1"/>
    <col min="42" max="42" width="5.88671875" bestFit="1" customWidth="1"/>
    <col min="43" max="43" width="7.6640625" bestFit="1" customWidth="1"/>
    <col min="44" max="44" width="8" bestFit="1" customWidth="1"/>
    <col min="45" max="45" width="10.21875" bestFit="1" customWidth="1"/>
    <col min="46" max="46" width="7" bestFit="1" customWidth="1"/>
    <col min="47" max="47" width="9.21875" bestFit="1" customWidth="1"/>
    <col min="48" max="48" width="5" bestFit="1" customWidth="1"/>
    <col min="49" max="49" width="7.6640625" bestFit="1" customWidth="1"/>
    <col min="50" max="50" width="7" bestFit="1" customWidth="1"/>
    <col min="51" max="51" width="9.21875" bestFit="1" customWidth="1"/>
    <col min="52" max="52" width="7.88671875" bestFit="1" customWidth="1"/>
    <col min="53" max="54" width="10.5546875" bestFit="1" customWidth="1"/>
    <col min="55" max="55" width="11.88671875" bestFit="1" customWidth="1"/>
  </cols>
  <sheetData>
    <row r="1" spans="1:12" x14ac:dyDescent="0.3">
      <c r="A1" s="12" t="s">
        <v>1</v>
      </c>
      <c r="B1" t="s">
        <v>52</v>
      </c>
    </row>
    <row r="2" spans="1:12" ht="15" thickBot="1" x14ac:dyDescent="0.35"/>
    <row r="3" spans="1:12" ht="15" thickBot="1" x14ac:dyDescent="0.35">
      <c r="A3" s="12" t="s">
        <v>15</v>
      </c>
      <c r="B3" t="s">
        <v>38</v>
      </c>
      <c r="C3" t="s">
        <v>36</v>
      </c>
      <c r="D3" t="s">
        <v>37</v>
      </c>
      <c r="H3" s="29" t="s">
        <v>47</v>
      </c>
      <c r="I3" s="32" t="s">
        <v>51</v>
      </c>
      <c r="J3" s="30" t="s">
        <v>48</v>
      </c>
      <c r="K3" s="30" t="s">
        <v>49</v>
      </c>
      <c r="L3" s="31" t="s">
        <v>50</v>
      </c>
    </row>
    <row r="4" spans="1:12" x14ac:dyDescent="0.3">
      <c r="A4" s="13" t="s">
        <v>41</v>
      </c>
      <c r="B4" s="14"/>
      <c r="C4" s="14"/>
      <c r="D4" s="14">
        <v>50</v>
      </c>
      <c r="H4" s="26">
        <f>SUM(B4:D4)</f>
        <v>50</v>
      </c>
      <c r="I4" s="33" t="str">
        <f>A4</f>
        <v>janvier</v>
      </c>
      <c r="J4" s="27">
        <f>GETPIVOTDATA("Somme de Planifié ",$A$3,"Mois texte ","janvier")/H4</f>
        <v>0</v>
      </c>
      <c r="K4" s="27">
        <f>GETPIVOTDATA("Somme de Non Planifié Non urgent ",$A$3,"Mois texte ","janvier")/H4</f>
        <v>0</v>
      </c>
      <c r="L4" s="28">
        <f>GETPIVOTDATA("Somme de Non Planifié Urgent ",$A$3,"Mois texte ","janvier")/H4</f>
        <v>1</v>
      </c>
    </row>
    <row r="5" spans="1:12" x14ac:dyDescent="0.3">
      <c r="A5" s="13" t="s">
        <v>42</v>
      </c>
      <c r="B5" s="14"/>
      <c r="C5" s="14"/>
      <c r="D5" s="14">
        <v>4</v>
      </c>
      <c r="H5" s="21">
        <f t="shared" ref="H5:H8" si="0">SUM(B5:D5)</f>
        <v>4</v>
      </c>
      <c r="I5" s="33" t="str">
        <f t="shared" ref="I5:I8" si="1">A5</f>
        <v>février</v>
      </c>
      <c r="J5" s="20">
        <f>GETPIVOTDATA("Somme de Planifié ",$A$3,"Mois texte ","février")/H5</f>
        <v>0</v>
      </c>
      <c r="K5" s="20">
        <f>GETPIVOTDATA("Somme de Non Planifié Non urgent ",$A$3,"Mois texte ","février")/H5</f>
        <v>0</v>
      </c>
      <c r="L5" s="22">
        <f>GETPIVOTDATA("Somme de Non Planifié Urgent ",$A$3,"Mois texte ","février")/H5</f>
        <v>1</v>
      </c>
    </row>
    <row r="6" spans="1:12" x14ac:dyDescent="0.3">
      <c r="A6" s="13" t="s">
        <v>43</v>
      </c>
      <c r="B6" s="14"/>
      <c r="C6" s="14">
        <v>2.5</v>
      </c>
      <c r="D6" s="14">
        <v>3</v>
      </c>
      <c r="H6" s="21">
        <f t="shared" si="0"/>
        <v>5.5</v>
      </c>
      <c r="I6" s="33" t="str">
        <f t="shared" si="1"/>
        <v>mars</v>
      </c>
      <c r="J6" s="20">
        <f>GETPIVOTDATA("Somme de Planifié ",$A$3,"Mois texte ","mars")/H6</f>
        <v>0</v>
      </c>
      <c r="K6" s="20">
        <f>GETPIVOTDATA("Somme de Non Planifié Non urgent ",$A$3,"Mois texte ","mars")/H6</f>
        <v>0.45454545454545453</v>
      </c>
      <c r="L6" s="22">
        <f>GETPIVOTDATA("Somme de Non Planifié Urgent ",$A$3,"Mois texte ","mars")/H6</f>
        <v>0.54545454545454541</v>
      </c>
    </row>
    <row r="7" spans="1:12" x14ac:dyDescent="0.3">
      <c r="A7" s="13" t="s">
        <v>44</v>
      </c>
      <c r="B7" s="14"/>
      <c r="C7" s="14"/>
      <c r="D7" s="14">
        <v>7.5</v>
      </c>
      <c r="H7" s="21">
        <f t="shared" si="0"/>
        <v>7.5</v>
      </c>
      <c r="I7" s="33" t="str">
        <f t="shared" si="1"/>
        <v>avril</v>
      </c>
      <c r="J7" s="20">
        <f>GETPIVOTDATA("Somme de Planifié ",$A$3,"Mois texte ","avril")/H7</f>
        <v>0</v>
      </c>
      <c r="K7" s="20">
        <f>GETPIVOTDATA("Somme de Non Planifié Non urgent ",$A$3,"Mois texte ","avril")/H7</f>
        <v>0</v>
      </c>
      <c r="L7" s="22">
        <f>GETPIVOTDATA("Somme de Non Planifié Urgent ",$A$3,"Mois texte ","avril")/H7</f>
        <v>1</v>
      </c>
    </row>
    <row r="8" spans="1:12" x14ac:dyDescent="0.3">
      <c r="A8" s="13" t="s">
        <v>46</v>
      </c>
      <c r="B8" s="14"/>
      <c r="C8" s="14">
        <v>1.5</v>
      </c>
      <c r="D8" s="14"/>
      <c r="H8" s="21">
        <f t="shared" si="0"/>
        <v>1.5</v>
      </c>
      <c r="I8" s="33" t="str">
        <f t="shared" si="1"/>
        <v>juin</v>
      </c>
      <c r="J8" s="20">
        <f>GETPIVOTDATA("Somme de Planifié ",$A$3,"Mois texte ","juin")/H8</f>
        <v>0</v>
      </c>
      <c r="K8" s="20">
        <f>GETPIVOTDATA("Somme de Non Planifié Non urgent ",$A$3,"Mois texte ","juin")/H8</f>
        <v>1</v>
      </c>
      <c r="L8" s="22">
        <f>GETPIVOTDATA("Somme de Non Planifié Urgent ",$A$3,"Mois texte ","juin")/H8</f>
        <v>0</v>
      </c>
    </row>
    <row r="9" spans="1:12" ht="15" thickBot="1" x14ac:dyDescent="0.35">
      <c r="A9" s="13" t="s">
        <v>16</v>
      </c>
      <c r="B9" s="14"/>
      <c r="C9" s="14">
        <v>4</v>
      </c>
      <c r="D9" s="14">
        <v>64.5</v>
      </c>
      <c r="H9" s="23"/>
      <c r="I9" s="34"/>
      <c r="J9" s="24"/>
      <c r="K9" s="24"/>
      <c r="L9" s="25"/>
    </row>
    <row r="10" spans="1:12" x14ac:dyDescent="0.3">
      <c r="J10" s="19"/>
      <c r="K10" s="19"/>
      <c r="L10" s="19"/>
    </row>
  </sheetData>
  <pageMargins left="0.7" right="0.7" top="0.75" bottom="0.75" header="0.3" footer="0.3"/>
  <pageSetup paperSize="9" orientation="portrait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12421-BAD1-4E36-AB55-E9392ACCE421}">
  <sheetPr>
    <tabColor theme="9"/>
  </sheetPr>
  <dimension ref="A1:L10"/>
  <sheetViews>
    <sheetView workbookViewId="0">
      <selection activeCell="H12" sqref="H12"/>
    </sheetView>
  </sheetViews>
  <sheetFormatPr baseColWidth="10" defaultRowHeight="14.4" x14ac:dyDescent="0.3"/>
  <cols>
    <col min="1" max="1" width="19.5546875" bestFit="1" customWidth="1"/>
    <col min="2" max="2" width="17.21875" bestFit="1" customWidth="1"/>
    <col min="3" max="3" width="31.5546875" bestFit="1" customWidth="1"/>
    <col min="4" max="4" width="27.6640625" bestFit="1" customWidth="1"/>
    <col min="5" max="7" width="8" bestFit="1" customWidth="1"/>
    <col min="8" max="9" width="13.21875" customWidth="1"/>
    <col min="10" max="10" width="13.88671875" customWidth="1"/>
    <col min="11" max="11" width="16.5546875" customWidth="1"/>
    <col min="12" max="12" width="11" bestFit="1" customWidth="1"/>
    <col min="13" max="14" width="8" bestFit="1" customWidth="1"/>
    <col min="15" max="15" width="31.5546875" bestFit="1" customWidth="1"/>
    <col min="16" max="16" width="8" bestFit="1" customWidth="1"/>
    <col min="17" max="18" width="7" bestFit="1" customWidth="1"/>
    <col min="19" max="19" width="8" bestFit="1" customWidth="1"/>
    <col min="20" max="20" width="6" bestFit="1" customWidth="1"/>
    <col min="21" max="21" width="22" bestFit="1" customWidth="1"/>
    <col min="22" max="22" width="32.44140625" bestFit="1" customWidth="1"/>
    <col min="23" max="23" width="36.21875" bestFit="1" customWidth="1"/>
    <col min="24" max="26" width="3" bestFit="1" customWidth="1"/>
    <col min="27" max="27" width="6" bestFit="1" customWidth="1"/>
    <col min="28" max="28" width="5" bestFit="1" customWidth="1"/>
    <col min="29" max="29" width="4" bestFit="1" customWidth="1"/>
    <col min="30" max="30" width="5" bestFit="1" customWidth="1"/>
    <col min="31" max="31" width="5.88671875" bestFit="1" customWidth="1"/>
    <col min="32" max="32" width="10.5546875" bestFit="1" customWidth="1"/>
    <col min="33" max="33" width="11.88671875" bestFit="1" customWidth="1"/>
    <col min="34" max="34" width="7.88671875" bestFit="1" customWidth="1"/>
    <col min="35" max="35" width="8.21875" bestFit="1" customWidth="1"/>
    <col min="36" max="36" width="5" bestFit="1" customWidth="1"/>
    <col min="37" max="37" width="7.6640625" bestFit="1" customWidth="1"/>
    <col min="38" max="38" width="5.88671875" bestFit="1" customWidth="1"/>
    <col min="39" max="39" width="7.6640625" bestFit="1" customWidth="1"/>
    <col min="40" max="40" width="5" bestFit="1" customWidth="1"/>
    <col min="41" max="41" width="7.6640625" bestFit="1" customWidth="1"/>
    <col min="42" max="42" width="5.88671875" bestFit="1" customWidth="1"/>
    <col min="43" max="43" width="7.6640625" bestFit="1" customWidth="1"/>
    <col min="44" max="44" width="8" bestFit="1" customWidth="1"/>
    <col min="45" max="45" width="10.21875" bestFit="1" customWidth="1"/>
    <col min="46" max="46" width="7" bestFit="1" customWidth="1"/>
    <col min="47" max="47" width="9.21875" bestFit="1" customWidth="1"/>
    <col min="48" max="48" width="5" bestFit="1" customWidth="1"/>
    <col min="49" max="49" width="7.6640625" bestFit="1" customWidth="1"/>
    <col min="50" max="50" width="7" bestFit="1" customWidth="1"/>
    <col min="51" max="51" width="9.21875" bestFit="1" customWidth="1"/>
    <col min="52" max="52" width="7.88671875" bestFit="1" customWidth="1"/>
    <col min="53" max="54" width="10.5546875" bestFit="1" customWidth="1"/>
    <col min="55" max="55" width="11.88671875" bestFit="1" customWidth="1"/>
  </cols>
  <sheetData>
    <row r="1" spans="1:12" x14ac:dyDescent="0.3">
      <c r="A1" s="12" t="s">
        <v>1</v>
      </c>
      <c r="B1" t="s">
        <v>10</v>
      </c>
    </row>
    <row r="2" spans="1:12" ht="15" thickBot="1" x14ac:dyDescent="0.35"/>
    <row r="3" spans="1:12" ht="15" thickBot="1" x14ac:dyDescent="0.35">
      <c r="A3" s="12" t="s">
        <v>15</v>
      </c>
      <c r="B3" t="s">
        <v>38</v>
      </c>
      <c r="C3" t="s">
        <v>36</v>
      </c>
      <c r="D3" t="s">
        <v>37</v>
      </c>
      <c r="H3" s="29" t="s">
        <v>47</v>
      </c>
      <c r="I3" s="32" t="s">
        <v>51</v>
      </c>
      <c r="J3" s="30" t="s">
        <v>48</v>
      </c>
      <c r="K3" s="30" t="s">
        <v>49</v>
      </c>
      <c r="L3" s="31" t="s">
        <v>50</v>
      </c>
    </row>
    <row r="4" spans="1:12" x14ac:dyDescent="0.3">
      <c r="A4" s="13" t="s">
        <v>41</v>
      </c>
      <c r="B4" s="14">
        <v>1578</v>
      </c>
      <c r="C4" s="14">
        <v>570.5</v>
      </c>
      <c r="D4" s="14">
        <v>967.5</v>
      </c>
      <c r="H4" s="26">
        <f>SUM(B4:D4)</f>
        <v>3116</v>
      </c>
      <c r="I4" s="33" t="str">
        <f>A4</f>
        <v>janvier</v>
      </c>
      <c r="J4" s="27">
        <f>GETPIVOTDATA("Somme de Planifié ",$A$3,"Mois texte ","janvier")/H4</f>
        <v>0.50641848523748401</v>
      </c>
      <c r="K4" s="27">
        <f>GETPIVOTDATA("Somme de Non Planifié Non urgent ",$A$3,"Mois texte ","janvier")/H4</f>
        <v>0.18308729139922977</v>
      </c>
      <c r="L4" s="28">
        <f>GETPIVOTDATA("Somme de Non Planifié Urgent ",$A$3,"Mois texte ","janvier")/H4</f>
        <v>0.31049422336328625</v>
      </c>
    </row>
    <row r="5" spans="1:12" x14ac:dyDescent="0.3">
      <c r="A5" s="13" t="s">
        <v>42</v>
      </c>
      <c r="B5" s="14">
        <v>1413.25</v>
      </c>
      <c r="C5" s="14">
        <v>398</v>
      </c>
      <c r="D5" s="14">
        <v>503</v>
      </c>
      <c r="H5" s="21">
        <f t="shared" ref="H5:H9" si="0">SUM(B5:D5)</f>
        <v>2314.25</v>
      </c>
      <c r="I5" s="33" t="str">
        <f t="shared" ref="I5:I9" si="1">A5</f>
        <v>février</v>
      </c>
      <c r="J5" s="20">
        <f>GETPIVOTDATA("Somme de Planifié ",$A$3,"Mois texte ","février")/H5</f>
        <v>0.61067300421302795</v>
      </c>
      <c r="K5" s="20">
        <f>GETPIVOTDATA("Somme de Non Planifié Non urgent ",$A$3,"Mois texte ","février")/H5</f>
        <v>0.17197796262287998</v>
      </c>
      <c r="L5" s="22">
        <f>GETPIVOTDATA("Somme de Non Planifié Urgent ",$A$3,"Mois texte ","février")/H5</f>
        <v>0.21734903316409204</v>
      </c>
    </row>
    <row r="6" spans="1:12" x14ac:dyDescent="0.3">
      <c r="A6" s="13" t="s">
        <v>43</v>
      </c>
      <c r="B6" s="14">
        <v>1477.5</v>
      </c>
      <c r="C6" s="14">
        <v>493.5</v>
      </c>
      <c r="D6" s="14">
        <v>366</v>
      </c>
      <c r="H6" s="21">
        <f t="shared" si="0"/>
        <v>2337</v>
      </c>
      <c r="I6" s="33" t="str">
        <f t="shared" si="1"/>
        <v>mars</v>
      </c>
      <c r="J6" s="20">
        <f>GETPIVOTDATA("Somme de Planifié ",$A$3,"Mois texte ","mars")/H6</f>
        <v>0.6322207958921694</v>
      </c>
      <c r="K6" s="20">
        <f>GETPIVOTDATA("Somme de Non Planifié Non urgent ",$A$3,"Mois texte ","mars")/H6</f>
        <v>0.21116816431322208</v>
      </c>
      <c r="L6" s="22">
        <f>GETPIVOTDATA("Somme de Non Planifié Urgent ",$A$3,"Mois texte ","mars")/H6</f>
        <v>0.15661103979460847</v>
      </c>
    </row>
    <row r="7" spans="1:12" x14ac:dyDescent="0.3">
      <c r="A7" s="13" t="s">
        <v>44</v>
      </c>
      <c r="B7" s="14">
        <v>1717.75</v>
      </c>
      <c r="C7" s="14">
        <v>391.25</v>
      </c>
      <c r="D7" s="14">
        <v>507.75</v>
      </c>
      <c r="H7" s="21">
        <f t="shared" si="0"/>
        <v>2616.75</v>
      </c>
      <c r="I7" s="33" t="str">
        <f t="shared" si="1"/>
        <v>avril</v>
      </c>
      <c r="J7" s="20">
        <f>GETPIVOTDATA("Somme de Planifié ",$A$3,"Mois texte ","avril")/H7</f>
        <v>0.65644406229100982</v>
      </c>
      <c r="K7" s="20">
        <f>GETPIVOTDATA("Somme de Non Planifié Non urgent ",$A$3,"Mois texte ","avril")/H7</f>
        <v>0.14951753128881246</v>
      </c>
      <c r="L7" s="22">
        <f>GETPIVOTDATA("Somme de Non Planifié Urgent ",$A$3,"Mois texte ","avril")/H7</f>
        <v>0.19403840642017769</v>
      </c>
    </row>
    <row r="8" spans="1:12" x14ac:dyDescent="0.3">
      <c r="A8" s="13" t="s">
        <v>45</v>
      </c>
      <c r="B8" s="14">
        <v>1971.75</v>
      </c>
      <c r="C8" s="14">
        <v>383</v>
      </c>
      <c r="D8" s="14">
        <v>618.5</v>
      </c>
      <c r="H8" s="21">
        <f t="shared" si="0"/>
        <v>2973.25</v>
      </c>
      <c r="I8" s="33" t="str">
        <f t="shared" si="1"/>
        <v>mai</v>
      </c>
      <c r="J8" s="20">
        <f>GETPIVOTDATA("Somme de Planifié ",$A$3,"Mois texte ","mai")/H8</f>
        <v>0.66316320524678385</v>
      </c>
      <c r="K8" s="20">
        <f>GETPIVOTDATA("Somme de Non Planifié Non urgent ",$A$3,"Mois texte ","mai")/H8</f>
        <v>0.12881526948625241</v>
      </c>
      <c r="L8" s="22">
        <f>GETPIVOTDATA("Somme de Non Planifié Urgent ",$A$3,"Mois texte ","mai")/H8</f>
        <v>0.20802152526696377</v>
      </c>
    </row>
    <row r="9" spans="1:12" ht="15" thickBot="1" x14ac:dyDescent="0.35">
      <c r="A9" s="13" t="s">
        <v>46</v>
      </c>
      <c r="B9" s="14">
        <v>1054.75</v>
      </c>
      <c r="C9" s="14">
        <v>43.5</v>
      </c>
      <c r="D9" s="14">
        <v>282.5</v>
      </c>
      <c r="H9" s="23">
        <f t="shared" si="0"/>
        <v>1380.75</v>
      </c>
      <c r="I9" s="34" t="str">
        <f t="shared" si="1"/>
        <v>juin</v>
      </c>
      <c r="J9" s="24">
        <f>GETPIVOTDATA("Somme de Planifié ",$A$3,"Mois texte ","juin")/H9</f>
        <v>0.76389643309795396</v>
      </c>
      <c r="K9" s="24">
        <f>GETPIVOTDATA("Somme de Non Planifié Non urgent ",$A$3,"Mois texte ","juin")/H9</f>
        <v>3.1504617055947856E-2</v>
      </c>
      <c r="L9" s="25">
        <f>GETPIVOTDATA("Somme de Non Planifié Urgent ",$A$3,"Mois texte ","juin")/H9</f>
        <v>0.20459894984609814</v>
      </c>
    </row>
    <row r="10" spans="1:12" x14ac:dyDescent="0.3">
      <c r="A10" s="13" t="s">
        <v>16</v>
      </c>
      <c r="B10" s="14">
        <v>9213</v>
      </c>
      <c r="C10" s="14">
        <v>2279.75</v>
      </c>
      <c r="D10" s="14">
        <v>3245.25</v>
      </c>
      <c r="J10" s="19"/>
      <c r="K10" s="19"/>
      <c r="L10" s="19"/>
    </row>
  </sheetData>
  <pageMargins left="0.7" right="0.7" top="0.75" bottom="0.75" header="0.3" footer="0.3"/>
  <pageSetup paperSize="9" orientation="portrait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F3563-A223-4897-BAA2-680194489CAB}">
  <sheetPr>
    <tabColor theme="9"/>
  </sheetPr>
  <dimension ref="A1:L10"/>
  <sheetViews>
    <sheetView workbookViewId="0">
      <selection activeCell="H39" sqref="H39"/>
    </sheetView>
  </sheetViews>
  <sheetFormatPr baseColWidth="10" defaultRowHeight="14.4" x14ac:dyDescent="0.3"/>
  <cols>
    <col min="1" max="1" width="19.5546875" bestFit="1" customWidth="1"/>
    <col min="2" max="2" width="17.21875" bestFit="1" customWidth="1"/>
    <col min="3" max="3" width="31.5546875" bestFit="1" customWidth="1"/>
    <col min="4" max="4" width="27.6640625" bestFit="1" customWidth="1"/>
    <col min="5" max="7" width="8" bestFit="1" customWidth="1"/>
    <col min="8" max="9" width="13.21875" customWidth="1"/>
    <col min="10" max="10" width="13.88671875" customWidth="1"/>
    <col min="11" max="11" width="16.5546875" customWidth="1"/>
    <col min="12" max="12" width="11" bestFit="1" customWidth="1"/>
    <col min="13" max="14" width="8" bestFit="1" customWidth="1"/>
    <col min="15" max="15" width="31.5546875" bestFit="1" customWidth="1"/>
    <col min="16" max="16" width="8" bestFit="1" customWidth="1"/>
    <col min="17" max="18" width="7" bestFit="1" customWidth="1"/>
    <col min="19" max="19" width="8" bestFit="1" customWidth="1"/>
    <col min="20" max="20" width="6" bestFit="1" customWidth="1"/>
    <col min="21" max="21" width="22" bestFit="1" customWidth="1"/>
    <col min="22" max="22" width="32.44140625" bestFit="1" customWidth="1"/>
    <col min="23" max="23" width="36.21875" bestFit="1" customWidth="1"/>
    <col min="24" max="26" width="3" bestFit="1" customWidth="1"/>
    <col min="27" max="27" width="6" bestFit="1" customWidth="1"/>
    <col min="28" max="28" width="5" bestFit="1" customWidth="1"/>
    <col min="29" max="29" width="4" bestFit="1" customWidth="1"/>
    <col min="30" max="30" width="5" bestFit="1" customWidth="1"/>
    <col min="31" max="31" width="5.88671875" bestFit="1" customWidth="1"/>
    <col min="32" max="32" width="10.5546875" bestFit="1" customWidth="1"/>
    <col min="33" max="33" width="11.88671875" bestFit="1" customWidth="1"/>
    <col min="34" max="34" width="7.88671875" bestFit="1" customWidth="1"/>
    <col min="35" max="35" width="8.21875" bestFit="1" customWidth="1"/>
    <col min="36" max="36" width="5" bestFit="1" customWidth="1"/>
    <col min="37" max="37" width="7.6640625" bestFit="1" customWidth="1"/>
    <col min="38" max="38" width="5.88671875" bestFit="1" customWidth="1"/>
    <col min="39" max="39" width="7.6640625" bestFit="1" customWidth="1"/>
    <col min="40" max="40" width="5" bestFit="1" customWidth="1"/>
    <col min="41" max="41" width="7.6640625" bestFit="1" customWidth="1"/>
    <col min="42" max="42" width="5.88671875" bestFit="1" customWidth="1"/>
    <col min="43" max="43" width="7.6640625" bestFit="1" customWidth="1"/>
    <col min="44" max="44" width="8" bestFit="1" customWidth="1"/>
    <col min="45" max="45" width="10.21875" bestFit="1" customWidth="1"/>
    <col min="46" max="46" width="7" bestFit="1" customWidth="1"/>
    <col min="47" max="47" width="9.21875" bestFit="1" customWidth="1"/>
    <col min="48" max="48" width="5" bestFit="1" customWidth="1"/>
    <col min="49" max="49" width="7.6640625" bestFit="1" customWidth="1"/>
    <col min="50" max="50" width="7" bestFit="1" customWidth="1"/>
    <col min="51" max="51" width="9.21875" bestFit="1" customWidth="1"/>
    <col min="52" max="52" width="7.88671875" bestFit="1" customWidth="1"/>
    <col min="53" max="54" width="10.5546875" bestFit="1" customWidth="1"/>
    <col min="55" max="55" width="11.88671875" bestFit="1" customWidth="1"/>
  </cols>
  <sheetData>
    <row r="1" spans="1:12" x14ac:dyDescent="0.3">
      <c r="A1" s="12" t="s">
        <v>1</v>
      </c>
      <c r="B1" t="s">
        <v>11</v>
      </c>
    </row>
    <row r="2" spans="1:12" ht="15" thickBot="1" x14ac:dyDescent="0.35"/>
    <row r="3" spans="1:12" ht="15" thickBot="1" x14ac:dyDescent="0.35">
      <c r="A3" s="12" t="s">
        <v>15</v>
      </c>
      <c r="B3" t="s">
        <v>38</v>
      </c>
      <c r="C3" t="s">
        <v>36</v>
      </c>
      <c r="D3" t="s">
        <v>37</v>
      </c>
      <c r="H3" s="29" t="s">
        <v>47</v>
      </c>
      <c r="I3" s="32" t="s">
        <v>51</v>
      </c>
      <c r="J3" s="30" t="s">
        <v>48</v>
      </c>
      <c r="K3" s="30" t="s">
        <v>49</v>
      </c>
      <c r="L3" s="31" t="s">
        <v>50</v>
      </c>
    </row>
    <row r="4" spans="1:12" x14ac:dyDescent="0.3">
      <c r="A4" s="13" t="s">
        <v>41</v>
      </c>
      <c r="B4" s="14">
        <v>143</v>
      </c>
      <c r="C4" s="14">
        <v>74.5</v>
      </c>
      <c r="D4" s="14">
        <v>326</v>
      </c>
      <c r="H4" s="26">
        <f>SUM(B4:D4)</f>
        <v>543.5</v>
      </c>
      <c r="I4" s="33" t="str">
        <f>A4</f>
        <v>janvier</v>
      </c>
      <c r="J4" s="27">
        <f>GETPIVOTDATA("Somme de Planifié ",$A$3,"Mois texte ","janvier")/H4</f>
        <v>0.26310947562097514</v>
      </c>
      <c r="K4" s="27">
        <f>GETPIVOTDATA("Somme de Non Planifié Non urgent ",$A$3,"Mois texte ","janvier")/H4</f>
        <v>0.13707451701931922</v>
      </c>
      <c r="L4" s="28">
        <f>GETPIVOTDATA("Somme de Non Planifié Urgent ",$A$3,"Mois texte ","janvier")/H4</f>
        <v>0.59981600735970564</v>
      </c>
    </row>
    <row r="5" spans="1:12" x14ac:dyDescent="0.3">
      <c r="A5" s="13" t="s">
        <v>42</v>
      </c>
      <c r="B5" s="14">
        <v>740.5</v>
      </c>
      <c r="C5" s="14">
        <v>628.25</v>
      </c>
      <c r="D5" s="14">
        <v>669.75</v>
      </c>
      <c r="H5" s="21">
        <f t="shared" ref="H5:H9" si="0">SUM(B5:D5)</f>
        <v>2038.5</v>
      </c>
      <c r="I5" s="33" t="str">
        <f t="shared" ref="I5:I9" si="1">A5</f>
        <v>février</v>
      </c>
      <c r="J5" s="20">
        <f>GETPIVOTDATA("Somme de Planifié ",$A$3,"Mois texte ","février")/H5</f>
        <v>0.36325729703213144</v>
      </c>
      <c r="K5" s="20">
        <f>GETPIVOTDATA("Somme de Non Planifié Non urgent ",$A$3,"Mois texte ","février")/H5</f>
        <v>0.3081922982585234</v>
      </c>
      <c r="L5" s="22">
        <f>GETPIVOTDATA("Somme de Non Planifié Urgent ",$A$3,"Mois texte ","février")/H5</f>
        <v>0.3285504047093451</v>
      </c>
    </row>
    <row r="6" spans="1:12" x14ac:dyDescent="0.3">
      <c r="A6" s="13" t="s">
        <v>43</v>
      </c>
      <c r="B6" s="14">
        <v>270.5</v>
      </c>
      <c r="C6" s="14">
        <v>109.5</v>
      </c>
      <c r="D6" s="14">
        <v>641.25</v>
      </c>
      <c r="H6" s="21">
        <f t="shared" si="0"/>
        <v>1021.25</v>
      </c>
      <c r="I6" s="33" t="str">
        <f t="shared" si="1"/>
        <v>mars</v>
      </c>
      <c r="J6" s="20">
        <f>GETPIVOTDATA("Somme de Planifié ",$A$3,"Mois texte ","mars")/H6</f>
        <v>0.26487148102815178</v>
      </c>
      <c r="K6" s="20">
        <f>GETPIVOTDATA("Somme de Non Planifié Non urgent ",$A$3,"Mois texte ","mars")/H6</f>
        <v>0.10722154222766218</v>
      </c>
      <c r="L6" s="22">
        <f>GETPIVOTDATA("Somme de Non Planifié Urgent ",$A$3,"Mois texte ","mars")/H6</f>
        <v>0.62790697674418605</v>
      </c>
    </row>
    <row r="7" spans="1:12" x14ac:dyDescent="0.3">
      <c r="A7" s="13" t="s">
        <v>44</v>
      </c>
      <c r="B7" s="14">
        <v>140</v>
      </c>
      <c r="C7" s="14">
        <v>103.5</v>
      </c>
      <c r="D7" s="14">
        <v>443</v>
      </c>
      <c r="H7" s="21">
        <f t="shared" si="0"/>
        <v>686.5</v>
      </c>
      <c r="I7" s="33" t="str">
        <f t="shared" si="1"/>
        <v>avril</v>
      </c>
      <c r="J7" s="20">
        <f>GETPIVOTDATA("Somme de Planifié ",$A$3,"Mois texte ","avril")/H7</f>
        <v>0.20393299344501092</v>
      </c>
      <c r="K7" s="20">
        <f>GETPIVOTDATA("Somme de Non Planifié Non urgent ",$A$3,"Mois texte ","avril")/H7</f>
        <v>0.15076474872541878</v>
      </c>
      <c r="L7" s="22">
        <f>GETPIVOTDATA("Somme de Non Planifié Urgent ",$A$3,"Mois texte ","avril")/H7</f>
        <v>0.64530225782957029</v>
      </c>
    </row>
    <row r="8" spans="1:12" x14ac:dyDescent="0.3">
      <c r="A8" s="13" t="s">
        <v>45</v>
      </c>
      <c r="B8" s="14">
        <v>124</v>
      </c>
      <c r="C8" s="14">
        <v>57.5</v>
      </c>
      <c r="D8" s="14">
        <v>559</v>
      </c>
      <c r="H8" s="21">
        <f t="shared" si="0"/>
        <v>740.5</v>
      </c>
      <c r="I8" s="33" t="str">
        <f t="shared" si="1"/>
        <v>mai</v>
      </c>
      <c r="J8" s="20">
        <f>GETPIVOTDATA("Somme de Planifié ",$A$3,"Mois texte ","mai")/H8</f>
        <v>0.1674544226873734</v>
      </c>
      <c r="K8" s="20">
        <f>GETPIVOTDATA("Somme de Non Planifié Non urgent ",$A$3,"Mois texte ","mai")/H8</f>
        <v>7.7650236326806218E-2</v>
      </c>
      <c r="L8" s="22">
        <f>GETPIVOTDATA("Somme de Non Planifié Urgent ",$A$3,"Mois texte ","mai")/H8</f>
        <v>0.75489534098582034</v>
      </c>
    </row>
    <row r="9" spans="1:12" ht="15" thickBot="1" x14ac:dyDescent="0.35">
      <c r="A9" s="13" t="s">
        <v>46</v>
      </c>
      <c r="B9" s="14">
        <v>31.5</v>
      </c>
      <c r="C9" s="14">
        <v>52</v>
      </c>
      <c r="D9" s="14">
        <v>215</v>
      </c>
      <c r="H9" s="23">
        <f t="shared" si="0"/>
        <v>298.5</v>
      </c>
      <c r="I9" s="34" t="str">
        <f t="shared" si="1"/>
        <v>juin</v>
      </c>
      <c r="J9" s="24">
        <f>GETPIVOTDATA("Somme de Planifié ",$A$3,"Mois texte ","juin")/H9</f>
        <v>0.10552763819095477</v>
      </c>
      <c r="K9" s="24">
        <f>GETPIVOTDATA("Somme de Non Planifié Non urgent ",$A$3,"Mois texte ","juin")/H9</f>
        <v>0.17420435510887772</v>
      </c>
      <c r="L9" s="25">
        <f>GETPIVOTDATA("Somme de Non Planifié Urgent ",$A$3,"Mois texte ","juin")/H9</f>
        <v>0.72026800670016755</v>
      </c>
    </row>
    <row r="10" spans="1:12" x14ac:dyDescent="0.3">
      <c r="A10" s="13" t="s">
        <v>16</v>
      </c>
      <c r="B10" s="14">
        <v>1449.5</v>
      </c>
      <c r="C10" s="14">
        <v>1025.25</v>
      </c>
      <c r="D10" s="14">
        <v>2854</v>
      </c>
      <c r="J10" s="19"/>
      <c r="K10" s="19"/>
      <c r="L10" s="19"/>
    </row>
  </sheetData>
  <pageMargins left="0.7" right="0.7" top="0.75" bottom="0.75" header="0.3" footer="0.3"/>
  <pageSetup paperSize="9" orientation="portrait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44EA1-844E-4A20-B90B-02A4156A6F86}">
  <sheetPr>
    <tabColor theme="9"/>
  </sheetPr>
  <dimension ref="A1:L10"/>
  <sheetViews>
    <sheetView workbookViewId="0">
      <selection activeCell="H12" sqref="H12"/>
    </sheetView>
  </sheetViews>
  <sheetFormatPr baseColWidth="10" defaultRowHeight="14.4" x14ac:dyDescent="0.3"/>
  <cols>
    <col min="1" max="1" width="19.5546875" bestFit="1" customWidth="1"/>
    <col min="2" max="2" width="24" bestFit="1" customWidth="1"/>
    <col min="3" max="3" width="31.5546875" bestFit="1" customWidth="1"/>
    <col min="4" max="4" width="27.6640625" bestFit="1" customWidth="1"/>
    <col min="5" max="7" width="8" bestFit="1" customWidth="1"/>
    <col min="8" max="9" width="13.21875" customWidth="1"/>
    <col min="10" max="10" width="13.88671875" customWidth="1"/>
    <col min="11" max="11" width="16.5546875" customWidth="1"/>
    <col min="12" max="12" width="11" bestFit="1" customWidth="1"/>
    <col min="13" max="14" width="8" bestFit="1" customWidth="1"/>
    <col min="15" max="15" width="31.5546875" bestFit="1" customWidth="1"/>
    <col min="16" max="16" width="8" bestFit="1" customWidth="1"/>
    <col min="17" max="18" width="7" bestFit="1" customWidth="1"/>
    <col min="19" max="19" width="8" bestFit="1" customWidth="1"/>
    <col min="20" max="20" width="6" bestFit="1" customWidth="1"/>
    <col min="21" max="21" width="22" bestFit="1" customWidth="1"/>
    <col min="22" max="22" width="32.44140625" bestFit="1" customWidth="1"/>
    <col min="23" max="23" width="36.21875" bestFit="1" customWidth="1"/>
    <col min="24" max="26" width="3" bestFit="1" customWidth="1"/>
    <col min="27" max="27" width="6" bestFit="1" customWidth="1"/>
    <col min="28" max="28" width="5" bestFit="1" customWidth="1"/>
    <col min="29" max="29" width="4" bestFit="1" customWidth="1"/>
    <col min="30" max="30" width="5" bestFit="1" customWidth="1"/>
    <col min="31" max="31" width="5.88671875" bestFit="1" customWidth="1"/>
    <col min="32" max="32" width="10.5546875" bestFit="1" customWidth="1"/>
    <col min="33" max="33" width="11.88671875" bestFit="1" customWidth="1"/>
    <col min="34" max="34" width="7.88671875" bestFit="1" customWidth="1"/>
    <col min="35" max="35" width="8.21875" bestFit="1" customWidth="1"/>
    <col min="36" max="36" width="5" bestFit="1" customWidth="1"/>
    <col min="37" max="37" width="7.6640625" bestFit="1" customWidth="1"/>
    <col min="38" max="38" width="5.88671875" bestFit="1" customWidth="1"/>
    <col min="39" max="39" width="7.6640625" bestFit="1" customWidth="1"/>
    <col min="40" max="40" width="5" bestFit="1" customWidth="1"/>
    <col min="41" max="41" width="7.6640625" bestFit="1" customWidth="1"/>
    <col min="42" max="42" width="5.88671875" bestFit="1" customWidth="1"/>
    <col min="43" max="43" width="7.6640625" bestFit="1" customWidth="1"/>
    <col min="44" max="44" width="8" bestFit="1" customWidth="1"/>
    <col min="45" max="45" width="10.21875" bestFit="1" customWidth="1"/>
    <col min="46" max="46" width="7" bestFit="1" customWidth="1"/>
    <col min="47" max="47" width="9.21875" bestFit="1" customWidth="1"/>
    <col min="48" max="48" width="5" bestFit="1" customWidth="1"/>
    <col min="49" max="49" width="7.6640625" bestFit="1" customWidth="1"/>
    <col min="50" max="50" width="7" bestFit="1" customWidth="1"/>
    <col min="51" max="51" width="9.21875" bestFit="1" customWidth="1"/>
    <col min="52" max="52" width="7.88671875" bestFit="1" customWidth="1"/>
    <col min="53" max="54" width="10.5546875" bestFit="1" customWidth="1"/>
    <col min="55" max="55" width="11.88671875" bestFit="1" customWidth="1"/>
  </cols>
  <sheetData>
    <row r="1" spans="1:12" x14ac:dyDescent="0.3">
      <c r="A1" s="12" t="s">
        <v>1</v>
      </c>
      <c r="B1" t="s">
        <v>12</v>
      </c>
    </row>
    <row r="2" spans="1:12" ht="15" thickBot="1" x14ac:dyDescent="0.35"/>
    <row r="3" spans="1:12" ht="15" thickBot="1" x14ac:dyDescent="0.35">
      <c r="A3" s="12" t="s">
        <v>15</v>
      </c>
      <c r="B3" t="s">
        <v>38</v>
      </c>
      <c r="C3" t="s">
        <v>36</v>
      </c>
      <c r="D3" t="s">
        <v>37</v>
      </c>
      <c r="H3" s="29" t="s">
        <v>47</v>
      </c>
      <c r="I3" s="32" t="s">
        <v>51</v>
      </c>
      <c r="J3" s="30" t="s">
        <v>48</v>
      </c>
      <c r="K3" s="30" t="s">
        <v>49</v>
      </c>
      <c r="L3" s="31" t="s">
        <v>50</v>
      </c>
    </row>
    <row r="4" spans="1:12" x14ac:dyDescent="0.3">
      <c r="A4" s="13" t="s">
        <v>41</v>
      </c>
      <c r="B4" s="14">
        <v>197</v>
      </c>
      <c r="C4" s="14">
        <v>265.75</v>
      </c>
      <c r="D4" s="14">
        <v>960.5</v>
      </c>
      <c r="H4" s="26">
        <f>SUM(B4:D4)</f>
        <v>1423.25</v>
      </c>
      <c r="I4" s="33" t="str">
        <f>A4</f>
        <v>janvier</v>
      </c>
      <c r="J4" s="27">
        <f>GETPIVOTDATA("Somme de Planifié ",$A$3,"Mois texte ","janvier")/H4</f>
        <v>0.13841559810293344</v>
      </c>
      <c r="K4" s="27">
        <f>GETPIVOTDATA("Somme de Non Planifié Non urgent ",$A$3,"Mois texte ","janvier")/H4</f>
        <v>0.18672053398910943</v>
      </c>
      <c r="L4" s="28">
        <f>GETPIVOTDATA("Somme de Non Planifié Urgent ",$A$3,"Mois texte ","janvier")/H4</f>
        <v>0.67486386790795716</v>
      </c>
    </row>
    <row r="5" spans="1:12" x14ac:dyDescent="0.3">
      <c r="A5" s="13" t="s">
        <v>42</v>
      </c>
      <c r="B5" s="14">
        <v>103.5</v>
      </c>
      <c r="C5" s="14">
        <v>244</v>
      </c>
      <c r="D5" s="14">
        <v>520</v>
      </c>
      <c r="H5" s="21">
        <f t="shared" ref="H5:H9" si="0">SUM(B5:D5)</f>
        <v>867.5</v>
      </c>
      <c r="I5" s="33" t="str">
        <f t="shared" ref="I5:I9" si="1">A5</f>
        <v>février</v>
      </c>
      <c r="J5" s="20">
        <f>GETPIVOTDATA("Somme de Planifié ",$A$3,"Mois texte ","février")/H5</f>
        <v>0.11930835734870317</v>
      </c>
      <c r="K5" s="20">
        <f>GETPIVOTDATA("Somme de Non Planifié Non urgent ",$A$3,"Mois texte ","février")/H5</f>
        <v>0.28126801152737751</v>
      </c>
      <c r="L5" s="22">
        <f>GETPIVOTDATA("Somme de Non Planifié Urgent ",$A$3,"Mois texte ","février")/H5</f>
        <v>0.59942363112391928</v>
      </c>
    </row>
    <row r="6" spans="1:12" x14ac:dyDescent="0.3">
      <c r="A6" s="13" t="s">
        <v>43</v>
      </c>
      <c r="B6" s="14">
        <v>62.5</v>
      </c>
      <c r="C6" s="14">
        <v>383.5</v>
      </c>
      <c r="D6" s="14">
        <v>526.5</v>
      </c>
      <c r="H6" s="21">
        <f t="shared" si="0"/>
        <v>972.5</v>
      </c>
      <c r="I6" s="33" t="str">
        <f t="shared" si="1"/>
        <v>mars</v>
      </c>
      <c r="J6" s="20">
        <f>GETPIVOTDATA("Somme de Planifié ",$A$3,"Mois texte ","mars")/H6</f>
        <v>6.4267352185089971E-2</v>
      </c>
      <c r="K6" s="20">
        <f>GETPIVOTDATA("Somme de Non Planifié Non urgent ",$A$3,"Mois texte ","mars")/H6</f>
        <v>0.39434447300771208</v>
      </c>
      <c r="L6" s="22">
        <f>GETPIVOTDATA("Somme de Non Planifié Urgent ",$A$3,"Mois texte ","mars")/H6</f>
        <v>0.54138817480719792</v>
      </c>
    </row>
    <row r="7" spans="1:12" x14ac:dyDescent="0.3">
      <c r="A7" s="13" t="s">
        <v>44</v>
      </c>
      <c r="B7" s="14">
        <v>174.5</v>
      </c>
      <c r="C7" s="14">
        <v>311.5</v>
      </c>
      <c r="D7" s="14">
        <v>551.5</v>
      </c>
      <c r="H7" s="21">
        <f t="shared" si="0"/>
        <v>1037.5</v>
      </c>
      <c r="I7" s="33" t="str">
        <f t="shared" si="1"/>
        <v>avril</v>
      </c>
      <c r="J7" s="20">
        <f>GETPIVOTDATA("Somme de Planifié ",$A$3,"Mois texte ","avril")/H7</f>
        <v>0.16819277108433736</v>
      </c>
      <c r="K7" s="20">
        <f>GETPIVOTDATA("Somme de Non Planifié Non urgent ",$A$3,"Mois texte ","avril")/H7</f>
        <v>0.30024096385542171</v>
      </c>
      <c r="L7" s="22">
        <f>GETPIVOTDATA("Somme de Non Planifié Urgent ",$A$3,"Mois texte ","avril")/H7</f>
        <v>0.53156626506024096</v>
      </c>
    </row>
    <row r="8" spans="1:12" x14ac:dyDescent="0.3">
      <c r="A8" s="13" t="s">
        <v>45</v>
      </c>
      <c r="B8" s="14">
        <v>74</v>
      </c>
      <c r="C8" s="14">
        <v>327.25</v>
      </c>
      <c r="D8" s="14">
        <v>804.25</v>
      </c>
      <c r="H8" s="21">
        <f t="shared" si="0"/>
        <v>1205.5</v>
      </c>
      <c r="I8" s="33" t="str">
        <f t="shared" si="1"/>
        <v>mai</v>
      </c>
      <c r="J8" s="20">
        <f>GETPIVOTDATA("Somme de Planifié ",$A$3,"Mois texte ","mai")/H8</f>
        <v>6.1385317295727916E-2</v>
      </c>
      <c r="K8" s="20">
        <f>GETPIVOTDATA("Somme de Non Planifié Non urgent ",$A$3,"Mois texte ","mai")/H8</f>
        <v>0.27146412277063459</v>
      </c>
      <c r="L8" s="22">
        <f>GETPIVOTDATA("Somme de Non Planifié Urgent ",$A$3,"Mois texte ","mai")/H8</f>
        <v>0.66715055993363748</v>
      </c>
    </row>
    <row r="9" spans="1:12" ht="15" thickBot="1" x14ac:dyDescent="0.35">
      <c r="A9" s="13" t="s">
        <v>46</v>
      </c>
      <c r="B9" s="14">
        <v>45.5</v>
      </c>
      <c r="C9" s="14">
        <v>124.5</v>
      </c>
      <c r="D9" s="14">
        <v>298</v>
      </c>
      <c r="H9" s="23">
        <f t="shared" si="0"/>
        <v>468</v>
      </c>
      <c r="I9" s="34" t="str">
        <f t="shared" si="1"/>
        <v>juin</v>
      </c>
      <c r="J9" s="24">
        <f>GETPIVOTDATA("Somme de Planifié ",$A$3,"Mois texte ","juin")/H9</f>
        <v>9.7222222222222224E-2</v>
      </c>
      <c r="K9" s="24">
        <f>GETPIVOTDATA("Somme de Non Planifié Non urgent ",$A$3,"Mois texte ","juin")/H9</f>
        <v>0.26602564102564102</v>
      </c>
      <c r="L9" s="25">
        <f>GETPIVOTDATA("Somme de Non Planifié Urgent ",$A$3,"Mois texte ","juin")/H9</f>
        <v>0.63675213675213671</v>
      </c>
    </row>
    <row r="10" spans="1:12" x14ac:dyDescent="0.3">
      <c r="A10" s="13" t="s">
        <v>16</v>
      </c>
      <c r="B10" s="14">
        <v>657</v>
      </c>
      <c r="C10" s="14">
        <v>1656.5</v>
      </c>
      <c r="D10" s="14">
        <v>3660.75</v>
      </c>
      <c r="J10" s="19"/>
      <c r="K10" s="19"/>
      <c r="L10" s="19"/>
    </row>
  </sheetData>
  <pageMargins left="0.7" right="0.7" top="0.75" bottom="0.75" header="0.3" footer="0.3"/>
  <pageSetup paperSize="9" orientation="portrait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B904F-06BA-4409-A28E-E2123186CCDF}">
  <sheetPr>
    <tabColor theme="9"/>
  </sheetPr>
  <dimension ref="A1:L10"/>
  <sheetViews>
    <sheetView workbookViewId="0">
      <selection activeCell="H12" sqref="H12"/>
    </sheetView>
  </sheetViews>
  <sheetFormatPr baseColWidth="10" defaultRowHeight="14.4" x14ac:dyDescent="0.3"/>
  <cols>
    <col min="1" max="1" width="19.5546875" bestFit="1" customWidth="1"/>
    <col min="2" max="2" width="17.21875" bestFit="1" customWidth="1"/>
    <col min="3" max="3" width="31.5546875" bestFit="1" customWidth="1"/>
    <col min="4" max="4" width="27.6640625" bestFit="1" customWidth="1"/>
    <col min="5" max="7" width="8" bestFit="1" customWidth="1"/>
    <col min="8" max="9" width="13.21875" customWidth="1"/>
    <col min="10" max="10" width="13.88671875" customWidth="1"/>
    <col min="11" max="11" width="16.5546875" customWidth="1"/>
    <col min="12" max="12" width="11" bestFit="1" customWidth="1"/>
    <col min="13" max="14" width="8" bestFit="1" customWidth="1"/>
    <col min="15" max="15" width="31.5546875" bestFit="1" customWidth="1"/>
    <col min="16" max="16" width="8" bestFit="1" customWidth="1"/>
    <col min="17" max="18" width="7" bestFit="1" customWidth="1"/>
    <col min="19" max="19" width="8" bestFit="1" customWidth="1"/>
    <col min="20" max="20" width="6" bestFit="1" customWidth="1"/>
    <col min="21" max="21" width="22" bestFit="1" customWidth="1"/>
    <col min="22" max="22" width="32.44140625" bestFit="1" customWidth="1"/>
    <col min="23" max="23" width="36.21875" bestFit="1" customWidth="1"/>
    <col min="24" max="26" width="3" bestFit="1" customWidth="1"/>
    <col min="27" max="27" width="6" bestFit="1" customWidth="1"/>
    <col min="28" max="28" width="5" bestFit="1" customWidth="1"/>
    <col min="29" max="29" width="4" bestFit="1" customWidth="1"/>
    <col min="30" max="30" width="5" bestFit="1" customWidth="1"/>
    <col min="31" max="31" width="5.88671875" bestFit="1" customWidth="1"/>
    <col min="32" max="32" width="10.5546875" bestFit="1" customWidth="1"/>
    <col min="33" max="33" width="11.88671875" bestFit="1" customWidth="1"/>
    <col min="34" max="34" width="7.88671875" bestFit="1" customWidth="1"/>
    <col min="35" max="35" width="8.21875" bestFit="1" customWidth="1"/>
    <col min="36" max="36" width="5" bestFit="1" customWidth="1"/>
    <col min="37" max="37" width="7.6640625" bestFit="1" customWidth="1"/>
    <col min="38" max="38" width="5.88671875" bestFit="1" customWidth="1"/>
    <col min="39" max="39" width="7.6640625" bestFit="1" customWidth="1"/>
    <col min="40" max="40" width="5" bestFit="1" customWidth="1"/>
    <col min="41" max="41" width="7.6640625" bestFit="1" customWidth="1"/>
    <col min="42" max="42" width="5.88671875" bestFit="1" customWidth="1"/>
    <col min="43" max="43" width="7.6640625" bestFit="1" customWidth="1"/>
    <col min="44" max="44" width="8" bestFit="1" customWidth="1"/>
    <col min="45" max="45" width="10.21875" bestFit="1" customWidth="1"/>
    <col min="46" max="46" width="7" bestFit="1" customWidth="1"/>
    <col min="47" max="47" width="9.21875" bestFit="1" customWidth="1"/>
    <col min="48" max="48" width="5" bestFit="1" customWidth="1"/>
    <col min="49" max="49" width="7.6640625" bestFit="1" customWidth="1"/>
    <col min="50" max="50" width="7" bestFit="1" customWidth="1"/>
    <col min="51" max="51" width="9.21875" bestFit="1" customWidth="1"/>
    <col min="52" max="52" width="7.88671875" bestFit="1" customWidth="1"/>
    <col min="53" max="54" width="10.5546875" bestFit="1" customWidth="1"/>
    <col min="55" max="55" width="11.88671875" bestFit="1" customWidth="1"/>
  </cols>
  <sheetData>
    <row r="1" spans="1:12" x14ac:dyDescent="0.3">
      <c r="A1" s="12" t="s">
        <v>1</v>
      </c>
      <c r="B1" t="s">
        <v>13</v>
      </c>
    </row>
    <row r="2" spans="1:12" ht="15" thickBot="1" x14ac:dyDescent="0.35"/>
    <row r="3" spans="1:12" ht="15" thickBot="1" x14ac:dyDescent="0.35">
      <c r="A3" s="12" t="s">
        <v>15</v>
      </c>
      <c r="B3" t="s">
        <v>38</v>
      </c>
      <c r="C3" t="s">
        <v>36</v>
      </c>
      <c r="D3" t="s">
        <v>37</v>
      </c>
      <c r="H3" s="29" t="s">
        <v>47</v>
      </c>
      <c r="I3" s="32" t="s">
        <v>51</v>
      </c>
      <c r="J3" s="30" t="s">
        <v>48</v>
      </c>
      <c r="K3" s="30" t="s">
        <v>49</v>
      </c>
      <c r="L3" s="31" t="s">
        <v>50</v>
      </c>
    </row>
    <row r="4" spans="1:12" x14ac:dyDescent="0.3">
      <c r="A4" s="13" t="s">
        <v>41</v>
      </c>
      <c r="B4" s="14"/>
      <c r="C4" s="14"/>
      <c r="D4" s="14">
        <v>221</v>
      </c>
      <c r="H4" s="26">
        <f>SUM(B4:D4)</f>
        <v>221</v>
      </c>
      <c r="I4" s="33" t="str">
        <f>A4</f>
        <v>janvier</v>
      </c>
      <c r="J4" s="27">
        <f>GETPIVOTDATA("Somme de Planifié ",$A$3,"Mois texte ","janvier")/H4</f>
        <v>0</v>
      </c>
      <c r="K4" s="27">
        <f>GETPIVOTDATA("Somme de Non Planifié Non urgent ",$A$3,"Mois texte ","janvier")/H4</f>
        <v>0</v>
      </c>
      <c r="L4" s="28">
        <f>GETPIVOTDATA("Somme de Non Planifié Urgent ",$A$3,"Mois texte ","janvier")/H4</f>
        <v>1</v>
      </c>
    </row>
    <row r="5" spans="1:12" x14ac:dyDescent="0.3">
      <c r="A5" s="13" t="s">
        <v>42</v>
      </c>
      <c r="B5" s="14">
        <v>34</v>
      </c>
      <c r="C5" s="14">
        <v>26</v>
      </c>
      <c r="D5" s="14">
        <v>125</v>
      </c>
      <c r="H5" s="21">
        <f t="shared" ref="H5:H9" si="0">SUM(B5:D5)</f>
        <v>185</v>
      </c>
      <c r="I5" s="33" t="str">
        <f t="shared" ref="I5:I9" si="1">A5</f>
        <v>février</v>
      </c>
      <c r="J5" s="20">
        <f>GETPIVOTDATA("Somme de Planifié ",$A$3,"Mois texte ","février")/H5</f>
        <v>0.18378378378378379</v>
      </c>
      <c r="K5" s="20">
        <f>GETPIVOTDATA("Somme de Non Planifié Non urgent ",$A$3,"Mois texte ","février")/H5</f>
        <v>0.14054054054054055</v>
      </c>
      <c r="L5" s="22">
        <f>GETPIVOTDATA("Somme de Non Planifié Urgent ",$A$3,"Mois texte ","février")/H5</f>
        <v>0.67567567567567566</v>
      </c>
    </row>
    <row r="6" spans="1:12" x14ac:dyDescent="0.3">
      <c r="A6" s="13" t="s">
        <v>43</v>
      </c>
      <c r="B6" s="14">
        <v>12</v>
      </c>
      <c r="C6" s="14"/>
      <c r="D6" s="14">
        <v>35.5</v>
      </c>
      <c r="H6" s="21">
        <f t="shared" si="0"/>
        <v>47.5</v>
      </c>
      <c r="I6" s="33" t="str">
        <f t="shared" si="1"/>
        <v>mars</v>
      </c>
      <c r="J6" s="20">
        <f>GETPIVOTDATA("Somme de Planifié ",$A$3,"Mois texte ","mars")/H6</f>
        <v>0.25263157894736843</v>
      </c>
      <c r="K6" s="20">
        <f>GETPIVOTDATA("Somme de Non Planifié Non urgent ",$A$3,"Mois texte ","mars")/H6</f>
        <v>0</v>
      </c>
      <c r="L6" s="22">
        <f>GETPIVOTDATA("Somme de Non Planifié Urgent ",$A$3,"Mois texte ","mars")/H6</f>
        <v>0.74736842105263157</v>
      </c>
    </row>
    <row r="7" spans="1:12" x14ac:dyDescent="0.3">
      <c r="A7" s="13" t="s">
        <v>44</v>
      </c>
      <c r="B7" s="14">
        <v>32.5</v>
      </c>
      <c r="C7" s="14">
        <v>28</v>
      </c>
      <c r="D7" s="14">
        <v>72.5</v>
      </c>
      <c r="H7" s="21">
        <f t="shared" si="0"/>
        <v>133</v>
      </c>
      <c r="I7" s="33" t="str">
        <f t="shared" si="1"/>
        <v>avril</v>
      </c>
      <c r="J7" s="20">
        <f>GETPIVOTDATA("Somme de Planifié ",$A$3,"Mois texte ","avril")/H7</f>
        <v>0.24436090225563908</v>
      </c>
      <c r="K7" s="20">
        <f>GETPIVOTDATA("Somme de Non Planifié Non urgent ",$A$3,"Mois texte ","avril")/H7</f>
        <v>0.21052631578947367</v>
      </c>
      <c r="L7" s="22">
        <f>GETPIVOTDATA("Somme de Non Planifié Urgent ",$A$3,"Mois texte ","avril")/H7</f>
        <v>0.54511278195488722</v>
      </c>
    </row>
    <row r="8" spans="1:12" x14ac:dyDescent="0.3">
      <c r="A8" s="13" t="s">
        <v>45</v>
      </c>
      <c r="B8" s="14">
        <v>781.25</v>
      </c>
      <c r="C8" s="14">
        <v>267</v>
      </c>
      <c r="D8" s="14">
        <v>113.5</v>
      </c>
      <c r="H8" s="21">
        <f t="shared" si="0"/>
        <v>1161.75</v>
      </c>
      <c r="I8" s="33" t="str">
        <f t="shared" si="1"/>
        <v>mai</v>
      </c>
      <c r="J8" s="20">
        <f>GETPIVOTDATA("Somme de Planifié ",$A$3,"Mois texte ","mai")/H8</f>
        <v>0.67247686679578222</v>
      </c>
      <c r="K8" s="20">
        <f>GETPIVOTDATA("Somme de Non Planifié Non urgent ",$A$3,"Mois texte ","mai")/H8</f>
        <v>0.22982569399612654</v>
      </c>
      <c r="L8" s="22">
        <f>GETPIVOTDATA("Somme de Non Planifié Urgent ",$A$3,"Mois texte ","mai")/H8</f>
        <v>9.7697439208091236E-2</v>
      </c>
    </row>
    <row r="9" spans="1:12" ht="15" thickBot="1" x14ac:dyDescent="0.35">
      <c r="A9" s="13" t="s">
        <v>46</v>
      </c>
      <c r="B9" s="14">
        <v>2</v>
      </c>
      <c r="C9" s="14">
        <v>41.5</v>
      </c>
      <c r="D9" s="14">
        <v>32</v>
      </c>
      <c r="H9" s="23">
        <f t="shared" si="0"/>
        <v>75.5</v>
      </c>
      <c r="I9" s="34" t="str">
        <f t="shared" si="1"/>
        <v>juin</v>
      </c>
      <c r="J9" s="24">
        <f>GETPIVOTDATA("Somme de Planifié ",$A$3,"Mois texte ","juin")/H9</f>
        <v>2.6490066225165563E-2</v>
      </c>
      <c r="K9" s="24">
        <f>GETPIVOTDATA("Somme de Non Planifié Non urgent ",$A$3,"Mois texte ","juin")/H9</f>
        <v>0.54966887417218546</v>
      </c>
      <c r="L9" s="25">
        <f>GETPIVOTDATA("Somme de Non Planifié Urgent ",$A$3,"Mois texte ","juin")/H9</f>
        <v>0.42384105960264901</v>
      </c>
    </row>
    <row r="10" spans="1:12" x14ac:dyDescent="0.3">
      <c r="A10" s="13" t="s">
        <v>16</v>
      </c>
      <c r="B10" s="14">
        <v>861.75</v>
      </c>
      <c r="C10" s="14">
        <v>362.5</v>
      </c>
      <c r="D10" s="14">
        <v>599.5</v>
      </c>
      <c r="J10" s="19"/>
      <c r="K10" s="19"/>
      <c r="L10" s="19"/>
    </row>
  </sheetData>
  <pageMargins left="0.7" right="0.7" top="0.75" bottom="0.75" header="0.3" footer="0.3"/>
  <pageSetup paperSize="9" orientation="portrait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D8EFA-338F-4BC7-B936-02EC271AE289}">
  <sheetPr>
    <tabColor theme="4"/>
  </sheetPr>
  <dimension ref="A1:P522"/>
  <sheetViews>
    <sheetView workbookViewId="0">
      <selection activeCell="I22" sqref="I22"/>
    </sheetView>
  </sheetViews>
  <sheetFormatPr baseColWidth="10" defaultRowHeight="14.4" x14ac:dyDescent="0.3"/>
  <cols>
    <col min="1" max="1" width="23.77734375" customWidth="1"/>
    <col min="2" max="2" width="11.44140625" customWidth="1"/>
    <col min="3" max="3" width="6.33203125" customWidth="1"/>
    <col min="4" max="4" width="7.6640625" customWidth="1"/>
    <col min="5" max="5" width="10.21875" customWidth="1"/>
    <col min="6" max="6" width="15.88671875" customWidth="1"/>
    <col min="7" max="7" width="14.33203125" customWidth="1"/>
    <col min="8" max="8" width="24.6640625" bestFit="1" customWidth="1"/>
    <col min="9" max="9" width="20.77734375" bestFit="1" customWidth="1"/>
    <col min="10" max="10" width="29.44140625" customWidth="1"/>
    <col min="11" max="11" width="11.21875" customWidth="1"/>
    <col min="12" max="12" width="25.33203125" bestFit="1" customWidth="1"/>
  </cols>
  <sheetData>
    <row r="1" spans="1:12" x14ac:dyDescent="0.3">
      <c r="A1" t="s">
        <v>1</v>
      </c>
      <c r="B1" s="16" t="s">
        <v>19</v>
      </c>
      <c r="C1" s="16" t="s">
        <v>0</v>
      </c>
      <c r="D1" s="16" t="s">
        <v>20</v>
      </c>
      <c r="E1" s="16" t="s">
        <v>39</v>
      </c>
      <c r="F1" s="16" t="s">
        <v>21</v>
      </c>
      <c r="G1" s="16" t="s">
        <v>40</v>
      </c>
      <c r="H1" t="s">
        <v>2</v>
      </c>
      <c r="I1" t="s">
        <v>3</v>
      </c>
      <c r="J1" t="s">
        <v>4</v>
      </c>
      <c r="K1" s="16" t="s">
        <v>30</v>
      </c>
      <c r="L1" s="16" t="s">
        <v>35</v>
      </c>
    </row>
    <row r="2" spans="1:12" ht="18" customHeight="1" x14ac:dyDescent="0.3">
      <c r="A2" s="1" t="s">
        <v>5</v>
      </c>
      <c r="B2" s="15">
        <v>44564</v>
      </c>
      <c r="C2">
        <f>WEEKNUM(Tableau1[[#This Row],[Date ]])</f>
        <v>2</v>
      </c>
      <c r="D2">
        <f>Tableau1[[#This Row],[Colonne1]]-1</f>
        <v>1</v>
      </c>
      <c r="E2" t="str">
        <f>_xlfn.CONCAT("0",Tableau1[[#This Row],[N° Semaine]])</f>
        <v>01</v>
      </c>
      <c r="F2" t="str">
        <f>_xlfn.CONCAT("S",Tableau1[[#This Row],[Colonne2]])</f>
        <v>S01</v>
      </c>
      <c r="G2" t="str">
        <f>TEXT(Tableau1[[#This Row],[Date ]],"mmmm")</f>
        <v>janvier</v>
      </c>
      <c r="H2" s="2">
        <v>10</v>
      </c>
      <c r="I2" s="2">
        <v>1.5</v>
      </c>
      <c r="J2" s="2">
        <v>4</v>
      </c>
      <c r="K2" s="17">
        <f t="shared" ref="K2:K65" si="0">SUM(H2:J3)</f>
        <v>33.5</v>
      </c>
      <c r="L2" t="str">
        <f>CONCATENATE(Tableau1[[#This Row],[Usine]],"-",Tableau1[[#This Row],[Semaine ]])</f>
        <v>Autres-S01</v>
      </c>
    </row>
    <row r="3" spans="1:12" x14ac:dyDescent="0.3">
      <c r="A3" s="1" t="s">
        <v>6</v>
      </c>
      <c r="B3" s="15">
        <v>44564</v>
      </c>
      <c r="C3">
        <f>WEEKNUM(Tableau1[[#This Row],[Date ]])</f>
        <v>2</v>
      </c>
      <c r="D3">
        <f>Tableau1[[#This Row],[Colonne1]]-1</f>
        <v>1</v>
      </c>
      <c r="E3" t="str">
        <f>_xlfn.CONCAT("0",Tableau1[[#This Row],[N° Semaine]])</f>
        <v>01</v>
      </c>
      <c r="F3" t="str">
        <f>_xlfn.CONCAT("S",Tableau1[[#This Row],[Colonne2]])</f>
        <v>S01</v>
      </c>
      <c r="G3" t="str">
        <f>TEXT(Tableau1[[#This Row],[Date ]],"mmmm")</f>
        <v>janvier</v>
      </c>
      <c r="H3" s="2"/>
      <c r="I3" s="2">
        <v>13</v>
      </c>
      <c r="J3" s="2">
        <v>5</v>
      </c>
      <c r="K3" s="17">
        <f t="shared" si="0"/>
        <v>128.5</v>
      </c>
      <c r="L3" t="str">
        <f>CONCATENATE(Tableau1[[#This Row],[Usine]],"-",Tableau1[[#This Row],[Semaine ]])</f>
        <v>Biamonique-S01</v>
      </c>
    </row>
    <row r="4" spans="1:12" x14ac:dyDescent="0.3">
      <c r="A4" s="1" t="s">
        <v>8</v>
      </c>
      <c r="B4" s="15">
        <v>44564</v>
      </c>
      <c r="C4">
        <f>WEEKNUM(Tableau1[[#This Row],[Date ]])</f>
        <v>2</v>
      </c>
      <c r="D4">
        <f>Tableau1[[#This Row],[Colonne1]]-1</f>
        <v>1</v>
      </c>
      <c r="E4" t="str">
        <f>_xlfn.CONCAT("0",Tableau1[[#This Row],[N° Semaine]])</f>
        <v>01</v>
      </c>
      <c r="F4" t="str">
        <f>_xlfn.CONCAT("S",Tableau1[[#This Row],[Colonne2]])</f>
        <v>S01</v>
      </c>
      <c r="G4" t="str">
        <f>TEXT(Tableau1[[#This Row],[Date ]],"mmmm")</f>
        <v>janvier</v>
      </c>
      <c r="H4" s="2">
        <v>13.5</v>
      </c>
      <c r="I4" s="2">
        <v>7</v>
      </c>
      <c r="J4" s="2">
        <v>90</v>
      </c>
      <c r="K4" s="17">
        <f t="shared" si="0"/>
        <v>140.75</v>
      </c>
      <c r="L4" t="str">
        <f>CONCATENATE(Tableau1[[#This Row],[Usine]],"-",Tableau1[[#This Row],[Semaine ]])</f>
        <v>Engrais-S01</v>
      </c>
    </row>
    <row r="5" spans="1:12" x14ac:dyDescent="0.3">
      <c r="A5" s="1" t="s">
        <v>9</v>
      </c>
      <c r="B5" s="15">
        <v>44564</v>
      </c>
      <c r="C5">
        <f>WEEKNUM(Tableau1[[#This Row],[Date ]])</f>
        <v>2</v>
      </c>
      <c r="D5">
        <f>Tableau1[[#This Row],[Colonne1]]-1</f>
        <v>1</v>
      </c>
      <c r="E5" t="str">
        <f>_xlfn.CONCAT("0",Tableau1[[#This Row],[N° Semaine]])</f>
        <v>01</v>
      </c>
      <c r="F5" t="str">
        <f>_xlfn.CONCAT("S",Tableau1[[#This Row],[Colonne2]])</f>
        <v>S01</v>
      </c>
      <c r="G5" t="str">
        <f>TEXT(Tableau1[[#This Row],[Date ]],"mmmm")</f>
        <v>janvier</v>
      </c>
      <c r="H5" s="2">
        <v>30.25</v>
      </c>
      <c r="I5" s="2"/>
      <c r="J5" s="2"/>
      <c r="K5" s="17">
        <f t="shared" si="0"/>
        <v>525.75</v>
      </c>
      <c r="L5" t="str">
        <f>CONCATENATE(Tableau1[[#This Row],[Usine]],"-",Tableau1[[#This Row],[Semaine ]])</f>
        <v>Entretien-S01</v>
      </c>
    </row>
    <row r="6" spans="1:12" x14ac:dyDescent="0.3">
      <c r="A6" s="1" t="s">
        <v>10</v>
      </c>
      <c r="B6" s="15">
        <v>44564</v>
      </c>
      <c r="C6">
        <f>WEEKNUM(Tableau1[[#This Row],[Date ]])</f>
        <v>2</v>
      </c>
      <c r="D6">
        <f>Tableau1[[#This Row],[Colonne1]]-1</f>
        <v>1</v>
      </c>
      <c r="E6" t="str">
        <f>_xlfn.CONCAT("0",Tableau1[[#This Row],[N° Semaine]])</f>
        <v>01</v>
      </c>
      <c r="F6" t="str">
        <f>_xlfn.CONCAT("S",Tableau1[[#This Row],[Colonne2]])</f>
        <v>S01</v>
      </c>
      <c r="G6" t="str">
        <f>TEXT(Tableau1[[#This Row],[Date ]],"mmmm")</f>
        <v>janvier</v>
      </c>
      <c r="H6" s="2">
        <v>140</v>
      </c>
      <c r="I6" s="2">
        <v>68.5</v>
      </c>
      <c r="J6" s="2">
        <v>287</v>
      </c>
      <c r="K6" s="17">
        <f t="shared" si="0"/>
        <v>606</v>
      </c>
      <c r="L6" t="str">
        <f>CONCATENATE(Tableau1[[#This Row],[Usine]],"-",Tableau1[[#This Row],[Semaine ]])</f>
        <v>P2O5-S01</v>
      </c>
    </row>
    <row r="7" spans="1:12" x14ac:dyDescent="0.3">
      <c r="A7" s="1" t="s">
        <v>11</v>
      </c>
      <c r="B7" s="15">
        <v>44564</v>
      </c>
      <c r="C7">
        <f>WEEKNUM(Tableau1[[#This Row],[Date ]])</f>
        <v>2</v>
      </c>
      <c r="D7">
        <f>Tableau1[[#This Row],[Colonne1]]-1</f>
        <v>1</v>
      </c>
      <c r="E7" t="str">
        <f>_xlfn.CONCAT("0",Tableau1[[#This Row],[N° Semaine]])</f>
        <v>01</v>
      </c>
      <c r="F7" t="str">
        <f>_xlfn.CONCAT("S",Tableau1[[#This Row],[Colonne2]])</f>
        <v>S01</v>
      </c>
      <c r="G7" t="str">
        <f>TEXT(Tableau1[[#This Row],[Date ]],"mmmm")</f>
        <v>janvier</v>
      </c>
      <c r="H7" s="2">
        <v>12.5</v>
      </c>
      <c r="I7" s="2">
        <v>84</v>
      </c>
      <c r="J7" s="2">
        <v>14</v>
      </c>
      <c r="K7" s="17">
        <f t="shared" si="0"/>
        <v>360.75</v>
      </c>
      <c r="L7" t="str">
        <f>CONCATENATE(Tableau1[[#This Row],[Usine]],"-",Tableau1[[#This Row],[Semaine ]])</f>
        <v>PTA-S01</v>
      </c>
    </row>
    <row r="8" spans="1:12" x14ac:dyDescent="0.3">
      <c r="A8" s="1" t="s">
        <v>12</v>
      </c>
      <c r="B8" s="15">
        <v>44564</v>
      </c>
      <c r="C8">
        <f>WEEKNUM(Tableau1[[#This Row],[Date ]])</f>
        <v>2</v>
      </c>
      <c r="D8">
        <f>Tableau1[[#This Row],[Colonne1]]-1</f>
        <v>1</v>
      </c>
      <c r="E8" t="str">
        <f>_xlfn.CONCAT("0",Tableau1[[#This Row],[N° Semaine]])</f>
        <v>01</v>
      </c>
      <c r="F8" t="str">
        <f>_xlfn.CONCAT("S",Tableau1[[#This Row],[Colonne2]])</f>
        <v>S01</v>
      </c>
      <c r="G8" t="str">
        <f>TEXT(Tableau1[[#This Row],[Date ]],"mmmm")</f>
        <v>janvier</v>
      </c>
      <c r="H8" s="2">
        <v>93.75</v>
      </c>
      <c r="I8" s="2">
        <v>154.5</v>
      </c>
      <c r="J8" s="2">
        <v>2</v>
      </c>
      <c r="K8" s="17">
        <f t="shared" si="0"/>
        <v>283.25</v>
      </c>
      <c r="L8" t="str">
        <f>CONCATENATE(Tableau1[[#This Row],[Usine]],"-",Tableau1[[#This Row],[Semaine ]])</f>
        <v>Soufre &amp; Energie - Sulfine-S01</v>
      </c>
    </row>
    <row r="9" spans="1:12" x14ac:dyDescent="0.3">
      <c r="A9" s="1" t="s">
        <v>13</v>
      </c>
      <c r="B9" s="15">
        <v>44564</v>
      </c>
      <c r="C9">
        <f>WEEKNUM(Tableau1[[#This Row],[Date ]])</f>
        <v>2</v>
      </c>
      <c r="D9">
        <f>Tableau1[[#This Row],[Colonne1]]-1</f>
        <v>1</v>
      </c>
      <c r="E9" t="str">
        <f>_xlfn.CONCAT("0",Tableau1[[#This Row],[N° Semaine]])</f>
        <v>01</v>
      </c>
      <c r="F9" t="str">
        <f>_xlfn.CONCAT("S",Tableau1[[#This Row],[Colonne2]])</f>
        <v>S01</v>
      </c>
      <c r="G9" t="str">
        <f>TEXT(Tableau1[[#This Row],[Date ]],"mmmm")</f>
        <v>janvier</v>
      </c>
      <c r="H9" s="2"/>
      <c r="I9" s="2">
        <v>33</v>
      </c>
      <c r="J9" s="2"/>
      <c r="K9" s="17">
        <f t="shared" si="0"/>
        <v>92</v>
      </c>
      <c r="L9" t="str">
        <f>CONCATENATE(Tableau1[[#This Row],[Usine]],"-",Tableau1[[#This Row],[Semaine ]])</f>
        <v>Zéoline-S01</v>
      </c>
    </row>
    <row r="10" spans="1:12" x14ac:dyDescent="0.3">
      <c r="A10" s="1" t="s">
        <v>14</v>
      </c>
      <c r="B10" s="15">
        <v>44564</v>
      </c>
      <c r="C10">
        <f>WEEKNUM(Tableau1[[#This Row],[Date ]])</f>
        <v>2</v>
      </c>
      <c r="D10">
        <f>Tableau1[[#This Row],[Colonne1]]-1</f>
        <v>1</v>
      </c>
      <c r="E10" t="str">
        <f>_xlfn.CONCAT("0",Tableau1[[#This Row],[N° Semaine]])</f>
        <v>01</v>
      </c>
      <c r="F10" t="str">
        <f>_xlfn.CONCAT("S",Tableau1[[#This Row],[Colonne2]])</f>
        <v>S01</v>
      </c>
      <c r="G10" t="str">
        <f>TEXT(Tableau1[[#This Row],[Date ]],"mmmm")</f>
        <v>janvier</v>
      </c>
      <c r="H10" s="2">
        <v>3</v>
      </c>
      <c r="I10" s="2">
        <v>34</v>
      </c>
      <c r="J10" s="2">
        <v>22</v>
      </c>
      <c r="K10" s="17">
        <f t="shared" si="0"/>
        <v>133.5</v>
      </c>
      <c r="L10" t="str">
        <f>CONCATENATE(Tableau1[[#This Row],[Usine]],"-",Tableau1[[#This Row],[Semaine ]])</f>
        <v>#N/A-S01</v>
      </c>
    </row>
    <row r="11" spans="1:12" x14ac:dyDescent="0.3">
      <c r="A11" s="1" t="s">
        <v>5</v>
      </c>
      <c r="B11" s="15">
        <v>44571</v>
      </c>
      <c r="C11">
        <f>WEEKNUM(Tableau1[[#This Row],[Date ]])</f>
        <v>3</v>
      </c>
      <c r="D11">
        <f>Tableau1[[#This Row],[Colonne1]]-1</f>
        <v>2</v>
      </c>
      <c r="E11" t="str">
        <f>_xlfn.CONCAT("0",Tableau1[[#This Row],[N° Semaine]])</f>
        <v>02</v>
      </c>
      <c r="F11" t="str">
        <f>_xlfn.CONCAT("S",Tableau1[[#This Row],[Colonne2]])</f>
        <v>S02</v>
      </c>
      <c r="G11" t="str">
        <f>TEXT(Tableau1[[#This Row],[Date ]],"mmmm")</f>
        <v>janvier</v>
      </c>
      <c r="H11" s="2">
        <v>40.5</v>
      </c>
      <c r="I11" s="2"/>
      <c r="J11" s="2">
        <v>34</v>
      </c>
      <c r="K11" s="17">
        <f t="shared" si="0"/>
        <v>99.75</v>
      </c>
      <c r="L11" t="str">
        <f>CONCATENATE(Tableau1[[#This Row],[Usine]],"-",Tableau1[[#This Row],[Semaine ]])</f>
        <v>Autres-S02</v>
      </c>
    </row>
    <row r="12" spans="1:12" x14ac:dyDescent="0.3">
      <c r="A12" s="1" t="s">
        <v>6</v>
      </c>
      <c r="B12" s="15">
        <v>44571</v>
      </c>
      <c r="C12">
        <f>WEEKNUM(Tableau1[[#This Row],[Date ]])</f>
        <v>3</v>
      </c>
      <c r="D12">
        <f>Tableau1[[#This Row],[Colonne1]]-1</f>
        <v>2</v>
      </c>
      <c r="E12" t="str">
        <f>_xlfn.CONCAT("0",Tableau1[[#This Row],[N° Semaine]])</f>
        <v>02</v>
      </c>
      <c r="F12" t="str">
        <f>_xlfn.CONCAT("S",Tableau1[[#This Row],[Colonne2]])</f>
        <v>S02</v>
      </c>
      <c r="G12" t="str">
        <f>TEXT(Tableau1[[#This Row],[Date ]],"mmmm")</f>
        <v>janvier</v>
      </c>
      <c r="H12" s="2"/>
      <c r="I12" s="2"/>
      <c r="J12" s="2">
        <v>25.25</v>
      </c>
      <c r="K12" s="17">
        <f t="shared" si="0"/>
        <v>161.25</v>
      </c>
      <c r="L12" t="str">
        <f>CONCATENATE(Tableau1[[#This Row],[Usine]],"-",Tableau1[[#This Row],[Semaine ]])</f>
        <v>Biamonique-S02</v>
      </c>
    </row>
    <row r="13" spans="1:12" x14ac:dyDescent="0.3">
      <c r="A13" s="1" t="s">
        <v>7</v>
      </c>
      <c r="B13" s="15">
        <v>44571</v>
      </c>
      <c r="C13">
        <f>WEEKNUM(Tableau1[[#This Row],[Date ]])</f>
        <v>3</v>
      </c>
      <c r="D13">
        <f>Tableau1[[#This Row],[Colonne1]]-1</f>
        <v>2</v>
      </c>
      <c r="E13" t="str">
        <f>_xlfn.CONCAT("0",Tableau1[[#This Row],[N° Semaine]])</f>
        <v>02</v>
      </c>
      <c r="F13" t="str">
        <f>_xlfn.CONCAT("S",Tableau1[[#This Row],[Colonne2]])</f>
        <v>S02</v>
      </c>
      <c r="G13" t="str">
        <f>TEXT(Tableau1[[#This Row],[Date ]],"mmmm")</f>
        <v>janvier</v>
      </c>
      <c r="H13" s="2">
        <v>33.5</v>
      </c>
      <c r="I13" s="2">
        <v>102.5</v>
      </c>
      <c r="J13" s="2"/>
      <c r="K13" s="17">
        <f t="shared" si="0"/>
        <v>264</v>
      </c>
      <c r="L13" t="str">
        <f>CONCATENATE(Tableau1[[#This Row],[Usine]],"-",Tableau1[[#This Row],[Semaine ]])</f>
        <v>D1-S02</v>
      </c>
    </row>
    <row r="14" spans="1:12" x14ac:dyDescent="0.3">
      <c r="A14" s="1" t="s">
        <v>8</v>
      </c>
      <c r="B14" s="15">
        <v>44571</v>
      </c>
      <c r="C14">
        <f>WEEKNUM(Tableau1[[#This Row],[Date ]])</f>
        <v>3</v>
      </c>
      <c r="D14">
        <f>Tableau1[[#This Row],[Colonne1]]-1</f>
        <v>2</v>
      </c>
      <c r="E14" t="str">
        <f>_xlfn.CONCAT("0",Tableau1[[#This Row],[N° Semaine]])</f>
        <v>02</v>
      </c>
      <c r="F14" t="str">
        <f>_xlfn.CONCAT("S",Tableau1[[#This Row],[Colonne2]])</f>
        <v>S02</v>
      </c>
      <c r="G14" t="str">
        <f>TEXT(Tableau1[[#This Row],[Date ]],"mmmm")</f>
        <v>janvier</v>
      </c>
      <c r="H14" s="2">
        <v>31.5</v>
      </c>
      <c r="I14" s="2">
        <v>38</v>
      </c>
      <c r="J14" s="2">
        <v>58.5</v>
      </c>
      <c r="K14" s="17">
        <f t="shared" si="0"/>
        <v>146</v>
      </c>
      <c r="L14" t="str">
        <f>CONCATENATE(Tableau1[[#This Row],[Usine]],"-",Tableau1[[#This Row],[Semaine ]])</f>
        <v>Engrais-S02</v>
      </c>
    </row>
    <row r="15" spans="1:12" x14ac:dyDescent="0.3">
      <c r="A15" s="1" t="s">
        <v>9</v>
      </c>
      <c r="B15" s="15">
        <v>44571</v>
      </c>
      <c r="C15">
        <f>WEEKNUM(Tableau1[[#This Row],[Date ]])</f>
        <v>3</v>
      </c>
      <c r="D15">
        <f>Tableau1[[#This Row],[Colonne1]]-1</f>
        <v>2</v>
      </c>
      <c r="E15" t="str">
        <f>_xlfn.CONCAT("0",Tableau1[[#This Row],[N° Semaine]])</f>
        <v>02</v>
      </c>
      <c r="F15" t="str">
        <f>_xlfn.CONCAT("S",Tableau1[[#This Row],[Colonne2]])</f>
        <v>S02</v>
      </c>
      <c r="G15" t="str">
        <f>TEXT(Tableau1[[#This Row],[Date ]],"mmmm")</f>
        <v>janvier</v>
      </c>
      <c r="H15" s="2">
        <v>16.5</v>
      </c>
      <c r="I15" s="2">
        <v>1.5</v>
      </c>
      <c r="J15" s="2"/>
      <c r="K15" s="17">
        <f t="shared" si="0"/>
        <v>43</v>
      </c>
      <c r="L15" t="str">
        <f>CONCATENATE(Tableau1[[#This Row],[Usine]],"-",Tableau1[[#This Row],[Semaine ]])</f>
        <v>Entretien-S02</v>
      </c>
    </row>
    <row r="16" spans="1:12" x14ac:dyDescent="0.3">
      <c r="A16" s="1" t="s">
        <v>17</v>
      </c>
      <c r="B16" s="15">
        <v>44571</v>
      </c>
      <c r="C16">
        <f>WEEKNUM(Tableau1[[#This Row],[Date ]])</f>
        <v>3</v>
      </c>
      <c r="D16">
        <f>Tableau1[[#This Row],[Colonne1]]-1</f>
        <v>2</v>
      </c>
      <c r="E16" t="str">
        <f>_xlfn.CONCAT("0",Tableau1[[#This Row],[N° Semaine]])</f>
        <v>02</v>
      </c>
      <c r="F16" t="str">
        <f>_xlfn.CONCAT("S",Tableau1[[#This Row],[Colonne2]])</f>
        <v>S02</v>
      </c>
      <c r="G16" t="str">
        <f>TEXT(Tableau1[[#This Row],[Date ]],"mmmm")</f>
        <v>janvier</v>
      </c>
      <c r="H16" s="2"/>
      <c r="I16" s="2">
        <v>25</v>
      </c>
      <c r="J16" s="2"/>
      <c r="K16" s="17">
        <f t="shared" si="0"/>
        <v>706.75</v>
      </c>
      <c r="L16" t="str">
        <f>CONCATENATE(Tableau1[[#This Row],[Usine]],"-",Tableau1[[#This Row],[Semaine ]])</f>
        <v>Hydro-S02</v>
      </c>
    </row>
    <row r="17" spans="1:12" x14ac:dyDescent="0.3">
      <c r="A17" s="1" t="s">
        <v>10</v>
      </c>
      <c r="B17" s="15">
        <v>44571</v>
      </c>
      <c r="C17">
        <f>WEEKNUM(Tableau1[[#This Row],[Date ]])</f>
        <v>3</v>
      </c>
      <c r="D17">
        <f>Tableau1[[#This Row],[Colonne1]]-1</f>
        <v>2</v>
      </c>
      <c r="E17" t="str">
        <f>_xlfn.CONCAT("0",Tableau1[[#This Row],[N° Semaine]])</f>
        <v>02</v>
      </c>
      <c r="F17" t="str">
        <f>_xlfn.CONCAT("S",Tableau1[[#This Row],[Colonne2]])</f>
        <v>S02</v>
      </c>
      <c r="G17" t="str">
        <f>TEXT(Tableau1[[#This Row],[Date ]],"mmmm")</f>
        <v>janvier</v>
      </c>
      <c r="H17" s="2">
        <v>78.75</v>
      </c>
      <c r="I17" s="2">
        <v>255</v>
      </c>
      <c r="J17" s="2">
        <v>348</v>
      </c>
      <c r="K17" s="17">
        <f t="shared" si="0"/>
        <v>790.75</v>
      </c>
      <c r="L17" t="str">
        <f>CONCATENATE(Tableau1[[#This Row],[Usine]],"-",Tableau1[[#This Row],[Semaine ]])</f>
        <v>P2O5-S02</v>
      </c>
    </row>
    <row r="18" spans="1:12" x14ac:dyDescent="0.3">
      <c r="A18" s="1" t="s">
        <v>11</v>
      </c>
      <c r="B18" s="15">
        <v>44571</v>
      </c>
      <c r="C18">
        <f>WEEKNUM(Tableau1[[#This Row],[Date ]])</f>
        <v>3</v>
      </c>
      <c r="D18">
        <f>Tableau1[[#This Row],[Colonne1]]-1</f>
        <v>2</v>
      </c>
      <c r="E18" t="str">
        <f>_xlfn.CONCAT("0",Tableau1[[#This Row],[N° Semaine]])</f>
        <v>02</v>
      </c>
      <c r="F18" t="str">
        <f>_xlfn.CONCAT("S",Tableau1[[#This Row],[Colonne2]])</f>
        <v>S02</v>
      </c>
      <c r="G18" t="str">
        <f>TEXT(Tableau1[[#This Row],[Date ]],"mmmm")</f>
        <v>janvier</v>
      </c>
      <c r="H18" s="2">
        <v>9</v>
      </c>
      <c r="I18" s="2">
        <v>91.5</v>
      </c>
      <c r="J18" s="2">
        <v>8.5</v>
      </c>
      <c r="K18" s="17">
        <f t="shared" si="0"/>
        <v>397.5</v>
      </c>
      <c r="L18" t="str">
        <f>CONCATENATE(Tableau1[[#This Row],[Usine]],"-",Tableau1[[#This Row],[Semaine ]])</f>
        <v>PTA-S02</v>
      </c>
    </row>
    <row r="19" spans="1:12" x14ac:dyDescent="0.3">
      <c r="A19" s="1" t="s">
        <v>12</v>
      </c>
      <c r="B19" s="15">
        <v>44571</v>
      </c>
      <c r="C19">
        <f>WEEKNUM(Tableau1[[#This Row],[Date ]])</f>
        <v>3</v>
      </c>
      <c r="D19">
        <f>Tableau1[[#This Row],[Colonne1]]-1</f>
        <v>2</v>
      </c>
      <c r="E19" t="str">
        <f>_xlfn.CONCAT("0",Tableau1[[#This Row],[N° Semaine]])</f>
        <v>02</v>
      </c>
      <c r="F19" t="str">
        <f>_xlfn.CONCAT("S",Tableau1[[#This Row],[Colonne2]])</f>
        <v>S02</v>
      </c>
      <c r="G19" t="str">
        <f>TEXT(Tableau1[[#This Row],[Date ]],"mmmm")</f>
        <v>janvier</v>
      </c>
      <c r="H19" s="2">
        <v>27.5</v>
      </c>
      <c r="I19" s="2">
        <v>254</v>
      </c>
      <c r="J19" s="2">
        <v>7</v>
      </c>
      <c r="K19" s="17">
        <f t="shared" si="0"/>
        <v>319.5</v>
      </c>
      <c r="L19" t="str">
        <f>CONCATENATE(Tableau1[[#This Row],[Usine]],"-",Tableau1[[#This Row],[Semaine ]])</f>
        <v>Soufre &amp; Energie - Sulfine-S02</v>
      </c>
    </row>
    <row r="20" spans="1:12" x14ac:dyDescent="0.3">
      <c r="A20" s="1" t="s">
        <v>13</v>
      </c>
      <c r="B20" s="15">
        <v>44571</v>
      </c>
      <c r="C20">
        <f>WEEKNUM(Tableau1[[#This Row],[Date ]])</f>
        <v>3</v>
      </c>
      <c r="D20">
        <f>Tableau1[[#This Row],[Colonne1]]-1</f>
        <v>2</v>
      </c>
      <c r="E20" t="str">
        <f>_xlfn.CONCAT("0",Tableau1[[#This Row],[N° Semaine]])</f>
        <v>02</v>
      </c>
      <c r="F20" t="str">
        <f>_xlfn.CONCAT("S",Tableau1[[#This Row],[Colonne2]])</f>
        <v>S02</v>
      </c>
      <c r="G20" t="str">
        <f>TEXT(Tableau1[[#This Row],[Date ]],"mmmm")</f>
        <v>janvier</v>
      </c>
      <c r="H20" s="2"/>
      <c r="I20" s="2">
        <v>31</v>
      </c>
      <c r="J20" s="2"/>
      <c r="K20" s="17">
        <f t="shared" si="0"/>
        <v>81.75</v>
      </c>
      <c r="L20" t="str">
        <f>CONCATENATE(Tableau1[[#This Row],[Usine]],"-",Tableau1[[#This Row],[Semaine ]])</f>
        <v>Zéoline-S02</v>
      </c>
    </row>
    <row r="21" spans="1:12" x14ac:dyDescent="0.3">
      <c r="A21" s="1" t="s">
        <v>14</v>
      </c>
      <c r="B21" s="15">
        <v>44571</v>
      </c>
      <c r="C21">
        <f>WEEKNUM(Tableau1[[#This Row],[Date ]])</f>
        <v>3</v>
      </c>
      <c r="D21">
        <f>Tableau1[[#This Row],[Colonne1]]-1</f>
        <v>2</v>
      </c>
      <c r="E21" t="str">
        <f>_xlfn.CONCAT("0",Tableau1[[#This Row],[N° Semaine]])</f>
        <v>02</v>
      </c>
      <c r="F21" t="str">
        <f>_xlfn.CONCAT("S",Tableau1[[#This Row],[Colonne2]])</f>
        <v>S02</v>
      </c>
      <c r="G21" t="str">
        <f>TEXT(Tableau1[[#This Row],[Date ]],"mmmm")</f>
        <v>janvier</v>
      </c>
      <c r="H21" s="2">
        <v>34.75</v>
      </c>
      <c r="I21" s="2">
        <v>16</v>
      </c>
      <c r="J21" s="2"/>
      <c r="K21" s="17">
        <f t="shared" si="0"/>
        <v>125.25</v>
      </c>
      <c r="L21" t="str">
        <f>CONCATENATE(Tableau1[[#This Row],[Usine]],"-",Tableau1[[#This Row],[Semaine ]])</f>
        <v>#N/A-S02</v>
      </c>
    </row>
    <row r="22" spans="1:12" x14ac:dyDescent="0.3">
      <c r="A22" s="1" t="s">
        <v>5</v>
      </c>
      <c r="B22" s="15">
        <v>44578</v>
      </c>
      <c r="C22">
        <f>WEEKNUM(Tableau1[[#This Row],[Date ]])</f>
        <v>4</v>
      </c>
      <c r="D22">
        <f>Tableau1[[#This Row],[Colonne1]]-1</f>
        <v>3</v>
      </c>
      <c r="E22" t="str">
        <f>_xlfn.CONCAT("0",Tableau1[[#This Row],[N° Semaine]])</f>
        <v>03</v>
      </c>
      <c r="F22" t="str">
        <f>_xlfn.CONCAT("S",Tableau1[[#This Row],[Colonne2]])</f>
        <v>S03</v>
      </c>
      <c r="G22" t="str">
        <f>TEXT(Tableau1[[#This Row],[Date ]],"mmmm")</f>
        <v>janvier</v>
      </c>
      <c r="H22" s="2">
        <v>40.5</v>
      </c>
      <c r="I22" s="2"/>
      <c r="J22" s="2">
        <v>34</v>
      </c>
      <c r="K22" s="17">
        <f t="shared" si="0"/>
        <v>99.75</v>
      </c>
      <c r="L22" t="str">
        <f>CONCATENATE(Tableau1[[#This Row],[Usine]],"-",Tableau1[[#This Row],[Semaine ]])</f>
        <v>Autres-S03</v>
      </c>
    </row>
    <row r="23" spans="1:12" x14ac:dyDescent="0.3">
      <c r="A23" s="1" t="s">
        <v>6</v>
      </c>
      <c r="B23" s="15">
        <v>44578</v>
      </c>
      <c r="C23">
        <f>WEEKNUM(Tableau1[[#This Row],[Date ]])</f>
        <v>4</v>
      </c>
      <c r="D23">
        <f>Tableau1[[#This Row],[Colonne1]]-1</f>
        <v>3</v>
      </c>
      <c r="E23" t="str">
        <f>_xlfn.CONCAT("0",Tableau1[[#This Row],[N° Semaine]])</f>
        <v>03</v>
      </c>
      <c r="F23" t="str">
        <f>_xlfn.CONCAT("S",Tableau1[[#This Row],[Colonne2]])</f>
        <v>S03</v>
      </c>
      <c r="G23" t="str">
        <f>TEXT(Tableau1[[#This Row],[Date ]],"mmmm")</f>
        <v>janvier</v>
      </c>
      <c r="H23" s="2"/>
      <c r="I23" s="2"/>
      <c r="J23" s="2">
        <v>25.25</v>
      </c>
      <c r="K23" s="17">
        <f t="shared" si="0"/>
        <v>161.25</v>
      </c>
      <c r="L23" t="str">
        <f>CONCATENATE(Tableau1[[#This Row],[Usine]],"-",Tableau1[[#This Row],[Semaine ]])</f>
        <v>Biamonique-S03</v>
      </c>
    </row>
    <row r="24" spans="1:12" x14ac:dyDescent="0.3">
      <c r="A24" s="1" t="s">
        <v>7</v>
      </c>
      <c r="B24" s="15">
        <v>44578</v>
      </c>
      <c r="C24">
        <f>WEEKNUM(Tableau1[[#This Row],[Date ]])</f>
        <v>4</v>
      </c>
      <c r="D24">
        <f>Tableau1[[#This Row],[Colonne1]]-1</f>
        <v>3</v>
      </c>
      <c r="E24" t="str">
        <f>_xlfn.CONCAT("0",Tableau1[[#This Row],[N° Semaine]])</f>
        <v>03</v>
      </c>
      <c r="F24" t="str">
        <f>_xlfn.CONCAT("S",Tableau1[[#This Row],[Colonne2]])</f>
        <v>S03</v>
      </c>
      <c r="G24" t="str">
        <f>TEXT(Tableau1[[#This Row],[Date ]],"mmmm")</f>
        <v>janvier</v>
      </c>
      <c r="H24" s="2">
        <v>33.5</v>
      </c>
      <c r="I24" s="2">
        <v>102.5</v>
      </c>
      <c r="J24" s="2"/>
      <c r="K24" s="17">
        <f t="shared" si="0"/>
        <v>264</v>
      </c>
      <c r="L24" t="str">
        <f>CONCATENATE(Tableau1[[#This Row],[Usine]],"-",Tableau1[[#This Row],[Semaine ]])</f>
        <v>D1-S03</v>
      </c>
    </row>
    <row r="25" spans="1:12" x14ac:dyDescent="0.3">
      <c r="A25" s="1" t="s">
        <v>8</v>
      </c>
      <c r="B25" s="15">
        <v>44578</v>
      </c>
      <c r="C25">
        <f>WEEKNUM(Tableau1[[#This Row],[Date ]])</f>
        <v>4</v>
      </c>
      <c r="D25">
        <f>Tableau1[[#This Row],[Colonne1]]-1</f>
        <v>3</v>
      </c>
      <c r="E25" t="str">
        <f>_xlfn.CONCAT("0",Tableau1[[#This Row],[N° Semaine]])</f>
        <v>03</v>
      </c>
      <c r="F25" t="str">
        <f>_xlfn.CONCAT("S",Tableau1[[#This Row],[Colonne2]])</f>
        <v>S03</v>
      </c>
      <c r="G25" t="str">
        <f>TEXT(Tableau1[[#This Row],[Date ]],"mmmm")</f>
        <v>janvier</v>
      </c>
      <c r="H25" s="2">
        <v>31.5</v>
      </c>
      <c r="I25" s="2">
        <v>38</v>
      </c>
      <c r="J25" s="2">
        <v>58.5</v>
      </c>
      <c r="K25" s="17">
        <f t="shared" si="0"/>
        <v>146</v>
      </c>
      <c r="L25" t="str">
        <f>CONCATENATE(Tableau1[[#This Row],[Usine]],"-",Tableau1[[#This Row],[Semaine ]])</f>
        <v>Engrais-S03</v>
      </c>
    </row>
    <row r="26" spans="1:12" x14ac:dyDescent="0.3">
      <c r="A26" s="1" t="s">
        <v>9</v>
      </c>
      <c r="B26" s="15">
        <v>44578</v>
      </c>
      <c r="C26">
        <f>WEEKNUM(Tableau1[[#This Row],[Date ]])</f>
        <v>4</v>
      </c>
      <c r="D26">
        <f>Tableau1[[#This Row],[Colonne1]]-1</f>
        <v>3</v>
      </c>
      <c r="E26" t="str">
        <f>_xlfn.CONCAT("0",Tableau1[[#This Row],[N° Semaine]])</f>
        <v>03</v>
      </c>
      <c r="F26" t="str">
        <f>_xlfn.CONCAT("S",Tableau1[[#This Row],[Colonne2]])</f>
        <v>S03</v>
      </c>
      <c r="G26" t="str">
        <f>TEXT(Tableau1[[#This Row],[Date ]],"mmmm")</f>
        <v>janvier</v>
      </c>
      <c r="H26" s="2">
        <v>16.5</v>
      </c>
      <c r="I26" s="2">
        <v>1.5</v>
      </c>
      <c r="J26" s="2"/>
      <c r="K26" s="17">
        <f t="shared" si="0"/>
        <v>43</v>
      </c>
      <c r="L26" t="str">
        <f>CONCATENATE(Tableau1[[#This Row],[Usine]],"-",Tableau1[[#This Row],[Semaine ]])</f>
        <v>Entretien-S03</v>
      </c>
    </row>
    <row r="27" spans="1:12" x14ac:dyDescent="0.3">
      <c r="A27" s="1" t="s">
        <v>17</v>
      </c>
      <c r="B27" s="15">
        <v>44578</v>
      </c>
      <c r="C27">
        <f>WEEKNUM(Tableau1[[#This Row],[Date ]])</f>
        <v>4</v>
      </c>
      <c r="D27">
        <f>Tableau1[[#This Row],[Colonne1]]-1</f>
        <v>3</v>
      </c>
      <c r="E27" t="str">
        <f>_xlfn.CONCAT("0",Tableau1[[#This Row],[N° Semaine]])</f>
        <v>03</v>
      </c>
      <c r="F27" t="str">
        <f>_xlfn.CONCAT("S",Tableau1[[#This Row],[Colonne2]])</f>
        <v>S03</v>
      </c>
      <c r="G27" t="str">
        <f>TEXT(Tableau1[[#This Row],[Date ]],"mmmm")</f>
        <v>janvier</v>
      </c>
      <c r="H27" s="2"/>
      <c r="I27" s="2">
        <v>25</v>
      </c>
      <c r="J27" s="2"/>
      <c r="K27" s="17">
        <f t="shared" si="0"/>
        <v>706.75</v>
      </c>
      <c r="L27" t="str">
        <f>CONCATENATE(Tableau1[[#This Row],[Usine]],"-",Tableau1[[#This Row],[Semaine ]])</f>
        <v>Hydro-S03</v>
      </c>
    </row>
    <row r="28" spans="1:12" x14ac:dyDescent="0.3">
      <c r="A28" s="1" t="s">
        <v>10</v>
      </c>
      <c r="B28" s="15">
        <v>44578</v>
      </c>
      <c r="C28">
        <f>WEEKNUM(Tableau1[[#This Row],[Date ]])</f>
        <v>4</v>
      </c>
      <c r="D28">
        <f>Tableau1[[#This Row],[Colonne1]]-1</f>
        <v>3</v>
      </c>
      <c r="E28" t="str">
        <f>_xlfn.CONCAT("0",Tableau1[[#This Row],[N° Semaine]])</f>
        <v>03</v>
      </c>
      <c r="F28" t="str">
        <f>_xlfn.CONCAT("S",Tableau1[[#This Row],[Colonne2]])</f>
        <v>S03</v>
      </c>
      <c r="G28" t="str">
        <f>TEXT(Tableau1[[#This Row],[Date ]],"mmmm")</f>
        <v>janvier</v>
      </c>
      <c r="H28" s="2">
        <v>78.75</v>
      </c>
      <c r="I28" s="2">
        <v>255</v>
      </c>
      <c r="J28" s="2">
        <v>348</v>
      </c>
      <c r="K28" s="17">
        <f t="shared" si="0"/>
        <v>790.75</v>
      </c>
      <c r="L28" t="str">
        <f>CONCATENATE(Tableau1[[#This Row],[Usine]],"-",Tableau1[[#This Row],[Semaine ]])</f>
        <v>P2O5-S03</v>
      </c>
    </row>
    <row r="29" spans="1:12" x14ac:dyDescent="0.3">
      <c r="A29" s="1" t="s">
        <v>11</v>
      </c>
      <c r="B29" s="15">
        <v>44578</v>
      </c>
      <c r="C29">
        <f>WEEKNUM(Tableau1[[#This Row],[Date ]])</f>
        <v>4</v>
      </c>
      <c r="D29">
        <f>Tableau1[[#This Row],[Colonne1]]-1</f>
        <v>3</v>
      </c>
      <c r="E29" t="str">
        <f>_xlfn.CONCAT("0",Tableau1[[#This Row],[N° Semaine]])</f>
        <v>03</v>
      </c>
      <c r="F29" t="str">
        <f>_xlfn.CONCAT("S",Tableau1[[#This Row],[Colonne2]])</f>
        <v>S03</v>
      </c>
      <c r="G29" t="str">
        <f>TEXT(Tableau1[[#This Row],[Date ]],"mmmm")</f>
        <v>janvier</v>
      </c>
      <c r="H29" s="2">
        <v>9</v>
      </c>
      <c r="I29" s="2">
        <v>91.5</v>
      </c>
      <c r="J29" s="2">
        <v>8.5</v>
      </c>
      <c r="K29" s="17">
        <f t="shared" si="0"/>
        <v>397.5</v>
      </c>
      <c r="L29" t="str">
        <f>CONCATENATE(Tableau1[[#This Row],[Usine]],"-",Tableau1[[#This Row],[Semaine ]])</f>
        <v>PTA-S03</v>
      </c>
    </row>
    <row r="30" spans="1:12" x14ac:dyDescent="0.3">
      <c r="A30" s="1" t="s">
        <v>12</v>
      </c>
      <c r="B30" s="15">
        <v>44578</v>
      </c>
      <c r="C30">
        <f>WEEKNUM(Tableau1[[#This Row],[Date ]])</f>
        <v>4</v>
      </c>
      <c r="D30">
        <f>Tableau1[[#This Row],[Colonne1]]-1</f>
        <v>3</v>
      </c>
      <c r="E30" t="str">
        <f>_xlfn.CONCAT("0",Tableau1[[#This Row],[N° Semaine]])</f>
        <v>03</v>
      </c>
      <c r="F30" t="str">
        <f>_xlfn.CONCAT("S",Tableau1[[#This Row],[Colonne2]])</f>
        <v>S03</v>
      </c>
      <c r="G30" t="str">
        <f>TEXT(Tableau1[[#This Row],[Date ]],"mmmm")</f>
        <v>janvier</v>
      </c>
      <c r="H30" s="2">
        <v>27.5</v>
      </c>
      <c r="I30" s="2">
        <v>254</v>
      </c>
      <c r="J30" s="2">
        <v>7</v>
      </c>
      <c r="K30" s="17">
        <f t="shared" si="0"/>
        <v>319.5</v>
      </c>
      <c r="L30" t="str">
        <f>CONCATENATE(Tableau1[[#This Row],[Usine]],"-",Tableau1[[#This Row],[Semaine ]])</f>
        <v>Soufre &amp; Energie - Sulfine-S03</v>
      </c>
    </row>
    <row r="31" spans="1:12" x14ac:dyDescent="0.3">
      <c r="A31" s="1" t="s">
        <v>13</v>
      </c>
      <c r="B31" s="15">
        <v>44578</v>
      </c>
      <c r="C31">
        <f>WEEKNUM(Tableau1[[#This Row],[Date ]])</f>
        <v>4</v>
      </c>
      <c r="D31">
        <f>Tableau1[[#This Row],[Colonne1]]-1</f>
        <v>3</v>
      </c>
      <c r="E31" t="str">
        <f>_xlfn.CONCAT("0",Tableau1[[#This Row],[N° Semaine]])</f>
        <v>03</v>
      </c>
      <c r="F31" t="str">
        <f>_xlfn.CONCAT("S",Tableau1[[#This Row],[Colonne2]])</f>
        <v>S03</v>
      </c>
      <c r="G31" t="str">
        <f>TEXT(Tableau1[[#This Row],[Date ]],"mmmm")</f>
        <v>janvier</v>
      </c>
      <c r="H31" s="2"/>
      <c r="I31" s="2">
        <v>31</v>
      </c>
      <c r="J31" s="2"/>
      <c r="K31" s="17">
        <f t="shared" si="0"/>
        <v>81.75</v>
      </c>
      <c r="L31" t="str">
        <f>CONCATENATE(Tableau1[[#This Row],[Usine]],"-",Tableau1[[#This Row],[Semaine ]])</f>
        <v>Zéoline-S03</v>
      </c>
    </row>
    <row r="32" spans="1:12" x14ac:dyDescent="0.3">
      <c r="A32" s="1" t="s">
        <v>14</v>
      </c>
      <c r="B32" s="15">
        <v>44578</v>
      </c>
      <c r="C32">
        <f>WEEKNUM(Tableau1[[#This Row],[Date ]])</f>
        <v>4</v>
      </c>
      <c r="D32">
        <f>Tableau1[[#This Row],[Colonne1]]-1</f>
        <v>3</v>
      </c>
      <c r="E32" t="str">
        <f>_xlfn.CONCAT("0",Tableau1[[#This Row],[N° Semaine]])</f>
        <v>03</v>
      </c>
      <c r="F32" t="str">
        <f>_xlfn.CONCAT("S",Tableau1[[#This Row],[Colonne2]])</f>
        <v>S03</v>
      </c>
      <c r="G32" t="str">
        <f>TEXT(Tableau1[[#This Row],[Date ]],"mmmm")</f>
        <v>janvier</v>
      </c>
      <c r="H32" s="2">
        <v>34.75</v>
      </c>
      <c r="I32" s="2">
        <v>16</v>
      </c>
      <c r="J32" s="2"/>
      <c r="K32" s="17">
        <f t="shared" si="0"/>
        <v>122.75</v>
      </c>
      <c r="L32" t="str">
        <f>CONCATENATE(Tableau1[[#This Row],[Usine]],"-",Tableau1[[#This Row],[Semaine ]])</f>
        <v>#N/A-S03</v>
      </c>
    </row>
    <row r="33" spans="1:12" x14ac:dyDescent="0.3">
      <c r="A33" s="1" t="s">
        <v>5</v>
      </c>
      <c r="B33" s="15">
        <v>44585</v>
      </c>
      <c r="C33">
        <f>WEEKNUM(Tableau1[[#This Row],[Date ]])</f>
        <v>5</v>
      </c>
      <c r="D33">
        <f>Tableau1[[#This Row],[Colonne1]]-1</f>
        <v>4</v>
      </c>
      <c r="E33" t="str">
        <f>_xlfn.CONCAT("0",Tableau1[[#This Row],[N° Semaine]])</f>
        <v>04</v>
      </c>
      <c r="F33" t="str">
        <f>_xlfn.CONCAT("S",Tableau1[[#This Row],[Colonne2]])</f>
        <v>S04</v>
      </c>
      <c r="G33" t="str">
        <f>TEXT(Tableau1[[#This Row],[Date ]],"mmmm")</f>
        <v>janvier</v>
      </c>
      <c r="H33" s="2">
        <v>15</v>
      </c>
      <c r="I33" s="2">
        <v>4</v>
      </c>
      <c r="J33" s="2">
        <v>53</v>
      </c>
      <c r="K33" s="17">
        <f t="shared" si="0"/>
        <v>126.5</v>
      </c>
      <c r="L33" t="str">
        <f>CONCATENATE(Tableau1[[#This Row],[Usine]],"-",Tableau1[[#This Row],[Semaine ]])</f>
        <v>Autres-S04</v>
      </c>
    </row>
    <row r="34" spans="1:12" x14ac:dyDescent="0.3">
      <c r="A34" s="1" t="s">
        <v>6</v>
      </c>
      <c r="B34" s="15">
        <v>44585</v>
      </c>
      <c r="C34">
        <f>WEEKNUM(Tableau1[[#This Row],[Date ]])</f>
        <v>5</v>
      </c>
      <c r="D34">
        <f>Tableau1[[#This Row],[Colonne1]]-1</f>
        <v>4</v>
      </c>
      <c r="E34" t="str">
        <f>_xlfn.CONCAT("0",Tableau1[[#This Row],[N° Semaine]])</f>
        <v>04</v>
      </c>
      <c r="F34" t="str">
        <f>_xlfn.CONCAT("S",Tableau1[[#This Row],[Colonne2]])</f>
        <v>S04</v>
      </c>
      <c r="G34" t="str">
        <f>TEXT(Tableau1[[#This Row],[Date ]],"mmmm")</f>
        <v>janvier</v>
      </c>
      <c r="H34" s="2">
        <v>5.5</v>
      </c>
      <c r="I34" s="2">
        <v>24</v>
      </c>
      <c r="J34" s="2">
        <v>25</v>
      </c>
      <c r="K34" s="17">
        <f t="shared" si="0"/>
        <v>64.5</v>
      </c>
      <c r="L34" t="str">
        <f>CONCATENATE(Tableau1[[#This Row],[Usine]],"-",Tableau1[[#This Row],[Semaine ]])</f>
        <v>Biamonique-S04</v>
      </c>
    </row>
    <row r="35" spans="1:12" x14ac:dyDescent="0.3">
      <c r="A35" s="1" t="s">
        <v>7</v>
      </c>
      <c r="B35" s="15">
        <v>44585</v>
      </c>
      <c r="C35">
        <f>WEEKNUM(Tableau1[[#This Row],[Date ]])</f>
        <v>5</v>
      </c>
      <c r="D35">
        <f>Tableau1[[#This Row],[Colonne1]]-1</f>
        <v>4</v>
      </c>
      <c r="E35" t="str">
        <f>_xlfn.CONCAT("0",Tableau1[[#This Row],[N° Semaine]])</f>
        <v>04</v>
      </c>
      <c r="F35" t="str">
        <f>_xlfn.CONCAT("S",Tableau1[[#This Row],[Colonne2]])</f>
        <v>S04</v>
      </c>
      <c r="G35" t="str">
        <f>TEXT(Tableau1[[#This Row],[Date ]],"mmmm")</f>
        <v>janvier</v>
      </c>
      <c r="H35" s="2">
        <v>1.5</v>
      </c>
      <c r="I35" s="2">
        <v>8.5</v>
      </c>
      <c r="J35" s="2"/>
      <c r="K35" s="17">
        <f t="shared" si="0"/>
        <v>224.75</v>
      </c>
      <c r="L35" t="str">
        <f>CONCATENATE(Tableau1[[#This Row],[Usine]],"-",Tableau1[[#This Row],[Semaine ]])</f>
        <v>D1-S04</v>
      </c>
    </row>
    <row r="36" spans="1:12" x14ac:dyDescent="0.3">
      <c r="A36" s="1" t="s">
        <v>8</v>
      </c>
      <c r="B36" s="15">
        <v>44585</v>
      </c>
      <c r="C36">
        <f>WEEKNUM(Tableau1[[#This Row],[Date ]])</f>
        <v>5</v>
      </c>
      <c r="D36">
        <f>Tableau1[[#This Row],[Colonne1]]-1</f>
        <v>4</v>
      </c>
      <c r="E36" t="str">
        <f>_xlfn.CONCAT("0",Tableau1[[#This Row],[N° Semaine]])</f>
        <v>04</v>
      </c>
      <c r="F36" t="str">
        <f>_xlfn.CONCAT("S",Tableau1[[#This Row],[Colonne2]])</f>
        <v>S04</v>
      </c>
      <c r="G36" t="str">
        <f>TEXT(Tableau1[[#This Row],[Date ]],"mmmm")</f>
        <v>janvier</v>
      </c>
      <c r="H36" s="2">
        <v>16.5</v>
      </c>
      <c r="I36" s="2">
        <v>137.5</v>
      </c>
      <c r="J36" s="2">
        <v>60.75</v>
      </c>
      <c r="K36" s="17">
        <f t="shared" si="0"/>
        <v>236.25</v>
      </c>
      <c r="L36" t="str">
        <f>CONCATENATE(Tableau1[[#This Row],[Usine]],"-",Tableau1[[#This Row],[Semaine ]])</f>
        <v>Engrais-S04</v>
      </c>
    </row>
    <row r="37" spans="1:12" x14ac:dyDescent="0.3">
      <c r="A37" s="1" t="s">
        <v>9</v>
      </c>
      <c r="B37" s="15">
        <v>44585</v>
      </c>
      <c r="C37">
        <f>WEEKNUM(Tableau1[[#This Row],[Date ]])</f>
        <v>5</v>
      </c>
      <c r="D37">
        <f>Tableau1[[#This Row],[Colonne1]]-1</f>
        <v>4</v>
      </c>
      <c r="E37" t="str">
        <f>_xlfn.CONCAT("0",Tableau1[[#This Row],[N° Semaine]])</f>
        <v>04</v>
      </c>
      <c r="F37" t="str">
        <f>_xlfn.CONCAT("S",Tableau1[[#This Row],[Colonne2]])</f>
        <v>S04</v>
      </c>
      <c r="G37" t="str">
        <f>TEXT(Tableau1[[#This Row],[Date ]],"mmmm")</f>
        <v>janvier</v>
      </c>
      <c r="H37" s="2">
        <v>6.5</v>
      </c>
      <c r="I37" s="2"/>
      <c r="J37" s="2">
        <v>15</v>
      </c>
      <c r="K37" s="17">
        <f t="shared" si="0"/>
        <v>650</v>
      </c>
      <c r="L37" t="str">
        <f>CONCATENATE(Tableau1[[#This Row],[Usine]],"-",Tableau1[[#This Row],[Semaine ]])</f>
        <v>Entretien-S04</v>
      </c>
    </row>
    <row r="38" spans="1:12" x14ac:dyDescent="0.3">
      <c r="A38" s="1" t="s">
        <v>10</v>
      </c>
      <c r="B38" s="15">
        <v>44585</v>
      </c>
      <c r="C38">
        <f>WEEKNUM(Tableau1[[#This Row],[Date ]])</f>
        <v>5</v>
      </c>
      <c r="D38">
        <f>Tableau1[[#This Row],[Colonne1]]-1</f>
        <v>4</v>
      </c>
      <c r="E38" t="str">
        <f>_xlfn.CONCAT("0",Tableau1[[#This Row],[N° Semaine]])</f>
        <v>04</v>
      </c>
      <c r="F38" t="str">
        <f>_xlfn.CONCAT("S",Tableau1[[#This Row],[Colonne2]])</f>
        <v>S04</v>
      </c>
      <c r="G38" t="str">
        <f>TEXT(Tableau1[[#This Row],[Date ]],"mmmm")</f>
        <v>janvier</v>
      </c>
      <c r="H38" s="2">
        <v>136.5</v>
      </c>
      <c r="I38" s="2">
        <v>194.5</v>
      </c>
      <c r="J38" s="2">
        <v>297.5</v>
      </c>
      <c r="K38" s="17">
        <f t="shared" si="0"/>
        <v>736</v>
      </c>
      <c r="L38" t="str">
        <f>CONCATENATE(Tableau1[[#This Row],[Usine]],"-",Tableau1[[#This Row],[Semaine ]])</f>
        <v>P2O5-S04</v>
      </c>
    </row>
    <row r="39" spans="1:12" x14ac:dyDescent="0.3">
      <c r="A39" s="1" t="s">
        <v>11</v>
      </c>
      <c r="B39" s="15">
        <v>44585</v>
      </c>
      <c r="C39">
        <f>WEEKNUM(Tableau1[[#This Row],[Date ]])</f>
        <v>5</v>
      </c>
      <c r="D39">
        <f>Tableau1[[#This Row],[Colonne1]]-1</f>
        <v>4</v>
      </c>
      <c r="E39" t="str">
        <f>_xlfn.CONCAT("0",Tableau1[[#This Row],[N° Semaine]])</f>
        <v>04</v>
      </c>
      <c r="F39" t="str">
        <f>_xlfn.CONCAT("S",Tableau1[[#This Row],[Colonne2]])</f>
        <v>S04</v>
      </c>
      <c r="G39" t="str">
        <f>TEXT(Tableau1[[#This Row],[Date ]],"mmmm")</f>
        <v>janvier</v>
      </c>
      <c r="H39" s="2">
        <v>22</v>
      </c>
      <c r="I39" s="2">
        <v>29.5</v>
      </c>
      <c r="J39" s="2">
        <v>56</v>
      </c>
      <c r="K39" s="17">
        <f t="shared" si="0"/>
        <v>405.5</v>
      </c>
      <c r="L39" t="str">
        <f>CONCATENATE(Tableau1[[#This Row],[Usine]],"-",Tableau1[[#This Row],[Semaine ]])</f>
        <v>PTA-S04</v>
      </c>
    </row>
    <row r="40" spans="1:12" x14ac:dyDescent="0.3">
      <c r="A40" s="1" t="s">
        <v>12</v>
      </c>
      <c r="B40" s="15">
        <v>44585</v>
      </c>
      <c r="C40">
        <f>WEEKNUM(Tableau1[[#This Row],[Date ]])</f>
        <v>5</v>
      </c>
      <c r="D40">
        <f>Tableau1[[#This Row],[Colonne1]]-1</f>
        <v>4</v>
      </c>
      <c r="E40" t="str">
        <f>_xlfn.CONCAT("0",Tableau1[[#This Row],[N° Semaine]])</f>
        <v>04</v>
      </c>
      <c r="F40" t="str">
        <f>_xlfn.CONCAT("S",Tableau1[[#This Row],[Colonne2]])</f>
        <v>S04</v>
      </c>
      <c r="G40" t="str">
        <f>TEXT(Tableau1[[#This Row],[Date ]],"mmmm")</f>
        <v>janvier</v>
      </c>
      <c r="H40" s="2">
        <v>58.5</v>
      </c>
      <c r="I40" s="2">
        <v>149</v>
      </c>
      <c r="J40" s="2">
        <v>90.5</v>
      </c>
      <c r="K40" s="17">
        <f t="shared" si="0"/>
        <v>361</v>
      </c>
      <c r="L40" t="str">
        <f>CONCATENATE(Tableau1[[#This Row],[Usine]],"-",Tableau1[[#This Row],[Semaine ]])</f>
        <v>Soufre &amp; Energie - Sulfine-S04</v>
      </c>
    </row>
    <row r="41" spans="1:12" x14ac:dyDescent="0.3">
      <c r="A41" s="1" t="s">
        <v>13</v>
      </c>
      <c r="B41" s="15">
        <v>44585</v>
      </c>
      <c r="C41">
        <f>WEEKNUM(Tableau1[[#This Row],[Date ]])</f>
        <v>5</v>
      </c>
      <c r="D41">
        <f>Tableau1[[#This Row],[Colonne1]]-1</f>
        <v>4</v>
      </c>
      <c r="E41" t="str">
        <f>_xlfn.CONCAT("0",Tableau1[[#This Row],[N° Semaine]])</f>
        <v>04</v>
      </c>
      <c r="F41" t="str">
        <f>_xlfn.CONCAT("S",Tableau1[[#This Row],[Colonne2]])</f>
        <v>S04</v>
      </c>
      <c r="G41" t="str">
        <f>TEXT(Tableau1[[#This Row],[Date ]],"mmmm")</f>
        <v>janvier</v>
      </c>
      <c r="H41" s="2"/>
      <c r="I41" s="2">
        <v>63</v>
      </c>
      <c r="J41" s="2"/>
      <c r="K41" s="17">
        <f t="shared" si="0"/>
        <v>120</v>
      </c>
      <c r="L41" t="str">
        <f>CONCATENATE(Tableau1[[#This Row],[Usine]],"-",Tableau1[[#This Row],[Semaine ]])</f>
        <v>Zéoline-S04</v>
      </c>
    </row>
    <row r="42" spans="1:12" x14ac:dyDescent="0.3">
      <c r="A42" s="1" t="s">
        <v>14</v>
      </c>
      <c r="B42" s="15">
        <v>44585</v>
      </c>
      <c r="C42">
        <f>WEEKNUM(Tableau1[[#This Row],[Date ]])</f>
        <v>5</v>
      </c>
      <c r="D42">
        <f>Tableau1[[#This Row],[Colonne1]]-1</f>
        <v>4</v>
      </c>
      <c r="E42" t="str">
        <f>_xlfn.CONCAT("0",Tableau1[[#This Row],[N° Semaine]])</f>
        <v>04</v>
      </c>
      <c r="F42" t="str">
        <f>_xlfn.CONCAT("S",Tableau1[[#This Row],[Colonne2]])</f>
        <v>S04</v>
      </c>
      <c r="G42" t="str">
        <f>TEXT(Tableau1[[#This Row],[Date ]],"mmmm")</f>
        <v>janvier</v>
      </c>
      <c r="H42" s="2">
        <v>33.5</v>
      </c>
      <c r="I42" s="2">
        <v>6</v>
      </c>
      <c r="J42" s="2">
        <v>17.5</v>
      </c>
      <c r="K42" s="17">
        <f t="shared" si="0"/>
        <v>129</v>
      </c>
      <c r="L42" t="str">
        <f>CONCATENATE(Tableau1[[#This Row],[Usine]],"-",Tableau1[[#This Row],[Semaine ]])</f>
        <v>#N/A-S04</v>
      </c>
    </row>
    <row r="43" spans="1:12" x14ac:dyDescent="0.3">
      <c r="A43" s="1" t="s">
        <v>5</v>
      </c>
      <c r="B43" s="15">
        <v>44592</v>
      </c>
      <c r="C43">
        <f>WEEKNUM(Tableau1[[#This Row],[Date ]])</f>
        <v>6</v>
      </c>
      <c r="D43">
        <f>Tableau1[[#This Row],[Colonne1]]-1</f>
        <v>5</v>
      </c>
      <c r="E43" t="str">
        <f>_xlfn.CONCAT("0",Tableau1[[#This Row],[N° Semaine]])</f>
        <v>05</v>
      </c>
      <c r="F43" t="str">
        <f>_xlfn.CONCAT("S",Tableau1[[#This Row],[Colonne2]])</f>
        <v>S05</v>
      </c>
      <c r="G43" t="str">
        <f>TEXT(Tableau1[[#This Row],[Date ]],"mmmm")</f>
        <v>janvier</v>
      </c>
      <c r="H43" s="2">
        <v>15</v>
      </c>
      <c r="I43" s="2">
        <v>4</v>
      </c>
      <c r="J43" s="2">
        <v>53</v>
      </c>
      <c r="K43" s="17">
        <f t="shared" si="0"/>
        <v>126.5</v>
      </c>
      <c r="L43" t="str">
        <f>CONCATENATE(Tableau1[[#This Row],[Usine]],"-",Tableau1[[#This Row],[Semaine ]])</f>
        <v>Autres-S05</v>
      </c>
    </row>
    <row r="44" spans="1:12" x14ac:dyDescent="0.3">
      <c r="A44" s="1" t="s">
        <v>6</v>
      </c>
      <c r="B44" s="15">
        <v>44592</v>
      </c>
      <c r="C44">
        <f>WEEKNUM(Tableau1[[#This Row],[Date ]])</f>
        <v>6</v>
      </c>
      <c r="D44">
        <f>Tableau1[[#This Row],[Colonne1]]-1</f>
        <v>5</v>
      </c>
      <c r="E44" t="str">
        <f>_xlfn.CONCAT("0",Tableau1[[#This Row],[N° Semaine]])</f>
        <v>05</v>
      </c>
      <c r="F44" t="str">
        <f>_xlfn.CONCAT("S",Tableau1[[#This Row],[Colonne2]])</f>
        <v>S05</v>
      </c>
      <c r="G44" t="str">
        <f>TEXT(Tableau1[[#This Row],[Date ]],"mmmm")</f>
        <v>janvier</v>
      </c>
      <c r="H44" s="2">
        <v>5.5</v>
      </c>
      <c r="I44" s="2">
        <v>24</v>
      </c>
      <c r="J44" s="2">
        <v>25</v>
      </c>
      <c r="K44" s="17">
        <f t="shared" si="0"/>
        <v>64.5</v>
      </c>
      <c r="L44" t="str">
        <f>CONCATENATE(Tableau1[[#This Row],[Usine]],"-",Tableau1[[#This Row],[Semaine ]])</f>
        <v>Biamonique-S05</v>
      </c>
    </row>
    <row r="45" spans="1:12" x14ac:dyDescent="0.3">
      <c r="A45" s="1" t="s">
        <v>7</v>
      </c>
      <c r="B45" s="15">
        <v>44592</v>
      </c>
      <c r="C45">
        <f>WEEKNUM(Tableau1[[#This Row],[Date ]])</f>
        <v>6</v>
      </c>
      <c r="D45">
        <f>Tableau1[[#This Row],[Colonne1]]-1</f>
        <v>5</v>
      </c>
      <c r="E45" t="str">
        <f>_xlfn.CONCAT("0",Tableau1[[#This Row],[N° Semaine]])</f>
        <v>05</v>
      </c>
      <c r="F45" t="str">
        <f>_xlfn.CONCAT("S",Tableau1[[#This Row],[Colonne2]])</f>
        <v>S05</v>
      </c>
      <c r="G45" t="str">
        <f>TEXT(Tableau1[[#This Row],[Date ]],"mmmm")</f>
        <v>janvier</v>
      </c>
      <c r="H45" s="2">
        <v>1.5</v>
      </c>
      <c r="I45" s="2">
        <v>8.5</v>
      </c>
      <c r="J45" s="2"/>
      <c r="K45" s="17">
        <f t="shared" si="0"/>
        <v>224.75</v>
      </c>
      <c r="L45" t="str">
        <f>CONCATENATE(Tableau1[[#This Row],[Usine]],"-",Tableau1[[#This Row],[Semaine ]])</f>
        <v>D1-S05</v>
      </c>
    </row>
    <row r="46" spans="1:12" x14ac:dyDescent="0.3">
      <c r="A46" s="1" t="s">
        <v>8</v>
      </c>
      <c r="B46" s="15">
        <v>44592</v>
      </c>
      <c r="C46">
        <f>WEEKNUM(Tableau1[[#This Row],[Date ]])</f>
        <v>6</v>
      </c>
      <c r="D46">
        <f>Tableau1[[#This Row],[Colonne1]]-1</f>
        <v>5</v>
      </c>
      <c r="E46" t="str">
        <f>_xlfn.CONCAT("0",Tableau1[[#This Row],[N° Semaine]])</f>
        <v>05</v>
      </c>
      <c r="F46" t="str">
        <f>_xlfn.CONCAT("S",Tableau1[[#This Row],[Colonne2]])</f>
        <v>S05</v>
      </c>
      <c r="G46" t="str">
        <f>TEXT(Tableau1[[#This Row],[Date ]],"mmmm")</f>
        <v>janvier</v>
      </c>
      <c r="H46" s="2">
        <v>16.5</v>
      </c>
      <c r="I46" s="2">
        <v>137.5</v>
      </c>
      <c r="J46" s="2">
        <v>60.75</v>
      </c>
      <c r="K46" s="17">
        <f t="shared" si="0"/>
        <v>236.25</v>
      </c>
      <c r="L46" t="str">
        <f>CONCATENATE(Tableau1[[#This Row],[Usine]],"-",Tableau1[[#This Row],[Semaine ]])</f>
        <v>Engrais-S05</v>
      </c>
    </row>
    <row r="47" spans="1:12" x14ac:dyDescent="0.3">
      <c r="A47" s="1" t="s">
        <v>9</v>
      </c>
      <c r="B47" s="15">
        <v>44592</v>
      </c>
      <c r="C47">
        <f>WEEKNUM(Tableau1[[#This Row],[Date ]])</f>
        <v>6</v>
      </c>
      <c r="D47">
        <f>Tableau1[[#This Row],[Colonne1]]-1</f>
        <v>5</v>
      </c>
      <c r="E47" t="str">
        <f>_xlfn.CONCAT("0",Tableau1[[#This Row],[N° Semaine]])</f>
        <v>05</v>
      </c>
      <c r="F47" t="str">
        <f>_xlfn.CONCAT("S",Tableau1[[#This Row],[Colonne2]])</f>
        <v>S05</v>
      </c>
      <c r="G47" t="str">
        <f>TEXT(Tableau1[[#This Row],[Date ]],"mmmm")</f>
        <v>janvier</v>
      </c>
      <c r="H47" s="2">
        <v>6.5</v>
      </c>
      <c r="I47" s="2"/>
      <c r="J47" s="2">
        <v>15</v>
      </c>
      <c r="K47" s="17">
        <f t="shared" si="0"/>
        <v>650</v>
      </c>
      <c r="L47" t="str">
        <f>CONCATENATE(Tableau1[[#This Row],[Usine]],"-",Tableau1[[#This Row],[Semaine ]])</f>
        <v>Entretien-S05</v>
      </c>
    </row>
    <row r="48" spans="1:12" x14ac:dyDescent="0.3">
      <c r="A48" s="1" t="s">
        <v>10</v>
      </c>
      <c r="B48" s="15">
        <v>44592</v>
      </c>
      <c r="C48">
        <f>WEEKNUM(Tableau1[[#This Row],[Date ]])</f>
        <v>6</v>
      </c>
      <c r="D48">
        <f>Tableau1[[#This Row],[Colonne1]]-1</f>
        <v>5</v>
      </c>
      <c r="E48" t="str">
        <f>_xlfn.CONCAT("0",Tableau1[[#This Row],[N° Semaine]])</f>
        <v>05</v>
      </c>
      <c r="F48" t="str">
        <f>_xlfn.CONCAT("S",Tableau1[[#This Row],[Colonne2]])</f>
        <v>S05</v>
      </c>
      <c r="G48" t="str">
        <f>TEXT(Tableau1[[#This Row],[Date ]],"mmmm")</f>
        <v>janvier</v>
      </c>
      <c r="H48" s="2">
        <v>136.5</v>
      </c>
      <c r="I48" s="2">
        <v>194.5</v>
      </c>
      <c r="J48" s="2">
        <v>297.5</v>
      </c>
      <c r="K48" s="17">
        <f t="shared" si="0"/>
        <v>736</v>
      </c>
      <c r="L48" t="str">
        <f>CONCATENATE(Tableau1[[#This Row],[Usine]],"-",Tableau1[[#This Row],[Semaine ]])</f>
        <v>P2O5-S05</v>
      </c>
    </row>
    <row r="49" spans="1:12" x14ac:dyDescent="0.3">
      <c r="A49" s="1" t="s">
        <v>11</v>
      </c>
      <c r="B49" s="15">
        <v>44592</v>
      </c>
      <c r="C49">
        <f>WEEKNUM(Tableau1[[#This Row],[Date ]])</f>
        <v>6</v>
      </c>
      <c r="D49">
        <f>Tableau1[[#This Row],[Colonne1]]-1</f>
        <v>5</v>
      </c>
      <c r="E49" t="str">
        <f>_xlfn.CONCAT("0",Tableau1[[#This Row],[N° Semaine]])</f>
        <v>05</v>
      </c>
      <c r="F49" t="str">
        <f>_xlfn.CONCAT("S",Tableau1[[#This Row],[Colonne2]])</f>
        <v>S05</v>
      </c>
      <c r="G49" t="str">
        <f>TEXT(Tableau1[[#This Row],[Date ]],"mmmm")</f>
        <v>janvier</v>
      </c>
      <c r="H49" s="2">
        <v>22</v>
      </c>
      <c r="I49" s="2">
        <v>29.5</v>
      </c>
      <c r="J49" s="2">
        <v>56</v>
      </c>
      <c r="K49" s="17">
        <f t="shared" si="0"/>
        <v>405.5</v>
      </c>
      <c r="L49" t="str">
        <f>CONCATENATE(Tableau1[[#This Row],[Usine]],"-",Tableau1[[#This Row],[Semaine ]])</f>
        <v>PTA-S05</v>
      </c>
    </row>
    <row r="50" spans="1:12" x14ac:dyDescent="0.3">
      <c r="A50" s="1" t="s">
        <v>12</v>
      </c>
      <c r="B50" s="15">
        <v>44592</v>
      </c>
      <c r="C50">
        <f>WEEKNUM(Tableau1[[#This Row],[Date ]])</f>
        <v>6</v>
      </c>
      <c r="D50">
        <f>Tableau1[[#This Row],[Colonne1]]-1</f>
        <v>5</v>
      </c>
      <c r="E50" t="str">
        <f>_xlfn.CONCAT("0",Tableau1[[#This Row],[N° Semaine]])</f>
        <v>05</v>
      </c>
      <c r="F50" t="str">
        <f>_xlfn.CONCAT("S",Tableau1[[#This Row],[Colonne2]])</f>
        <v>S05</v>
      </c>
      <c r="G50" t="str">
        <f>TEXT(Tableau1[[#This Row],[Date ]],"mmmm")</f>
        <v>janvier</v>
      </c>
      <c r="H50" s="2">
        <v>58.5</v>
      </c>
      <c r="I50" s="2">
        <v>149</v>
      </c>
      <c r="J50" s="2">
        <v>90.5</v>
      </c>
      <c r="K50" s="17">
        <f t="shared" si="0"/>
        <v>361</v>
      </c>
      <c r="L50" t="str">
        <f>CONCATENATE(Tableau1[[#This Row],[Usine]],"-",Tableau1[[#This Row],[Semaine ]])</f>
        <v>Soufre &amp; Energie - Sulfine-S05</v>
      </c>
    </row>
    <row r="51" spans="1:12" x14ac:dyDescent="0.3">
      <c r="A51" s="1" t="s">
        <v>13</v>
      </c>
      <c r="B51" s="15">
        <v>44592</v>
      </c>
      <c r="C51">
        <f>WEEKNUM(Tableau1[[#This Row],[Date ]])</f>
        <v>6</v>
      </c>
      <c r="D51">
        <f>Tableau1[[#This Row],[Colonne1]]-1</f>
        <v>5</v>
      </c>
      <c r="E51" t="str">
        <f>_xlfn.CONCAT("0",Tableau1[[#This Row],[N° Semaine]])</f>
        <v>05</v>
      </c>
      <c r="F51" t="str">
        <f>_xlfn.CONCAT("S",Tableau1[[#This Row],[Colonne2]])</f>
        <v>S05</v>
      </c>
      <c r="G51" t="str">
        <f>TEXT(Tableau1[[#This Row],[Date ]],"mmmm")</f>
        <v>janvier</v>
      </c>
      <c r="H51" s="2"/>
      <c r="I51" s="2">
        <v>63</v>
      </c>
      <c r="J51" s="2"/>
      <c r="K51" s="17">
        <f t="shared" si="0"/>
        <v>120</v>
      </c>
      <c r="L51" t="str">
        <f>CONCATENATE(Tableau1[[#This Row],[Usine]],"-",Tableau1[[#This Row],[Semaine ]])</f>
        <v>Zéoline-S05</v>
      </c>
    </row>
    <row r="52" spans="1:12" x14ac:dyDescent="0.3">
      <c r="A52" s="1" t="s">
        <v>14</v>
      </c>
      <c r="B52" s="15">
        <v>44592</v>
      </c>
      <c r="C52">
        <f>WEEKNUM(Tableau1[[#This Row],[Date ]])</f>
        <v>6</v>
      </c>
      <c r="D52">
        <f>Tableau1[[#This Row],[Colonne1]]-1</f>
        <v>5</v>
      </c>
      <c r="E52" t="str">
        <f>_xlfn.CONCAT("0",Tableau1[[#This Row],[N° Semaine]])</f>
        <v>05</v>
      </c>
      <c r="F52" t="str">
        <f>_xlfn.CONCAT("S",Tableau1[[#This Row],[Colonne2]])</f>
        <v>S05</v>
      </c>
      <c r="G52" t="str">
        <f>TEXT(Tableau1[[#This Row],[Date ]],"mmmm")</f>
        <v>janvier</v>
      </c>
      <c r="H52">
        <v>33.5</v>
      </c>
      <c r="I52">
        <v>6</v>
      </c>
      <c r="J52">
        <v>17.5</v>
      </c>
      <c r="K52" s="14">
        <f t="shared" si="0"/>
        <v>95</v>
      </c>
      <c r="L52" t="str">
        <f>CONCATENATE(Tableau1[[#This Row],[Usine]],"-",Tableau1[[#This Row],[Semaine ]])</f>
        <v>#N/A-S05</v>
      </c>
    </row>
    <row r="53" spans="1:12" x14ac:dyDescent="0.3">
      <c r="A53" s="1" t="s">
        <v>5</v>
      </c>
      <c r="B53" s="15">
        <v>44599</v>
      </c>
      <c r="C53">
        <f>WEEKNUM(Tableau1[[#This Row],[Date ]])</f>
        <v>7</v>
      </c>
      <c r="D53">
        <f>Tableau1[[#This Row],[Colonne1]]-1</f>
        <v>6</v>
      </c>
      <c r="E53" t="str">
        <f>_xlfn.CONCAT("0",Tableau1[[#This Row],[N° Semaine]])</f>
        <v>06</v>
      </c>
      <c r="F53" t="str">
        <f>_xlfn.CONCAT("S",Tableau1[[#This Row],[Colonne2]])</f>
        <v>S06</v>
      </c>
      <c r="G53" t="str">
        <f>TEXT(Tableau1[[#This Row],[Date ]],"mmmm")</f>
        <v>février</v>
      </c>
      <c r="H53">
        <v>1.5</v>
      </c>
      <c r="I53">
        <v>3</v>
      </c>
      <c r="J53">
        <v>33.5</v>
      </c>
      <c r="K53" s="14">
        <f t="shared" si="0"/>
        <v>67.5</v>
      </c>
      <c r="L53" t="str">
        <f>CONCATENATE(Tableau1[[#This Row],[Usine]],"-",Tableau1[[#This Row],[Semaine ]])</f>
        <v>Autres-S06</v>
      </c>
    </row>
    <row r="54" spans="1:12" x14ac:dyDescent="0.3">
      <c r="A54" s="1" t="s">
        <v>6</v>
      </c>
      <c r="B54" s="15">
        <v>44599</v>
      </c>
      <c r="C54">
        <f>WEEKNUM(Tableau1[[#This Row],[Date ]])</f>
        <v>7</v>
      </c>
      <c r="D54">
        <f>Tableau1[[#This Row],[Colonne1]]-1</f>
        <v>6</v>
      </c>
      <c r="E54" t="str">
        <f>_xlfn.CONCAT("0",Tableau1[[#This Row],[N° Semaine]])</f>
        <v>06</v>
      </c>
      <c r="F54" t="str">
        <f>_xlfn.CONCAT("S",Tableau1[[#This Row],[Colonne2]])</f>
        <v>S06</v>
      </c>
      <c r="G54" t="str">
        <f>TEXT(Tableau1[[#This Row],[Date ]],"mmmm")</f>
        <v>février</v>
      </c>
      <c r="I54">
        <v>26</v>
      </c>
      <c r="J54">
        <v>3.5</v>
      </c>
      <c r="K54" s="14">
        <f t="shared" si="0"/>
        <v>100.5</v>
      </c>
      <c r="L54" t="str">
        <f>CONCATENATE(Tableau1[[#This Row],[Usine]],"-",Tableau1[[#This Row],[Semaine ]])</f>
        <v>Biamonique-S06</v>
      </c>
    </row>
    <row r="55" spans="1:12" x14ac:dyDescent="0.3">
      <c r="A55" s="1" t="s">
        <v>7</v>
      </c>
      <c r="B55" s="15">
        <v>44599</v>
      </c>
      <c r="C55">
        <f>WEEKNUM(Tableau1[[#This Row],[Date ]])</f>
        <v>7</v>
      </c>
      <c r="D55">
        <f>Tableau1[[#This Row],[Colonne1]]-1</f>
        <v>6</v>
      </c>
      <c r="E55" t="str">
        <f>_xlfn.CONCAT("0",Tableau1[[#This Row],[N° Semaine]])</f>
        <v>06</v>
      </c>
      <c r="F55" t="str">
        <f>_xlfn.CONCAT("S",Tableau1[[#This Row],[Colonne2]])</f>
        <v>S06</v>
      </c>
      <c r="G55" t="str">
        <f>TEXT(Tableau1[[#This Row],[Date ]],"mmmm")</f>
        <v>février</v>
      </c>
      <c r="H55">
        <v>71</v>
      </c>
      <c r="K55" s="14">
        <f t="shared" si="0"/>
        <v>308.5</v>
      </c>
      <c r="L55" t="str">
        <f>CONCATENATE(Tableau1[[#This Row],[Usine]],"-",Tableau1[[#This Row],[Semaine ]])</f>
        <v>D1-S06</v>
      </c>
    </row>
    <row r="56" spans="1:12" x14ac:dyDescent="0.3">
      <c r="A56" s="1" t="s">
        <v>8</v>
      </c>
      <c r="B56" s="15">
        <v>44599</v>
      </c>
      <c r="C56">
        <f>WEEKNUM(Tableau1[[#This Row],[Date ]])</f>
        <v>7</v>
      </c>
      <c r="D56">
        <f>Tableau1[[#This Row],[Colonne1]]-1</f>
        <v>6</v>
      </c>
      <c r="E56" t="str">
        <f>_xlfn.CONCAT("0",Tableau1[[#This Row],[N° Semaine]])</f>
        <v>06</v>
      </c>
      <c r="F56" t="str">
        <f>_xlfn.CONCAT("S",Tableau1[[#This Row],[Colonne2]])</f>
        <v>S06</v>
      </c>
      <c r="G56" t="str">
        <f>TEXT(Tableau1[[#This Row],[Date ]],"mmmm")</f>
        <v>février</v>
      </c>
      <c r="H56">
        <v>170</v>
      </c>
      <c r="I56">
        <v>23</v>
      </c>
      <c r="J56">
        <v>44.5</v>
      </c>
      <c r="K56" s="14">
        <f t="shared" si="0"/>
        <v>267.5</v>
      </c>
      <c r="L56" t="str">
        <f>CONCATENATE(Tableau1[[#This Row],[Usine]],"-",Tableau1[[#This Row],[Semaine ]])</f>
        <v>Engrais-S06</v>
      </c>
    </row>
    <row r="57" spans="1:12" x14ac:dyDescent="0.3">
      <c r="A57" s="1" t="s">
        <v>9</v>
      </c>
      <c r="B57" s="15">
        <v>44599</v>
      </c>
      <c r="C57">
        <f>WEEKNUM(Tableau1[[#This Row],[Date ]])</f>
        <v>7</v>
      </c>
      <c r="D57">
        <f>Tableau1[[#This Row],[Colonne1]]-1</f>
        <v>6</v>
      </c>
      <c r="E57" t="str">
        <f>_xlfn.CONCAT("0",Tableau1[[#This Row],[N° Semaine]])</f>
        <v>06</v>
      </c>
      <c r="F57" t="str">
        <f>_xlfn.CONCAT("S",Tableau1[[#This Row],[Colonne2]])</f>
        <v>S06</v>
      </c>
      <c r="G57" t="str">
        <f>TEXT(Tableau1[[#This Row],[Date ]],"mmmm")</f>
        <v>février</v>
      </c>
      <c r="I57">
        <v>30</v>
      </c>
      <c r="K57" s="14">
        <f t="shared" si="0"/>
        <v>559</v>
      </c>
      <c r="L57" t="str">
        <f>CONCATENATE(Tableau1[[#This Row],[Usine]],"-",Tableau1[[#This Row],[Semaine ]])</f>
        <v>Entretien-S06</v>
      </c>
    </row>
    <row r="58" spans="1:12" x14ac:dyDescent="0.3">
      <c r="A58" s="1" t="s">
        <v>10</v>
      </c>
      <c r="B58" s="15">
        <v>44599</v>
      </c>
      <c r="C58">
        <f>WEEKNUM(Tableau1[[#This Row],[Date ]])</f>
        <v>7</v>
      </c>
      <c r="D58">
        <f>Tableau1[[#This Row],[Colonne1]]-1</f>
        <v>6</v>
      </c>
      <c r="E58" t="str">
        <f>_xlfn.CONCAT("0",Tableau1[[#This Row],[N° Semaine]])</f>
        <v>06</v>
      </c>
      <c r="F58" t="str">
        <f>_xlfn.CONCAT("S",Tableau1[[#This Row],[Colonne2]])</f>
        <v>S06</v>
      </c>
      <c r="G58" t="str">
        <f>TEXT(Tableau1[[#This Row],[Date ]],"mmmm")</f>
        <v>février</v>
      </c>
      <c r="H58">
        <v>91</v>
      </c>
      <c r="I58">
        <v>133.5</v>
      </c>
      <c r="J58">
        <v>304.5</v>
      </c>
      <c r="K58" s="14">
        <f t="shared" si="0"/>
        <v>585</v>
      </c>
      <c r="L58" t="str">
        <f>CONCATENATE(Tableau1[[#This Row],[Usine]],"-",Tableau1[[#This Row],[Semaine ]])</f>
        <v>P2O5-S06</v>
      </c>
    </row>
    <row r="59" spans="1:12" x14ac:dyDescent="0.3">
      <c r="A59" s="1" t="s">
        <v>11</v>
      </c>
      <c r="B59" s="15">
        <v>44599</v>
      </c>
      <c r="C59">
        <f>WEEKNUM(Tableau1[[#This Row],[Date ]])</f>
        <v>7</v>
      </c>
      <c r="D59">
        <f>Tableau1[[#This Row],[Colonne1]]-1</f>
        <v>6</v>
      </c>
      <c r="E59" t="str">
        <f>_xlfn.CONCAT("0",Tableau1[[#This Row],[N° Semaine]])</f>
        <v>06</v>
      </c>
      <c r="F59" t="str">
        <f>_xlfn.CONCAT("S",Tableau1[[#This Row],[Colonne2]])</f>
        <v>S06</v>
      </c>
      <c r="G59" t="str">
        <f>TEXT(Tableau1[[#This Row],[Date ]],"mmmm")</f>
        <v>février</v>
      </c>
      <c r="H59">
        <v>2</v>
      </c>
      <c r="I59">
        <v>38.5</v>
      </c>
      <c r="J59">
        <v>15.5</v>
      </c>
      <c r="K59" s="14">
        <f t="shared" si="0"/>
        <v>258</v>
      </c>
      <c r="L59" t="str">
        <f>CONCATENATE(Tableau1[[#This Row],[Usine]],"-",Tableau1[[#This Row],[Semaine ]])</f>
        <v>PTA-S06</v>
      </c>
    </row>
    <row r="60" spans="1:12" x14ac:dyDescent="0.3">
      <c r="A60" s="1" t="s">
        <v>12</v>
      </c>
      <c r="B60" s="15">
        <v>44599</v>
      </c>
      <c r="C60">
        <f>WEEKNUM(Tableau1[[#This Row],[Date ]])</f>
        <v>7</v>
      </c>
      <c r="D60">
        <f>Tableau1[[#This Row],[Colonne1]]-1</f>
        <v>6</v>
      </c>
      <c r="E60" t="str">
        <f>_xlfn.CONCAT("0",Tableau1[[#This Row],[N° Semaine]])</f>
        <v>06</v>
      </c>
      <c r="F60" t="str">
        <f>_xlfn.CONCAT("S",Tableau1[[#This Row],[Colonne2]])</f>
        <v>S06</v>
      </c>
      <c r="G60" t="str">
        <f>TEXT(Tableau1[[#This Row],[Date ]],"mmmm")</f>
        <v>février</v>
      </c>
      <c r="H60">
        <v>51.5</v>
      </c>
      <c r="I60">
        <v>135.5</v>
      </c>
      <c r="J60">
        <v>15</v>
      </c>
      <c r="K60" s="14">
        <f t="shared" si="0"/>
        <v>242</v>
      </c>
      <c r="L60" t="str">
        <f>CONCATENATE(Tableau1[[#This Row],[Usine]],"-",Tableau1[[#This Row],[Semaine ]])</f>
        <v>Soufre &amp; Energie - Sulfine-S06</v>
      </c>
    </row>
    <row r="61" spans="1:12" x14ac:dyDescent="0.3">
      <c r="A61" s="1" t="s">
        <v>13</v>
      </c>
      <c r="B61" s="15">
        <v>44599</v>
      </c>
      <c r="C61">
        <f>WEEKNUM(Tableau1[[#This Row],[Date ]])</f>
        <v>7</v>
      </c>
      <c r="D61">
        <f>Tableau1[[#This Row],[Colonne1]]-1</f>
        <v>6</v>
      </c>
      <c r="E61" t="str">
        <f>_xlfn.CONCAT("0",Tableau1[[#This Row],[N° Semaine]])</f>
        <v>06</v>
      </c>
      <c r="F61" t="str">
        <f>_xlfn.CONCAT("S",Tableau1[[#This Row],[Colonne2]])</f>
        <v>S06</v>
      </c>
      <c r="G61" t="str">
        <f>TEXT(Tableau1[[#This Row],[Date ]],"mmmm")</f>
        <v>février</v>
      </c>
      <c r="H61" s="2">
        <v>6</v>
      </c>
      <c r="I61" s="2">
        <v>28.5</v>
      </c>
      <c r="J61" s="2">
        <v>5.5</v>
      </c>
      <c r="K61" s="17">
        <f t="shared" si="0"/>
        <v>146</v>
      </c>
      <c r="L61" t="str">
        <f>CONCATENATE(Tableau1[[#This Row],[Usine]],"-",Tableau1[[#This Row],[Semaine ]])</f>
        <v>Zéoline-S06</v>
      </c>
    </row>
    <row r="62" spans="1:12" x14ac:dyDescent="0.3">
      <c r="A62" s="1" t="s">
        <v>14</v>
      </c>
      <c r="B62" s="15">
        <v>44599</v>
      </c>
      <c r="C62">
        <f>WEEKNUM(Tableau1[[#This Row],[Date ]])</f>
        <v>7</v>
      </c>
      <c r="D62">
        <f>Tableau1[[#This Row],[Colonne1]]-1</f>
        <v>6</v>
      </c>
      <c r="E62" t="str">
        <f>_xlfn.CONCAT("0",Tableau1[[#This Row],[N° Semaine]])</f>
        <v>06</v>
      </c>
      <c r="F62" t="str">
        <f>_xlfn.CONCAT("S",Tableau1[[#This Row],[Colonne2]])</f>
        <v>S06</v>
      </c>
      <c r="G62" t="str">
        <f>TEXT(Tableau1[[#This Row],[Date ]],"mmmm")</f>
        <v>février</v>
      </c>
      <c r="H62" s="2">
        <v>45</v>
      </c>
      <c r="I62" s="2">
        <v>52</v>
      </c>
      <c r="J62" s="2">
        <v>9</v>
      </c>
      <c r="K62" s="17">
        <f t="shared" si="0"/>
        <v>128.5</v>
      </c>
      <c r="L62" t="str">
        <f>CONCATENATE(Tableau1[[#This Row],[Usine]],"-",Tableau1[[#This Row],[Semaine ]])</f>
        <v>#N/A-S06</v>
      </c>
    </row>
    <row r="63" spans="1:12" x14ac:dyDescent="0.3">
      <c r="A63" s="1" t="s">
        <v>5</v>
      </c>
      <c r="B63" s="15">
        <v>44606</v>
      </c>
      <c r="C63">
        <f>WEEKNUM(Tableau1[[#This Row],[Date ]])</f>
        <v>8</v>
      </c>
      <c r="D63">
        <f>Tableau1[[#This Row],[Colonne1]]-1</f>
        <v>7</v>
      </c>
      <c r="E63" t="str">
        <f>_xlfn.CONCAT("0",Tableau1[[#This Row],[N° Semaine]])</f>
        <v>07</v>
      </c>
      <c r="F63" t="str">
        <f>_xlfn.CONCAT("S",Tableau1[[#This Row],[Colonne2]])</f>
        <v>S07</v>
      </c>
      <c r="G63" t="str">
        <f>TEXT(Tableau1[[#This Row],[Date ]],"mmmm")</f>
        <v>février</v>
      </c>
      <c r="H63" s="2">
        <v>1.5</v>
      </c>
      <c r="I63" s="2"/>
      <c r="J63" s="2">
        <v>21</v>
      </c>
      <c r="K63" s="17">
        <f t="shared" si="0"/>
        <v>56.5</v>
      </c>
      <c r="L63" t="str">
        <f>CONCATENATE(Tableau1[[#This Row],[Usine]],"-",Tableau1[[#This Row],[Semaine ]])</f>
        <v>Autres-S07</v>
      </c>
    </row>
    <row r="64" spans="1:12" x14ac:dyDescent="0.3">
      <c r="A64" s="1" t="s">
        <v>6</v>
      </c>
      <c r="B64" s="15">
        <v>44606</v>
      </c>
      <c r="C64">
        <f>WEEKNUM(Tableau1[[#This Row],[Date ]])</f>
        <v>8</v>
      </c>
      <c r="D64">
        <f>Tableau1[[#This Row],[Colonne1]]-1</f>
        <v>7</v>
      </c>
      <c r="E64" t="str">
        <f>_xlfn.CONCAT("0",Tableau1[[#This Row],[N° Semaine]])</f>
        <v>07</v>
      </c>
      <c r="F64" t="str">
        <f>_xlfn.CONCAT("S",Tableau1[[#This Row],[Colonne2]])</f>
        <v>S07</v>
      </c>
      <c r="G64" t="str">
        <f>TEXT(Tableau1[[#This Row],[Date ]],"mmmm")</f>
        <v>février</v>
      </c>
      <c r="H64" s="2">
        <v>7</v>
      </c>
      <c r="I64" s="2">
        <v>27</v>
      </c>
      <c r="J64" s="2"/>
      <c r="K64" s="17">
        <f t="shared" si="0"/>
        <v>47.5</v>
      </c>
      <c r="L64" t="str">
        <f>CONCATENATE(Tableau1[[#This Row],[Usine]],"-",Tableau1[[#This Row],[Semaine ]])</f>
        <v>Biamonique-S07</v>
      </c>
    </row>
    <row r="65" spans="1:12" x14ac:dyDescent="0.3">
      <c r="A65" s="1" t="s">
        <v>7</v>
      </c>
      <c r="B65" s="15">
        <v>44606</v>
      </c>
      <c r="C65">
        <f>WEEKNUM(Tableau1[[#This Row],[Date ]])</f>
        <v>8</v>
      </c>
      <c r="D65">
        <f>Tableau1[[#This Row],[Colonne1]]-1</f>
        <v>7</v>
      </c>
      <c r="E65" t="str">
        <f>_xlfn.CONCAT("0",Tableau1[[#This Row],[N° Semaine]])</f>
        <v>07</v>
      </c>
      <c r="F65" t="str">
        <f>_xlfn.CONCAT("S",Tableau1[[#This Row],[Colonne2]])</f>
        <v>S07</v>
      </c>
      <c r="G65" t="str">
        <f>TEXT(Tableau1[[#This Row],[Date ]],"mmmm")</f>
        <v>février</v>
      </c>
      <c r="H65" s="2"/>
      <c r="I65" s="2">
        <v>11</v>
      </c>
      <c r="J65" s="2">
        <v>2.5</v>
      </c>
      <c r="K65" s="17">
        <f t="shared" si="0"/>
        <v>139.5</v>
      </c>
      <c r="L65" t="str">
        <f>CONCATENATE(Tableau1[[#This Row],[Usine]],"-",Tableau1[[#This Row],[Semaine ]])</f>
        <v>D1-S07</v>
      </c>
    </row>
    <row r="66" spans="1:12" x14ac:dyDescent="0.3">
      <c r="A66" s="1" t="s">
        <v>8</v>
      </c>
      <c r="B66" s="15">
        <v>44606</v>
      </c>
      <c r="C66">
        <f>WEEKNUM(Tableau1[[#This Row],[Date ]])</f>
        <v>8</v>
      </c>
      <c r="D66">
        <f>Tableau1[[#This Row],[Colonne1]]-1</f>
        <v>7</v>
      </c>
      <c r="E66" t="str">
        <f>_xlfn.CONCAT("0",Tableau1[[#This Row],[N° Semaine]])</f>
        <v>07</v>
      </c>
      <c r="F66" t="str">
        <f>_xlfn.CONCAT("S",Tableau1[[#This Row],[Colonne2]])</f>
        <v>S07</v>
      </c>
      <c r="G66" t="str">
        <f>TEXT(Tableau1[[#This Row],[Date ]],"mmmm")</f>
        <v>février</v>
      </c>
      <c r="H66" s="2">
        <v>9</v>
      </c>
      <c r="I66" s="2">
        <v>64.5</v>
      </c>
      <c r="J66" s="2">
        <v>52.5</v>
      </c>
      <c r="K66" s="17">
        <f t="shared" ref="K66:K129" si="1">SUM(H66:J67)</f>
        <v>132.5</v>
      </c>
      <c r="L66" t="str">
        <f>CONCATENATE(Tableau1[[#This Row],[Usine]],"-",Tableau1[[#This Row],[Semaine ]])</f>
        <v>Engrais-S07</v>
      </c>
    </row>
    <row r="67" spans="1:12" x14ac:dyDescent="0.3">
      <c r="A67" s="1" t="s">
        <v>9</v>
      </c>
      <c r="B67" s="15">
        <v>44606</v>
      </c>
      <c r="C67">
        <f>WEEKNUM(Tableau1[[#This Row],[Date ]])</f>
        <v>8</v>
      </c>
      <c r="D67">
        <f>Tableau1[[#This Row],[Colonne1]]-1</f>
        <v>7</v>
      </c>
      <c r="E67" t="str">
        <f>_xlfn.CONCAT("0",Tableau1[[#This Row],[N° Semaine]])</f>
        <v>07</v>
      </c>
      <c r="F67" t="str">
        <f>_xlfn.CONCAT("S",Tableau1[[#This Row],[Colonne2]])</f>
        <v>S07</v>
      </c>
      <c r="G67" t="str">
        <f>TEXT(Tableau1[[#This Row],[Date ]],"mmmm")</f>
        <v>février</v>
      </c>
      <c r="H67" s="2"/>
      <c r="I67" s="2">
        <v>6.5</v>
      </c>
      <c r="J67" s="2"/>
      <c r="K67" s="17">
        <f t="shared" si="1"/>
        <v>8.5</v>
      </c>
      <c r="L67" t="str">
        <f>CONCATENATE(Tableau1[[#This Row],[Usine]],"-",Tableau1[[#This Row],[Semaine ]])</f>
        <v>Entretien-S07</v>
      </c>
    </row>
    <row r="68" spans="1:12" x14ac:dyDescent="0.3">
      <c r="A68" s="1" t="s">
        <v>17</v>
      </c>
      <c r="B68" s="15">
        <v>44606</v>
      </c>
      <c r="C68">
        <f>WEEKNUM(Tableau1[[#This Row],[Date ]])</f>
        <v>8</v>
      </c>
      <c r="D68">
        <f>Tableau1[[#This Row],[Colonne1]]-1</f>
        <v>7</v>
      </c>
      <c r="E68" t="str">
        <f>_xlfn.CONCAT("0",Tableau1[[#This Row],[N° Semaine]])</f>
        <v>07</v>
      </c>
      <c r="F68" t="str">
        <f>_xlfn.CONCAT("S",Tableau1[[#This Row],[Colonne2]])</f>
        <v>S07</v>
      </c>
      <c r="G68" t="str">
        <f>TEXT(Tableau1[[#This Row],[Date ]],"mmmm")</f>
        <v>février</v>
      </c>
      <c r="H68" s="2"/>
      <c r="I68" s="2">
        <v>2</v>
      </c>
      <c r="J68" s="2"/>
      <c r="K68" s="17">
        <f t="shared" si="1"/>
        <v>671</v>
      </c>
      <c r="L68" t="str">
        <f>CONCATENATE(Tableau1[[#This Row],[Usine]],"-",Tableau1[[#This Row],[Semaine ]])</f>
        <v>Hydro-S07</v>
      </c>
    </row>
    <row r="69" spans="1:12" x14ac:dyDescent="0.3">
      <c r="A69" s="1" t="s">
        <v>10</v>
      </c>
      <c r="B69" s="15">
        <v>44606</v>
      </c>
      <c r="C69">
        <f>WEEKNUM(Tableau1[[#This Row],[Date ]])</f>
        <v>8</v>
      </c>
      <c r="D69">
        <f>Tableau1[[#This Row],[Colonne1]]-1</f>
        <v>7</v>
      </c>
      <c r="E69" t="str">
        <f>_xlfn.CONCAT("0",Tableau1[[#This Row],[N° Semaine]])</f>
        <v>07</v>
      </c>
      <c r="F69" t="str">
        <f>_xlfn.CONCAT("S",Tableau1[[#This Row],[Colonne2]])</f>
        <v>S07</v>
      </c>
      <c r="G69" t="str">
        <f>TEXT(Tableau1[[#This Row],[Date ]],"mmmm")</f>
        <v>février</v>
      </c>
      <c r="H69" s="2">
        <v>145</v>
      </c>
      <c r="I69" s="2">
        <v>207</v>
      </c>
      <c r="J69" s="2">
        <v>317</v>
      </c>
      <c r="K69" s="17">
        <f t="shared" si="1"/>
        <v>818</v>
      </c>
      <c r="L69" t="str">
        <f>CONCATENATE(Tableau1[[#This Row],[Usine]],"-",Tableau1[[#This Row],[Semaine ]])</f>
        <v>P2O5-S07</v>
      </c>
    </row>
    <row r="70" spans="1:12" x14ac:dyDescent="0.3">
      <c r="A70" s="1" t="s">
        <v>11</v>
      </c>
      <c r="B70" s="15">
        <v>44606</v>
      </c>
      <c r="C70">
        <f>WEEKNUM(Tableau1[[#This Row],[Date ]])</f>
        <v>8</v>
      </c>
      <c r="D70">
        <f>Tableau1[[#This Row],[Colonne1]]-1</f>
        <v>7</v>
      </c>
      <c r="E70" t="str">
        <f>_xlfn.CONCAT("0",Tableau1[[#This Row],[N° Semaine]])</f>
        <v>07</v>
      </c>
      <c r="F70" t="str">
        <f>_xlfn.CONCAT("S",Tableau1[[#This Row],[Colonne2]])</f>
        <v>S07</v>
      </c>
      <c r="G70" t="str">
        <f>TEXT(Tableau1[[#This Row],[Date ]],"mmmm")</f>
        <v>février</v>
      </c>
      <c r="H70" s="2">
        <v>2</v>
      </c>
      <c r="I70" s="2">
        <v>102</v>
      </c>
      <c r="J70" s="2">
        <v>45</v>
      </c>
      <c r="K70" s="17">
        <f t="shared" si="1"/>
        <v>151</v>
      </c>
      <c r="L70" t="str">
        <f>CONCATENATE(Tableau1[[#This Row],[Usine]],"-",Tableau1[[#This Row],[Semaine ]])</f>
        <v>PTA-S07</v>
      </c>
    </row>
    <row r="71" spans="1:12" x14ac:dyDescent="0.3">
      <c r="A71" s="1" t="s">
        <v>25</v>
      </c>
      <c r="B71" s="15">
        <v>44606</v>
      </c>
      <c r="C71">
        <f>WEEKNUM(Tableau1[[#This Row],[Date ]])</f>
        <v>8</v>
      </c>
      <c r="D71">
        <f>Tableau1[[#This Row],[Colonne1]]-1</f>
        <v>7</v>
      </c>
      <c r="E71" t="str">
        <f>_xlfn.CONCAT("0",Tableau1[[#This Row],[N° Semaine]])</f>
        <v>07</v>
      </c>
      <c r="F71" t="str">
        <f>_xlfn.CONCAT("S",Tableau1[[#This Row],[Colonne2]])</f>
        <v>S07</v>
      </c>
      <c r="G71" t="str">
        <f>TEXT(Tableau1[[#This Row],[Date ]],"mmmm")</f>
        <v>février</v>
      </c>
      <c r="H71" s="2"/>
      <c r="I71" s="2">
        <v>2</v>
      </c>
      <c r="J71" s="2"/>
      <c r="K71" s="17">
        <f t="shared" si="1"/>
        <v>247.5</v>
      </c>
      <c r="L71" t="str">
        <f>CONCATENATE(Tableau1[[#This Row],[Usine]],"-",Tableau1[[#This Row],[Semaine ]])</f>
        <v>Silox-S07</v>
      </c>
    </row>
    <row r="72" spans="1:12" x14ac:dyDescent="0.3">
      <c r="A72" s="1" t="s">
        <v>12</v>
      </c>
      <c r="B72" s="15">
        <v>44606</v>
      </c>
      <c r="C72">
        <f>WEEKNUM(Tableau1[[#This Row],[Date ]])</f>
        <v>8</v>
      </c>
      <c r="D72">
        <f>Tableau1[[#This Row],[Colonne1]]-1</f>
        <v>7</v>
      </c>
      <c r="E72" t="str">
        <f>_xlfn.CONCAT("0",Tableau1[[#This Row],[N° Semaine]])</f>
        <v>07</v>
      </c>
      <c r="F72" t="str">
        <f>_xlfn.CONCAT("S",Tableau1[[#This Row],[Colonne2]])</f>
        <v>S07</v>
      </c>
      <c r="G72" t="str">
        <f>TEXT(Tableau1[[#This Row],[Date ]],"mmmm")</f>
        <v>février</v>
      </c>
      <c r="H72" s="2">
        <v>61</v>
      </c>
      <c r="I72" s="2">
        <v>133.5</v>
      </c>
      <c r="J72" s="2">
        <v>51</v>
      </c>
      <c r="K72" s="17">
        <f t="shared" si="1"/>
        <v>275</v>
      </c>
      <c r="L72" t="str">
        <f>CONCATENATE(Tableau1[[#This Row],[Usine]],"-",Tableau1[[#This Row],[Semaine ]])</f>
        <v>Soufre &amp; Energie - Sulfine-S07</v>
      </c>
    </row>
    <row r="73" spans="1:12" x14ac:dyDescent="0.3">
      <c r="A73" s="1" t="s">
        <v>13</v>
      </c>
      <c r="B73" s="15">
        <v>44606</v>
      </c>
      <c r="C73">
        <f>WEEKNUM(Tableau1[[#This Row],[Date ]])</f>
        <v>8</v>
      </c>
      <c r="D73">
        <f>Tableau1[[#This Row],[Colonne1]]-1</f>
        <v>7</v>
      </c>
      <c r="E73" t="str">
        <f>_xlfn.CONCAT("0",Tableau1[[#This Row],[N° Semaine]])</f>
        <v>07</v>
      </c>
      <c r="F73" t="str">
        <f>_xlfn.CONCAT("S",Tableau1[[#This Row],[Colonne2]])</f>
        <v>S07</v>
      </c>
      <c r="G73" t="str">
        <f>TEXT(Tableau1[[#This Row],[Date ]],"mmmm")</f>
        <v>février</v>
      </c>
      <c r="H73" s="2">
        <v>2.5</v>
      </c>
      <c r="I73" s="2">
        <v>6.5</v>
      </c>
      <c r="J73" s="2">
        <v>20.5</v>
      </c>
      <c r="K73" s="17">
        <f t="shared" si="1"/>
        <v>197</v>
      </c>
      <c r="L73" t="str">
        <f>CONCATENATE(Tableau1[[#This Row],[Usine]],"-",Tableau1[[#This Row],[Semaine ]])</f>
        <v>Zéoline-S07</v>
      </c>
    </row>
    <row r="74" spans="1:12" x14ac:dyDescent="0.3">
      <c r="A74" s="1" t="s">
        <v>14</v>
      </c>
      <c r="B74" s="15">
        <v>44606</v>
      </c>
      <c r="C74">
        <f>WEEKNUM(Tableau1[[#This Row],[Date ]])</f>
        <v>8</v>
      </c>
      <c r="D74">
        <f>Tableau1[[#This Row],[Colonne1]]-1</f>
        <v>7</v>
      </c>
      <c r="E74" t="str">
        <f>_xlfn.CONCAT("0",Tableau1[[#This Row],[N° Semaine]])</f>
        <v>07</v>
      </c>
      <c r="F74" t="str">
        <f>_xlfn.CONCAT("S",Tableau1[[#This Row],[Colonne2]])</f>
        <v>S07</v>
      </c>
      <c r="G74" t="str">
        <f>TEXT(Tableau1[[#This Row],[Date ]],"mmmm")</f>
        <v>février</v>
      </c>
      <c r="H74" s="2">
        <v>81</v>
      </c>
      <c r="I74" s="2">
        <v>65.5</v>
      </c>
      <c r="J74" s="2">
        <v>21</v>
      </c>
      <c r="K74" s="17">
        <f t="shared" si="1"/>
        <v>216.5</v>
      </c>
      <c r="L74" t="str">
        <f>CONCATENATE(Tableau1[[#This Row],[Usine]],"-",Tableau1[[#This Row],[Semaine ]])</f>
        <v>#N/A-S07</v>
      </c>
    </row>
    <row r="75" spans="1:12" x14ac:dyDescent="0.3">
      <c r="A75" s="1" t="s">
        <v>5</v>
      </c>
      <c r="B75" s="15">
        <v>44613</v>
      </c>
      <c r="C75">
        <f>WEEKNUM(Tableau1[[#This Row],[Date ]])</f>
        <v>9</v>
      </c>
      <c r="D75">
        <f>Tableau1[[#This Row],[Colonne1]]-1</f>
        <v>8</v>
      </c>
      <c r="E75" t="str">
        <f>_xlfn.CONCAT("0",Tableau1[[#This Row],[N° Semaine]])</f>
        <v>08</v>
      </c>
      <c r="F75" t="str">
        <f>_xlfn.CONCAT("S",Tableau1[[#This Row],[Colonne2]])</f>
        <v>S08</v>
      </c>
      <c r="G75" t="str">
        <f>TEXT(Tableau1[[#This Row],[Date ]],"mmmm")</f>
        <v>février</v>
      </c>
      <c r="H75" s="2">
        <v>24</v>
      </c>
      <c r="I75" s="2"/>
      <c r="J75" s="2">
        <v>25</v>
      </c>
      <c r="K75" s="17">
        <f t="shared" si="1"/>
        <v>149.5</v>
      </c>
      <c r="L75" t="str">
        <f>CONCATENATE(Tableau1[[#This Row],[Usine]],"-",Tableau1[[#This Row],[Semaine ]])</f>
        <v>Autres-S08</v>
      </c>
    </row>
    <row r="76" spans="1:12" x14ac:dyDescent="0.3">
      <c r="A76" s="1" t="s">
        <v>6</v>
      </c>
      <c r="B76" s="15">
        <v>44613</v>
      </c>
      <c r="C76">
        <f>WEEKNUM(Tableau1[[#This Row],[Date ]])</f>
        <v>9</v>
      </c>
      <c r="D76">
        <f>Tableau1[[#This Row],[Colonne1]]-1</f>
        <v>8</v>
      </c>
      <c r="E76" t="str">
        <f>_xlfn.CONCAT("0",Tableau1[[#This Row],[N° Semaine]])</f>
        <v>08</v>
      </c>
      <c r="F76" t="str">
        <f>_xlfn.CONCAT("S",Tableau1[[#This Row],[Colonne2]])</f>
        <v>S08</v>
      </c>
      <c r="G76" t="str">
        <f>TEXT(Tableau1[[#This Row],[Date ]],"mmmm")</f>
        <v>février</v>
      </c>
      <c r="H76" s="2">
        <v>16</v>
      </c>
      <c r="I76" s="2">
        <v>37.5</v>
      </c>
      <c r="J76" s="2">
        <v>47</v>
      </c>
      <c r="K76" s="17">
        <f t="shared" si="1"/>
        <v>111.5</v>
      </c>
      <c r="L76" t="str">
        <f>CONCATENATE(Tableau1[[#This Row],[Usine]],"-",Tableau1[[#This Row],[Semaine ]])</f>
        <v>Biamonique-S08</v>
      </c>
    </row>
    <row r="77" spans="1:12" x14ac:dyDescent="0.3">
      <c r="A77" s="1" t="s">
        <v>7</v>
      </c>
      <c r="B77" s="15">
        <v>44613</v>
      </c>
      <c r="C77">
        <f>WEEKNUM(Tableau1[[#This Row],[Date ]])</f>
        <v>9</v>
      </c>
      <c r="D77">
        <f>Tableau1[[#This Row],[Colonne1]]-1</f>
        <v>8</v>
      </c>
      <c r="E77" t="str">
        <f>_xlfn.CONCAT("0",Tableau1[[#This Row],[N° Semaine]])</f>
        <v>08</v>
      </c>
      <c r="F77" t="str">
        <f>_xlfn.CONCAT("S",Tableau1[[#This Row],[Colonne2]])</f>
        <v>S08</v>
      </c>
      <c r="G77" t="str">
        <f>TEXT(Tableau1[[#This Row],[Date ]],"mmmm")</f>
        <v>février</v>
      </c>
      <c r="H77" s="2"/>
      <c r="I77" s="2">
        <v>11</v>
      </c>
      <c r="J77" s="2"/>
      <c r="K77" s="17">
        <f t="shared" si="1"/>
        <v>119.5</v>
      </c>
      <c r="L77" t="str">
        <f>CONCATENATE(Tableau1[[#This Row],[Usine]],"-",Tableau1[[#This Row],[Semaine ]])</f>
        <v>D1-S08</v>
      </c>
    </row>
    <row r="78" spans="1:12" x14ac:dyDescent="0.3">
      <c r="A78" s="1" t="s">
        <v>8</v>
      </c>
      <c r="B78" s="15">
        <v>44613</v>
      </c>
      <c r="C78">
        <f>WEEKNUM(Tableau1[[#This Row],[Date ]])</f>
        <v>9</v>
      </c>
      <c r="D78">
        <f>Tableau1[[#This Row],[Colonne1]]-1</f>
        <v>8</v>
      </c>
      <c r="E78" t="str">
        <f>_xlfn.CONCAT("0",Tableau1[[#This Row],[N° Semaine]])</f>
        <v>08</v>
      </c>
      <c r="F78" t="str">
        <f>_xlfn.CONCAT("S",Tableau1[[#This Row],[Colonne2]])</f>
        <v>S08</v>
      </c>
      <c r="G78" t="str">
        <f>TEXT(Tableau1[[#This Row],[Date ]],"mmmm")</f>
        <v>février</v>
      </c>
      <c r="H78" s="2">
        <v>44</v>
      </c>
      <c r="I78" s="2">
        <v>58</v>
      </c>
      <c r="J78" s="2">
        <v>6.5</v>
      </c>
      <c r="K78" s="17">
        <f t="shared" si="1"/>
        <v>118</v>
      </c>
      <c r="L78" t="str">
        <f>CONCATENATE(Tableau1[[#This Row],[Usine]],"-",Tableau1[[#This Row],[Semaine ]])</f>
        <v>Engrais-S08</v>
      </c>
    </row>
    <row r="79" spans="1:12" x14ac:dyDescent="0.3">
      <c r="A79" s="1" t="s">
        <v>9</v>
      </c>
      <c r="B79" s="15">
        <v>44613</v>
      </c>
      <c r="C79">
        <f>WEEKNUM(Tableau1[[#This Row],[Date ]])</f>
        <v>9</v>
      </c>
      <c r="D79">
        <f>Tableau1[[#This Row],[Colonne1]]-1</f>
        <v>8</v>
      </c>
      <c r="E79" t="str">
        <f>_xlfn.CONCAT("0",Tableau1[[#This Row],[N° Semaine]])</f>
        <v>08</v>
      </c>
      <c r="F79" t="str">
        <f>_xlfn.CONCAT("S",Tableau1[[#This Row],[Colonne2]])</f>
        <v>S08</v>
      </c>
      <c r="G79" t="str">
        <f>TEXT(Tableau1[[#This Row],[Date ]],"mmmm")</f>
        <v>février</v>
      </c>
      <c r="H79" s="2">
        <v>7</v>
      </c>
      <c r="I79" s="2"/>
      <c r="J79" s="2">
        <v>2.5</v>
      </c>
      <c r="K79" s="17">
        <f t="shared" si="1"/>
        <v>617.25</v>
      </c>
      <c r="L79" t="str">
        <f>CONCATENATE(Tableau1[[#This Row],[Usine]],"-",Tableau1[[#This Row],[Semaine ]])</f>
        <v>Entretien-S08</v>
      </c>
    </row>
    <row r="80" spans="1:12" x14ac:dyDescent="0.3">
      <c r="A80" s="1" t="s">
        <v>10</v>
      </c>
      <c r="B80" s="15">
        <v>44613</v>
      </c>
      <c r="C80">
        <f>WEEKNUM(Tableau1[[#This Row],[Date ]])</f>
        <v>9</v>
      </c>
      <c r="D80">
        <f>Tableau1[[#This Row],[Colonne1]]-1</f>
        <v>8</v>
      </c>
      <c r="E80" t="str">
        <f>_xlfn.CONCAT("0",Tableau1[[#This Row],[N° Semaine]])</f>
        <v>08</v>
      </c>
      <c r="F80" t="str">
        <f>_xlfn.CONCAT("S",Tableau1[[#This Row],[Colonne2]])</f>
        <v>S08</v>
      </c>
      <c r="G80" t="str">
        <f>TEXT(Tableau1[[#This Row],[Date ]],"mmmm")</f>
        <v>février</v>
      </c>
      <c r="H80" s="2">
        <v>65</v>
      </c>
      <c r="I80" s="2">
        <v>82.5</v>
      </c>
      <c r="J80" s="2">
        <v>460.25</v>
      </c>
      <c r="K80" s="17">
        <f t="shared" si="1"/>
        <v>837.25</v>
      </c>
      <c r="L80" t="str">
        <f>CONCATENATE(Tableau1[[#This Row],[Usine]],"-",Tableau1[[#This Row],[Semaine ]])</f>
        <v>P2O5-S08</v>
      </c>
    </row>
    <row r="81" spans="1:16" x14ac:dyDescent="0.3">
      <c r="A81" s="1" t="s">
        <v>11</v>
      </c>
      <c r="B81" s="15">
        <v>44613</v>
      </c>
      <c r="C81">
        <f>WEEKNUM(Tableau1[[#This Row],[Date ]])</f>
        <v>9</v>
      </c>
      <c r="D81">
        <f>Tableau1[[#This Row],[Colonne1]]-1</f>
        <v>8</v>
      </c>
      <c r="E81" t="str">
        <f>_xlfn.CONCAT("0",Tableau1[[#This Row],[N° Semaine]])</f>
        <v>08</v>
      </c>
      <c r="F81" t="str">
        <f>_xlfn.CONCAT("S",Tableau1[[#This Row],[Colonne2]])</f>
        <v>S08</v>
      </c>
      <c r="G81" t="str">
        <f>TEXT(Tableau1[[#This Row],[Date ]],"mmmm")</f>
        <v>février</v>
      </c>
      <c r="H81" s="2">
        <v>11.5</v>
      </c>
      <c r="I81" s="2">
        <v>65.5</v>
      </c>
      <c r="J81" s="2">
        <v>152.5</v>
      </c>
      <c r="K81" s="17">
        <f t="shared" si="1"/>
        <v>418.5</v>
      </c>
      <c r="L81" t="str">
        <f>CONCATENATE(Tableau1[[#This Row],[Usine]],"-",Tableau1[[#This Row],[Semaine ]])</f>
        <v>PTA-S08</v>
      </c>
    </row>
    <row r="82" spans="1:16" x14ac:dyDescent="0.3">
      <c r="A82" s="1" t="s">
        <v>12</v>
      </c>
      <c r="B82" s="15">
        <v>44613</v>
      </c>
      <c r="C82">
        <f>WEEKNUM(Tableau1[[#This Row],[Date ]])</f>
        <v>9</v>
      </c>
      <c r="D82">
        <f>Tableau1[[#This Row],[Colonne1]]-1</f>
        <v>8</v>
      </c>
      <c r="E82" t="str">
        <f>_xlfn.CONCAT("0",Tableau1[[#This Row],[N° Semaine]])</f>
        <v>08</v>
      </c>
      <c r="F82" t="str">
        <f>_xlfn.CONCAT("S",Tableau1[[#This Row],[Colonne2]])</f>
        <v>S08</v>
      </c>
      <c r="G82" t="str">
        <f>TEXT(Tableau1[[#This Row],[Date ]],"mmmm")</f>
        <v>février</v>
      </c>
      <c r="H82" s="2">
        <v>54</v>
      </c>
      <c r="I82" s="2">
        <v>97.5</v>
      </c>
      <c r="J82" s="2">
        <v>37.5</v>
      </c>
      <c r="K82" s="17">
        <f t="shared" si="1"/>
        <v>282</v>
      </c>
      <c r="L82" t="str">
        <f>CONCATENATE(Tableau1[[#This Row],[Usine]],"-",Tableau1[[#This Row],[Semaine ]])</f>
        <v>Soufre &amp; Energie - Sulfine-S08</v>
      </c>
    </row>
    <row r="83" spans="1:16" x14ac:dyDescent="0.3">
      <c r="A83" s="1" t="s">
        <v>13</v>
      </c>
      <c r="B83" s="15">
        <v>44613</v>
      </c>
      <c r="C83">
        <f>WEEKNUM(Tableau1[[#This Row],[Date ]])</f>
        <v>9</v>
      </c>
      <c r="D83">
        <f>Tableau1[[#This Row],[Colonne1]]-1</f>
        <v>8</v>
      </c>
      <c r="E83" t="str">
        <f>_xlfn.CONCAT("0",Tableau1[[#This Row],[N° Semaine]])</f>
        <v>08</v>
      </c>
      <c r="F83" t="str">
        <f>_xlfn.CONCAT("S",Tableau1[[#This Row],[Colonne2]])</f>
        <v>S08</v>
      </c>
      <c r="G83" t="str">
        <f>TEXT(Tableau1[[#This Row],[Date ]],"mmmm")</f>
        <v>février</v>
      </c>
      <c r="H83" s="2">
        <v>17.5</v>
      </c>
      <c r="I83" s="2">
        <v>67.5</v>
      </c>
      <c r="J83" s="2">
        <v>8</v>
      </c>
      <c r="K83" s="17">
        <f t="shared" si="1"/>
        <v>147.5</v>
      </c>
      <c r="L83" t="str">
        <f>CONCATENATE(Tableau1[[#This Row],[Usine]],"-",Tableau1[[#This Row],[Semaine ]])</f>
        <v>Zéoline-S08</v>
      </c>
    </row>
    <row r="84" spans="1:16" x14ac:dyDescent="0.3">
      <c r="A84" s="1" t="s">
        <v>14</v>
      </c>
      <c r="B84" s="15">
        <v>44613</v>
      </c>
      <c r="C84">
        <f>WEEKNUM(Tableau1[[#This Row],[Date ]])</f>
        <v>9</v>
      </c>
      <c r="D84">
        <f>Tableau1[[#This Row],[Colonne1]]-1</f>
        <v>8</v>
      </c>
      <c r="E84" t="str">
        <f>_xlfn.CONCAT("0",Tableau1[[#This Row],[N° Semaine]])</f>
        <v>08</v>
      </c>
      <c r="F84" t="str">
        <f>_xlfn.CONCAT("S",Tableau1[[#This Row],[Colonne2]])</f>
        <v>S08</v>
      </c>
      <c r="G84" t="str">
        <f>TEXT(Tableau1[[#This Row],[Date ]],"mmmm")</f>
        <v>février</v>
      </c>
      <c r="H84" s="2"/>
      <c r="I84" s="2">
        <v>34</v>
      </c>
      <c r="J84" s="2">
        <v>20.5</v>
      </c>
      <c r="K84" s="17">
        <f t="shared" si="1"/>
        <v>74.5</v>
      </c>
      <c r="L84" t="str">
        <f>CONCATENATE(Tableau1[[#This Row],[Usine]],"-",Tableau1[[#This Row],[Semaine ]])</f>
        <v>#N/A-S08</v>
      </c>
    </row>
    <row r="85" spans="1:16" x14ac:dyDescent="0.3">
      <c r="A85" s="1" t="s">
        <v>5</v>
      </c>
      <c r="B85" s="15">
        <v>44620</v>
      </c>
      <c r="C85">
        <f>WEEKNUM(Tableau1[[#This Row],[Date ]])</f>
        <v>10</v>
      </c>
      <c r="D85">
        <f>Tableau1[[#This Row],[Colonne1]]-1</f>
        <v>9</v>
      </c>
      <c r="E85" t="str">
        <f>_xlfn.CONCAT("0",Tableau1[[#This Row],[N° Semaine]])</f>
        <v>09</v>
      </c>
      <c r="F85" t="str">
        <f>_xlfn.CONCAT("S",Tableau1[[#This Row],[Colonne2]])</f>
        <v>S09</v>
      </c>
      <c r="G85" t="str">
        <f>TEXT(Tableau1[[#This Row],[Date ]],"mmmm")</f>
        <v>février</v>
      </c>
      <c r="H85" s="2">
        <v>16</v>
      </c>
      <c r="I85" s="2"/>
      <c r="J85" s="2">
        <v>4</v>
      </c>
      <c r="K85" s="17">
        <f t="shared" si="1"/>
        <v>47</v>
      </c>
      <c r="L85" t="str">
        <f>CONCATENATE(Tableau1[[#This Row],[Usine]],"-",Tableau1[[#This Row],[Semaine ]])</f>
        <v>Autres-S09</v>
      </c>
    </row>
    <row r="86" spans="1:16" x14ac:dyDescent="0.3">
      <c r="A86" s="1" t="s">
        <v>6</v>
      </c>
      <c r="B86" s="15">
        <v>44620</v>
      </c>
      <c r="C86">
        <f>WEEKNUM(Tableau1[[#This Row],[Date ]])</f>
        <v>10</v>
      </c>
      <c r="D86">
        <f>Tableau1[[#This Row],[Colonne1]]-1</f>
        <v>9</v>
      </c>
      <c r="E86" t="str">
        <f>_xlfn.CONCAT("0",Tableau1[[#This Row],[N° Semaine]])</f>
        <v>09</v>
      </c>
      <c r="F86" t="str">
        <f>_xlfn.CONCAT("S",Tableau1[[#This Row],[Colonne2]])</f>
        <v>S09</v>
      </c>
      <c r="G86" t="str">
        <f>TEXT(Tableau1[[#This Row],[Date ]],"mmmm")</f>
        <v>février</v>
      </c>
      <c r="H86" s="2">
        <v>12</v>
      </c>
      <c r="I86" s="2">
        <v>15</v>
      </c>
      <c r="J86" s="2"/>
      <c r="K86" s="17">
        <f t="shared" si="1"/>
        <v>52.5</v>
      </c>
      <c r="L86" t="str">
        <f>CONCATENATE(Tableau1[[#This Row],[Usine]],"-",Tableau1[[#This Row],[Semaine ]])</f>
        <v>Biamonique-S09</v>
      </c>
    </row>
    <row r="87" spans="1:16" x14ac:dyDescent="0.3">
      <c r="A87" s="1" t="s">
        <v>7</v>
      </c>
      <c r="B87" s="15">
        <v>44620</v>
      </c>
      <c r="C87">
        <f>WEEKNUM(Tableau1[[#This Row],[Date ]])</f>
        <v>10</v>
      </c>
      <c r="D87">
        <f>Tableau1[[#This Row],[Colonne1]]-1</f>
        <v>9</v>
      </c>
      <c r="E87" t="str">
        <f>_xlfn.CONCAT("0",Tableau1[[#This Row],[N° Semaine]])</f>
        <v>09</v>
      </c>
      <c r="F87" t="str">
        <f>_xlfn.CONCAT("S",Tableau1[[#This Row],[Colonne2]])</f>
        <v>S09</v>
      </c>
      <c r="G87" t="str">
        <f>TEXT(Tableau1[[#This Row],[Date ]],"mmmm")</f>
        <v>février</v>
      </c>
      <c r="H87" s="2">
        <v>17.5</v>
      </c>
      <c r="I87" s="2">
        <v>8</v>
      </c>
      <c r="J87" s="2"/>
      <c r="K87" s="17">
        <f t="shared" si="1"/>
        <v>37.5</v>
      </c>
      <c r="L87" t="str">
        <f>CONCATENATE(Tableau1[[#This Row],[Usine]],"-",Tableau1[[#This Row],[Semaine ]])</f>
        <v>D1-S09</v>
      </c>
    </row>
    <row r="88" spans="1:16" x14ac:dyDescent="0.3">
      <c r="A88" s="1" t="s">
        <v>8</v>
      </c>
      <c r="B88" s="15">
        <v>44620</v>
      </c>
      <c r="C88">
        <f>WEEKNUM(Tableau1[[#This Row],[Date ]])</f>
        <v>10</v>
      </c>
      <c r="D88">
        <f>Tableau1[[#This Row],[Colonne1]]-1</f>
        <v>9</v>
      </c>
      <c r="E88" t="str">
        <f>_xlfn.CONCAT("0",Tableau1[[#This Row],[N° Semaine]])</f>
        <v>09</v>
      </c>
      <c r="F88" t="str">
        <f>_xlfn.CONCAT("S",Tableau1[[#This Row],[Colonne2]])</f>
        <v>S09</v>
      </c>
      <c r="G88" t="str">
        <f>TEXT(Tableau1[[#This Row],[Date ]],"mmmm")</f>
        <v>février</v>
      </c>
      <c r="H88" s="2"/>
      <c r="I88" s="2">
        <v>12</v>
      </c>
      <c r="J88" s="2"/>
      <c r="K88" s="17">
        <f t="shared" si="1"/>
        <v>31</v>
      </c>
      <c r="L88" t="str">
        <f>CONCATENATE(Tableau1[[#This Row],[Usine]],"-",Tableau1[[#This Row],[Semaine ]])</f>
        <v>Engrais-S09</v>
      </c>
    </row>
    <row r="89" spans="1:16" x14ac:dyDescent="0.3">
      <c r="A89" s="1" t="s">
        <v>9</v>
      </c>
      <c r="B89" s="15">
        <v>44620</v>
      </c>
      <c r="C89">
        <f>WEEKNUM(Tableau1[[#This Row],[Date ]])</f>
        <v>10</v>
      </c>
      <c r="D89">
        <f>Tableau1[[#This Row],[Colonne1]]-1</f>
        <v>9</v>
      </c>
      <c r="E89" t="str">
        <f>_xlfn.CONCAT("0",Tableau1[[#This Row],[N° Semaine]])</f>
        <v>09</v>
      </c>
      <c r="F89" t="str">
        <f>_xlfn.CONCAT("S",Tableau1[[#This Row],[Colonne2]])</f>
        <v>S09</v>
      </c>
      <c r="G89" t="str">
        <f>TEXT(Tableau1[[#This Row],[Date ]],"mmmm")</f>
        <v>février</v>
      </c>
      <c r="H89" s="2">
        <v>15</v>
      </c>
      <c r="I89" s="2"/>
      <c r="J89" s="2">
        <v>4</v>
      </c>
      <c r="K89" s="17">
        <f t="shared" si="1"/>
        <v>527.5</v>
      </c>
      <c r="L89" t="str">
        <f>CONCATENATE(Tableau1[[#This Row],[Usine]],"-",Tableau1[[#This Row],[Semaine ]])</f>
        <v>Entretien-S09</v>
      </c>
    </row>
    <row r="90" spans="1:16" x14ac:dyDescent="0.3">
      <c r="A90" s="1" t="s">
        <v>10</v>
      </c>
      <c r="B90" s="15">
        <v>44620</v>
      </c>
      <c r="C90">
        <f>WEEKNUM(Tableau1[[#This Row],[Date ]])</f>
        <v>10</v>
      </c>
      <c r="D90">
        <f>Tableau1[[#This Row],[Colonne1]]-1</f>
        <v>9</v>
      </c>
      <c r="E90" t="str">
        <f>_xlfn.CONCAT("0",Tableau1[[#This Row],[N° Semaine]])</f>
        <v>09</v>
      </c>
      <c r="F90" t="str">
        <f>_xlfn.CONCAT("S",Tableau1[[#This Row],[Colonne2]])</f>
        <v>S09</v>
      </c>
      <c r="G90" t="str">
        <f>TEXT(Tableau1[[#This Row],[Date ]],"mmmm")</f>
        <v>février</v>
      </c>
      <c r="H90" s="2">
        <v>97</v>
      </c>
      <c r="I90" s="2">
        <v>80</v>
      </c>
      <c r="J90" s="2">
        <v>331.5</v>
      </c>
      <c r="K90" s="17">
        <f t="shared" si="1"/>
        <v>2112.5</v>
      </c>
      <c r="L90" t="str">
        <f>CONCATENATE(Tableau1[[#This Row],[Usine]],"-",Tableau1[[#This Row],[Semaine ]])</f>
        <v>P2O5-S09</v>
      </c>
    </row>
    <row r="91" spans="1:16" x14ac:dyDescent="0.3">
      <c r="A91" s="1" t="s">
        <v>11</v>
      </c>
      <c r="B91" s="15">
        <v>44620</v>
      </c>
      <c r="C91">
        <f>WEEKNUM(Tableau1[[#This Row],[Date ]])</f>
        <v>10</v>
      </c>
      <c r="D91">
        <f>Tableau1[[#This Row],[Colonne1]]-1</f>
        <v>9</v>
      </c>
      <c r="E91" t="str">
        <f>_xlfn.CONCAT("0",Tableau1[[#This Row],[N° Semaine]])</f>
        <v>09</v>
      </c>
      <c r="F91" t="str">
        <f>_xlfn.CONCAT("S",Tableau1[[#This Row],[Colonne2]])</f>
        <v>S09</v>
      </c>
      <c r="G91" t="str">
        <f>TEXT(Tableau1[[#This Row],[Date ]],"mmmm")</f>
        <v>février</v>
      </c>
      <c r="H91" s="2">
        <v>612.75</v>
      </c>
      <c r="I91" s="2">
        <v>463.75</v>
      </c>
      <c r="J91" s="2">
        <v>527.5</v>
      </c>
      <c r="K91" s="17">
        <f t="shared" si="1"/>
        <v>1835</v>
      </c>
      <c r="L91" t="str">
        <f>CONCATENATE(Tableau1[[#This Row],[Usine]],"-",Tableau1[[#This Row],[Semaine ]])</f>
        <v>PTA-S09</v>
      </c>
      <c r="N91" s="3"/>
      <c r="O91" s="4"/>
      <c r="P91" s="5"/>
    </row>
    <row r="92" spans="1:16" x14ac:dyDescent="0.3">
      <c r="A92" s="1" t="s">
        <v>12</v>
      </c>
      <c r="B92" s="15">
        <v>44620</v>
      </c>
      <c r="C92">
        <f>WEEKNUM(Tableau1[[#This Row],[Date ]])</f>
        <v>10</v>
      </c>
      <c r="D92">
        <f>Tableau1[[#This Row],[Colonne1]]-1</f>
        <v>9</v>
      </c>
      <c r="E92" t="str">
        <f>_xlfn.CONCAT("0",Tableau1[[#This Row],[N° Semaine]])</f>
        <v>09</v>
      </c>
      <c r="F92" t="str">
        <f>_xlfn.CONCAT("S",Tableau1[[#This Row],[Colonne2]])</f>
        <v>S09</v>
      </c>
      <c r="G92" t="str">
        <f>TEXT(Tableau1[[#This Row],[Date ]],"mmmm")</f>
        <v>février</v>
      </c>
      <c r="H92" s="2">
        <v>77.5</v>
      </c>
      <c r="I92" s="2">
        <v>153.5</v>
      </c>
      <c r="J92" s="2"/>
      <c r="K92" s="17">
        <f t="shared" si="1"/>
        <v>253.5</v>
      </c>
      <c r="L92" t="str">
        <f>CONCATENATE(Tableau1[[#This Row],[Usine]],"-",Tableau1[[#This Row],[Semaine ]])</f>
        <v>Soufre &amp; Energie - Sulfine-S09</v>
      </c>
      <c r="N92" s="6"/>
      <c r="O92" s="7"/>
      <c r="P92" s="8"/>
    </row>
    <row r="93" spans="1:16" x14ac:dyDescent="0.3">
      <c r="A93" s="1" t="s">
        <v>13</v>
      </c>
      <c r="B93" s="15">
        <v>44620</v>
      </c>
      <c r="C93">
        <f>WEEKNUM(Tableau1[[#This Row],[Date ]])</f>
        <v>10</v>
      </c>
      <c r="D93">
        <f>Tableau1[[#This Row],[Colonne1]]-1</f>
        <v>9</v>
      </c>
      <c r="E93" t="str">
        <f>_xlfn.CONCAT("0",Tableau1[[#This Row],[N° Semaine]])</f>
        <v>09</v>
      </c>
      <c r="F93" t="str">
        <f>_xlfn.CONCAT("S",Tableau1[[#This Row],[Colonne2]])</f>
        <v>S09</v>
      </c>
      <c r="G93" t="str">
        <f>TEXT(Tableau1[[#This Row],[Date ]],"mmmm")</f>
        <v>février</v>
      </c>
      <c r="H93" s="2"/>
      <c r="I93" s="2">
        <v>22.5</v>
      </c>
      <c r="J93" s="2"/>
      <c r="K93" s="17">
        <f t="shared" si="1"/>
        <v>39</v>
      </c>
      <c r="L93" t="str">
        <f>CONCATENATE(Tableau1[[#This Row],[Usine]],"-",Tableau1[[#This Row],[Semaine ]])</f>
        <v>Zéoline-S09</v>
      </c>
      <c r="N93" s="6"/>
      <c r="O93" s="7"/>
      <c r="P93" s="8"/>
    </row>
    <row r="94" spans="1:16" x14ac:dyDescent="0.3">
      <c r="A94" s="1" t="s">
        <v>14</v>
      </c>
      <c r="B94" s="15">
        <v>44620</v>
      </c>
      <c r="C94">
        <f>WEEKNUM(Tableau1[[#This Row],[Date ]])</f>
        <v>10</v>
      </c>
      <c r="D94">
        <f>Tableau1[[#This Row],[Colonne1]]-1</f>
        <v>9</v>
      </c>
      <c r="E94" t="str">
        <f>_xlfn.CONCAT("0",Tableau1[[#This Row],[N° Semaine]])</f>
        <v>09</v>
      </c>
      <c r="F94" t="str">
        <f>_xlfn.CONCAT("S",Tableau1[[#This Row],[Colonne2]])</f>
        <v>S09</v>
      </c>
      <c r="G94" t="str">
        <f>TEXT(Tableau1[[#This Row],[Date ]],"mmmm")</f>
        <v>février</v>
      </c>
      <c r="H94" s="2">
        <v>3.5</v>
      </c>
      <c r="I94" s="2"/>
      <c r="J94" s="2">
        <v>13</v>
      </c>
      <c r="K94" s="17">
        <f t="shared" si="1"/>
        <v>46</v>
      </c>
      <c r="L94" t="str">
        <f>CONCATENATE(Tableau1[[#This Row],[Usine]],"-",Tableau1[[#This Row],[Semaine ]])</f>
        <v>#N/A-S09</v>
      </c>
      <c r="N94" s="6"/>
      <c r="O94" s="7"/>
      <c r="P94" s="8"/>
    </row>
    <row r="95" spans="1:16" x14ac:dyDescent="0.3">
      <c r="A95" s="1" t="s">
        <v>5</v>
      </c>
      <c r="B95" s="15">
        <v>44627</v>
      </c>
      <c r="C95">
        <f>WEEKNUM(Tableau1[[#This Row],[Date ]])</f>
        <v>11</v>
      </c>
      <c r="D95">
        <f>Tableau1[[#This Row],[Colonne1]]-1</f>
        <v>10</v>
      </c>
      <c r="E95" t="str">
        <f>_xlfn.CONCAT("0",Tableau1[[#This Row],[N° Semaine]])</f>
        <v>010</v>
      </c>
      <c r="F95" t="str">
        <f>_xlfn.CONCAT("S",Tableau1[[#This Row],[Colonne2]])</f>
        <v>S010</v>
      </c>
      <c r="G95" t="str">
        <f>TEXT(Tableau1[[#This Row],[Date ]],"mmmm")</f>
        <v>mars</v>
      </c>
      <c r="H95" s="2">
        <v>18</v>
      </c>
      <c r="I95" s="2">
        <v>7.5</v>
      </c>
      <c r="J95" s="2">
        <v>4</v>
      </c>
      <c r="K95" s="17">
        <f t="shared" si="1"/>
        <v>41.5</v>
      </c>
      <c r="L95" t="str">
        <f>CONCATENATE(Tableau1[[#This Row],[Usine]],"-",Tableau1[[#This Row],[Semaine ]])</f>
        <v>Autres-S010</v>
      </c>
      <c r="N95" s="6"/>
      <c r="O95" s="7"/>
      <c r="P95" s="8"/>
    </row>
    <row r="96" spans="1:16" x14ac:dyDescent="0.3">
      <c r="A96" s="1" t="s">
        <v>6</v>
      </c>
      <c r="B96" s="15">
        <v>44627</v>
      </c>
      <c r="C96">
        <f>WEEKNUM(Tableau1[[#This Row],[Date ]])</f>
        <v>11</v>
      </c>
      <c r="D96">
        <f>Tableau1[[#This Row],[Colonne1]]-1</f>
        <v>10</v>
      </c>
      <c r="E96" t="str">
        <f>_xlfn.CONCAT("0",Tableau1[[#This Row],[N° Semaine]])</f>
        <v>010</v>
      </c>
      <c r="F96" t="str">
        <f>_xlfn.CONCAT("S",Tableau1[[#This Row],[Colonne2]])</f>
        <v>S010</v>
      </c>
      <c r="G96" t="str">
        <f>TEXT(Tableau1[[#This Row],[Date ]],"mmmm")</f>
        <v>mars</v>
      </c>
      <c r="H96" s="2"/>
      <c r="I96" s="2">
        <v>12</v>
      </c>
      <c r="J96" s="2"/>
      <c r="K96" s="17">
        <f t="shared" si="1"/>
        <v>69.5</v>
      </c>
      <c r="L96" t="str">
        <f>CONCATENATE(Tableau1[[#This Row],[Usine]],"-",Tableau1[[#This Row],[Semaine ]])</f>
        <v>Biamonique-S010</v>
      </c>
      <c r="N96" s="6"/>
      <c r="O96" s="7"/>
      <c r="P96" s="8"/>
    </row>
    <row r="97" spans="1:16" x14ac:dyDescent="0.3">
      <c r="A97" s="1" t="s">
        <v>7</v>
      </c>
      <c r="B97" s="15">
        <v>44627</v>
      </c>
      <c r="C97">
        <f>WEEKNUM(Tableau1[[#This Row],[Date ]])</f>
        <v>11</v>
      </c>
      <c r="D97">
        <f>Tableau1[[#This Row],[Colonne1]]-1</f>
        <v>10</v>
      </c>
      <c r="E97" t="str">
        <f>_xlfn.CONCAT("0",Tableau1[[#This Row],[N° Semaine]])</f>
        <v>010</v>
      </c>
      <c r="F97" t="str">
        <f>_xlfn.CONCAT("S",Tableau1[[#This Row],[Colonne2]])</f>
        <v>S010</v>
      </c>
      <c r="G97" t="str">
        <f>TEXT(Tableau1[[#This Row],[Date ]],"mmmm")</f>
        <v>mars</v>
      </c>
      <c r="H97" s="2"/>
      <c r="I97" s="2">
        <v>57.5</v>
      </c>
      <c r="J97" s="2"/>
      <c r="K97" s="17">
        <f t="shared" si="1"/>
        <v>177.25</v>
      </c>
      <c r="L97" t="str">
        <f>CONCATENATE(Tableau1[[#This Row],[Usine]],"-",Tableau1[[#This Row],[Semaine ]])</f>
        <v>D1-S010</v>
      </c>
      <c r="N97" s="6"/>
      <c r="O97" s="7"/>
      <c r="P97" s="8"/>
    </row>
    <row r="98" spans="1:16" x14ac:dyDescent="0.3">
      <c r="A98" s="1" t="s">
        <v>8</v>
      </c>
      <c r="B98" s="15">
        <v>44627</v>
      </c>
      <c r="C98">
        <f>WEEKNUM(Tableau1[[#This Row],[Date ]])</f>
        <v>11</v>
      </c>
      <c r="D98">
        <f>Tableau1[[#This Row],[Colonne1]]-1</f>
        <v>10</v>
      </c>
      <c r="E98" t="str">
        <f>_xlfn.CONCAT("0",Tableau1[[#This Row],[N° Semaine]])</f>
        <v>010</v>
      </c>
      <c r="F98" t="str">
        <f>_xlfn.CONCAT("S",Tableau1[[#This Row],[Colonne2]])</f>
        <v>S010</v>
      </c>
      <c r="G98" t="str">
        <f>TEXT(Tableau1[[#This Row],[Date ]],"mmmm")</f>
        <v>mars</v>
      </c>
      <c r="H98" s="2">
        <v>26.5</v>
      </c>
      <c r="I98" s="2">
        <v>49.75</v>
      </c>
      <c r="J98" s="2">
        <v>43.5</v>
      </c>
      <c r="K98" s="17">
        <f t="shared" si="1"/>
        <v>142.25</v>
      </c>
      <c r="L98" t="str">
        <f>CONCATENATE(Tableau1[[#This Row],[Usine]],"-",Tableau1[[#This Row],[Semaine ]])</f>
        <v>Engrais-S010</v>
      </c>
      <c r="N98" s="6"/>
      <c r="O98" s="7"/>
      <c r="P98" s="8"/>
    </row>
    <row r="99" spans="1:16" x14ac:dyDescent="0.3">
      <c r="A99" s="1" t="s">
        <v>9</v>
      </c>
      <c r="B99" s="15">
        <v>44627</v>
      </c>
      <c r="C99">
        <f>WEEKNUM(Tableau1[[#This Row],[Date ]])</f>
        <v>11</v>
      </c>
      <c r="D99">
        <f>Tableau1[[#This Row],[Colonne1]]-1</f>
        <v>10</v>
      </c>
      <c r="E99" t="str">
        <f>_xlfn.CONCAT("0",Tableau1[[#This Row],[N° Semaine]])</f>
        <v>010</v>
      </c>
      <c r="F99" t="str">
        <f>_xlfn.CONCAT("S",Tableau1[[#This Row],[Colonne2]])</f>
        <v>S010</v>
      </c>
      <c r="G99" t="str">
        <f>TEXT(Tableau1[[#This Row],[Date ]],"mmmm")</f>
        <v>mars</v>
      </c>
      <c r="H99" s="2">
        <v>8</v>
      </c>
      <c r="I99" s="2"/>
      <c r="J99" s="2">
        <v>14.5</v>
      </c>
      <c r="K99" s="17">
        <f t="shared" si="1"/>
        <v>24</v>
      </c>
      <c r="L99" t="str">
        <f>CONCATENATE(Tableau1[[#This Row],[Usine]],"-",Tableau1[[#This Row],[Semaine ]])</f>
        <v>Entretien-S010</v>
      </c>
      <c r="N99" s="6"/>
      <c r="O99" s="7"/>
      <c r="P99" s="8"/>
    </row>
    <row r="100" spans="1:16" x14ac:dyDescent="0.3">
      <c r="A100" s="1" t="s">
        <v>17</v>
      </c>
      <c r="B100" s="15">
        <v>44627</v>
      </c>
      <c r="C100">
        <f>WEEKNUM(Tableau1[[#This Row],[Date ]])</f>
        <v>11</v>
      </c>
      <c r="D100">
        <f>Tableau1[[#This Row],[Colonne1]]-1</f>
        <v>10</v>
      </c>
      <c r="E100" t="str">
        <f>_xlfn.CONCAT("0",Tableau1[[#This Row],[N° Semaine]])</f>
        <v>010</v>
      </c>
      <c r="F100" t="str">
        <f>_xlfn.CONCAT("S",Tableau1[[#This Row],[Colonne2]])</f>
        <v>S010</v>
      </c>
      <c r="G100" t="str">
        <f>TEXT(Tableau1[[#This Row],[Date ]],"mmmm")</f>
        <v>mars</v>
      </c>
      <c r="H100" s="2"/>
      <c r="I100" s="2">
        <v>1.5</v>
      </c>
      <c r="J100" s="2"/>
      <c r="K100" s="17">
        <f t="shared" si="1"/>
        <v>607.25</v>
      </c>
      <c r="L100" t="str">
        <f>CONCATENATE(Tableau1[[#This Row],[Usine]],"-",Tableau1[[#This Row],[Semaine ]])</f>
        <v>Hydro-S010</v>
      </c>
      <c r="N100" s="6"/>
      <c r="O100" s="7"/>
      <c r="P100" s="8"/>
    </row>
    <row r="101" spans="1:16" x14ac:dyDescent="0.3">
      <c r="A101" s="1" t="s">
        <v>10</v>
      </c>
      <c r="B101" s="15">
        <v>44627</v>
      </c>
      <c r="C101" s="17">
        <f>WEEKNUM(Tableau1[[#This Row],[Date ]])</f>
        <v>11</v>
      </c>
      <c r="D101" s="17">
        <f>Tableau1[[#This Row],[Colonne1]]-1</f>
        <v>10</v>
      </c>
      <c r="E101" s="17" t="str">
        <f>_xlfn.CONCAT("0",Tableau1[[#This Row],[N° Semaine]])</f>
        <v>010</v>
      </c>
      <c r="F101" s="17" t="str">
        <f>_xlfn.CONCAT("S",Tableau1[[#This Row],[Colonne2]])</f>
        <v>S010</v>
      </c>
      <c r="G101" t="str">
        <f>TEXT(Tableau1[[#This Row],[Date ]],"mmmm")</f>
        <v>mars</v>
      </c>
      <c r="H101" s="2">
        <v>171</v>
      </c>
      <c r="I101" s="2">
        <v>101</v>
      </c>
      <c r="J101" s="2">
        <v>333.75</v>
      </c>
      <c r="K101" s="17">
        <f t="shared" si="1"/>
        <v>932.75</v>
      </c>
      <c r="L101" s="2" t="str">
        <f>CONCATENATE(Tableau1[[#This Row],[Usine]],"-",Tableau1[[#This Row],[Semaine ]])</f>
        <v>P2O5-S010</v>
      </c>
      <c r="N101" s="6"/>
      <c r="O101" s="7"/>
      <c r="P101" s="8"/>
    </row>
    <row r="102" spans="1:16" x14ac:dyDescent="0.3">
      <c r="A102" s="1" t="s">
        <v>11</v>
      </c>
      <c r="B102" s="15">
        <v>44627</v>
      </c>
      <c r="C102" s="17">
        <f>WEEKNUM(Tableau1[[#This Row],[Date ]])</f>
        <v>11</v>
      </c>
      <c r="D102" s="17">
        <f>Tableau1[[#This Row],[Colonne1]]-1</f>
        <v>10</v>
      </c>
      <c r="E102" s="17" t="str">
        <f>_xlfn.CONCAT("0",Tableau1[[#This Row],[N° Semaine]])</f>
        <v>010</v>
      </c>
      <c r="F102" s="17" t="str">
        <f>_xlfn.CONCAT("S",Tableau1[[#This Row],[Colonne2]])</f>
        <v>S010</v>
      </c>
      <c r="G102" t="str">
        <f>TEXT(Tableau1[[#This Row],[Date ]],"mmmm")</f>
        <v>mars</v>
      </c>
      <c r="H102" s="2">
        <v>40.5</v>
      </c>
      <c r="I102" s="2">
        <v>223.5</v>
      </c>
      <c r="J102" s="2">
        <v>63</v>
      </c>
      <c r="K102" s="17">
        <f t="shared" si="1"/>
        <v>557.5</v>
      </c>
      <c r="L102" s="2" t="str">
        <f>CONCATENATE(Tableau1[[#This Row],[Usine]],"-",Tableau1[[#This Row],[Semaine ]])</f>
        <v>PTA-S010</v>
      </c>
      <c r="N102" s="6"/>
      <c r="O102" s="7"/>
      <c r="P102" s="8"/>
    </row>
    <row r="103" spans="1:16" x14ac:dyDescent="0.3">
      <c r="A103" s="1" t="s">
        <v>12</v>
      </c>
      <c r="B103" s="15">
        <v>44627</v>
      </c>
      <c r="C103" s="17">
        <f>WEEKNUM(Tableau1[[#This Row],[Date ]])</f>
        <v>11</v>
      </c>
      <c r="D103" s="17">
        <f>Tableau1[[#This Row],[Colonne1]]-1</f>
        <v>10</v>
      </c>
      <c r="E103" s="17" t="str">
        <f>_xlfn.CONCAT("0",Tableau1[[#This Row],[N° Semaine]])</f>
        <v>010</v>
      </c>
      <c r="F103" s="17" t="str">
        <f>_xlfn.CONCAT("S",Tableau1[[#This Row],[Colonne2]])</f>
        <v>S010</v>
      </c>
      <c r="G103" t="str">
        <f>TEXT(Tableau1[[#This Row],[Date ]],"mmmm")</f>
        <v>mars</v>
      </c>
      <c r="H103" s="2">
        <v>74.5</v>
      </c>
      <c r="I103" s="2">
        <v>143</v>
      </c>
      <c r="J103" s="2">
        <v>13</v>
      </c>
      <c r="K103" s="17">
        <f t="shared" si="1"/>
        <v>234</v>
      </c>
      <c r="L103" s="2" t="str">
        <f>CONCATENATE(Tableau1[[#This Row],[Usine]],"-",Tableau1[[#This Row],[Semaine ]])</f>
        <v>Soufre &amp; Energie - Sulfine-S010</v>
      </c>
      <c r="N103" s="6"/>
      <c r="O103" s="7"/>
      <c r="P103" s="8"/>
    </row>
    <row r="104" spans="1:16" x14ac:dyDescent="0.3">
      <c r="A104" s="1" t="s">
        <v>13</v>
      </c>
      <c r="B104" s="15">
        <v>44627</v>
      </c>
      <c r="C104" s="17">
        <f>WEEKNUM(Tableau1[[#This Row],[Date ]])</f>
        <v>11</v>
      </c>
      <c r="D104" s="17">
        <f>Tableau1[[#This Row],[Colonne1]]-1</f>
        <v>10</v>
      </c>
      <c r="E104" s="17" t="str">
        <f>_xlfn.CONCAT("0",Tableau1[[#This Row],[N° Semaine]])</f>
        <v>010</v>
      </c>
      <c r="F104" s="17" t="str">
        <f>_xlfn.CONCAT("S",Tableau1[[#This Row],[Colonne2]])</f>
        <v>S010</v>
      </c>
      <c r="G104" t="str">
        <f>TEXT(Tableau1[[#This Row],[Date ]],"mmmm")</f>
        <v>mars</v>
      </c>
      <c r="H104" s="2"/>
      <c r="I104" s="2">
        <v>3.5</v>
      </c>
      <c r="J104" s="2"/>
      <c r="K104" s="17">
        <f t="shared" si="1"/>
        <v>94</v>
      </c>
      <c r="L104" s="2" t="str">
        <f>CONCATENATE(Tableau1[[#This Row],[Usine]],"-",Tableau1[[#This Row],[Semaine ]])</f>
        <v>Zéoline-S010</v>
      </c>
      <c r="N104" s="6"/>
      <c r="O104" s="7"/>
      <c r="P104" s="8"/>
    </row>
    <row r="105" spans="1:16" x14ac:dyDescent="0.3">
      <c r="A105" s="1" t="s">
        <v>14</v>
      </c>
      <c r="B105" s="15">
        <v>44627</v>
      </c>
      <c r="C105" s="17">
        <f>WEEKNUM(Tableau1[[#This Row],[Date ]])</f>
        <v>11</v>
      </c>
      <c r="D105" s="17">
        <f>Tableau1[[#This Row],[Colonne1]]-1</f>
        <v>10</v>
      </c>
      <c r="E105" s="17" t="str">
        <f>_xlfn.CONCAT("0",Tableau1[[#This Row],[N° Semaine]])</f>
        <v>010</v>
      </c>
      <c r="F105" s="17" t="str">
        <f>_xlfn.CONCAT("S",Tableau1[[#This Row],[Colonne2]])</f>
        <v>S010</v>
      </c>
      <c r="G105" t="str">
        <f>TEXT(Tableau1[[#This Row],[Date ]],"mmmm")</f>
        <v>mars</v>
      </c>
      <c r="H105" s="2">
        <v>41.5</v>
      </c>
      <c r="I105" s="2">
        <v>17.5</v>
      </c>
      <c r="J105" s="2">
        <v>31.5</v>
      </c>
      <c r="K105" s="17">
        <f t="shared" si="1"/>
        <v>180</v>
      </c>
      <c r="L105" s="2" t="str">
        <f>CONCATENATE(Tableau1[[#This Row],[Usine]],"-",Tableau1[[#This Row],[Semaine ]])</f>
        <v>#N/A-S010</v>
      </c>
      <c r="N105" s="6"/>
      <c r="O105" s="7"/>
      <c r="P105" s="8"/>
    </row>
    <row r="106" spans="1:16" x14ac:dyDescent="0.3">
      <c r="A106" s="1" t="s">
        <v>5</v>
      </c>
      <c r="B106" s="15">
        <v>44634</v>
      </c>
      <c r="C106" s="17">
        <f>WEEKNUM(Tableau1[[#This Row],[Date ]])</f>
        <v>12</v>
      </c>
      <c r="D106" s="17">
        <f>Tableau1[[#This Row],[Colonne1]]-1</f>
        <v>11</v>
      </c>
      <c r="E106" s="17" t="str">
        <f>_xlfn.CONCAT("0",Tableau1[[#This Row],[N° Semaine]])</f>
        <v>011</v>
      </c>
      <c r="F106" s="17" t="str">
        <f>_xlfn.CONCAT("S",Tableau1[[#This Row],[Colonne2]])</f>
        <v>S011</v>
      </c>
      <c r="G106" t="str">
        <f>TEXT(Tableau1[[#This Row],[Date ]],"mmmm")</f>
        <v>mars</v>
      </c>
      <c r="H106" s="2">
        <v>15</v>
      </c>
      <c r="I106" s="2"/>
      <c r="J106" s="2">
        <v>74.5</v>
      </c>
      <c r="K106" s="17">
        <f t="shared" si="1"/>
        <v>104.5</v>
      </c>
      <c r="L106" s="2" t="str">
        <f>CONCATENATE(Tableau1[[#This Row],[Usine]],"-",Tableau1[[#This Row],[Semaine ]])</f>
        <v>Autres-S011</v>
      </c>
      <c r="N106" s="6"/>
      <c r="O106" s="7"/>
      <c r="P106" s="8"/>
    </row>
    <row r="107" spans="1:16" x14ac:dyDescent="0.3">
      <c r="A107" s="1" t="s">
        <v>6</v>
      </c>
      <c r="B107" s="15">
        <v>44634</v>
      </c>
      <c r="C107" s="17">
        <f>WEEKNUM(Tableau1[[#This Row],[Date ]])</f>
        <v>12</v>
      </c>
      <c r="D107" s="17">
        <f>Tableau1[[#This Row],[Colonne1]]-1</f>
        <v>11</v>
      </c>
      <c r="E107" s="17" t="str">
        <f>_xlfn.CONCAT("0",Tableau1[[#This Row],[N° Semaine]])</f>
        <v>011</v>
      </c>
      <c r="F107" s="17" t="str">
        <f>_xlfn.CONCAT("S",Tableau1[[#This Row],[Colonne2]])</f>
        <v>S011</v>
      </c>
      <c r="G107" t="str">
        <f>TEXT(Tableau1[[#This Row],[Date ]],"mmmm")</f>
        <v>mars</v>
      </c>
      <c r="H107" s="2"/>
      <c r="I107" s="2">
        <v>15</v>
      </c>
      <c r="J107" s="2"/>
      <c r="K107" s="17">
        <f t="shared" si="1"/>
        <v>72.5</v>
      </c>
      <c r="L107" s="2" t="str">
        <f>CONCATENATE(Tableau1[[#This Row],[Usine]],"-",Tableau1[[#This Row],[Semaine ]])</f>
        <v>Biamonique-S011</v>
      </c>
      <c r="N107" s="6"/>
      <c r="O107" s="7"/>
      <c r="P107" s="8"/>
    </row>
    <row r="108" spans="1:16" x14ac:dyDescent="0.3">
      <c r="A108" s="1" t="s">
        <v>8</v>
      </c>
      <c r="B108" s="15">
        <v>44634</v>
      </c>
      <c r="C108" s="17">
        <f>WEEKNUM(Tableau1[[#This Row],[Date ]])</f>
        <v>12</v>
      </c>
      <c r="D108" s="17">
        <f>Tableau1[[#This Row],[Colonne1]]-1</f>
        <v>11</v>
      </c>
      <c r="E108" s="17" t="str">
        <f>_xlfn.CONCAT("0",Tableau1[[#This Row],[N° Semaine]])</f>
        <v>011</v>
      </c>
      <c r="F108" s="17" t="str">
        <f>_xlfn.CONCAT("S",Tableau1[[#This Row],[Colonne2]])</f>
        <v>S011</v>
      </c>
      <c r="G108" t="str">
        <f>TEXT(Tableau1[[#This Row],[Date ]],"mmmm")</f>
        <v>mars</v>
      </c>
      <c r="H108" s="2">
        <v>49.5</v>
      </c>
      <c r="I108" s="2">
        <v>5</v>
      </c>
      <c r="J108" s="2">
        <v>3</v>
      </c>
      <c r="K108" s="17">
        <f t="shared" si="1"/>
        <v>59</v>
      </c>
      <c r="L108" s="2" t="str">
        <f>CONCATENATE(Tableau1[[#This Row],[Usine]],"-",Tableau1[[#This Row],[Semaine ]])</f>
        <v>Engrais-S011</v>
      </c>
      <c r="N108" s="9"/>
      <c r="O108" s="10"/>
      <c r="P108" s="11"/>
    </row>
    <row r="109" spans="1:16" x14ac:dyDescent="0.3">
      <c r="A109" s="1" t="s">
        <v>9</v>
      </c>
      <c r="B109" s="15">
        <v>44634</v>
      </c>
      <c r="C109" s="17">
        <f>WEEKNUM(Tableau1[[#This Row],[Date ]])</f>
        <v>12</v>
      </c>
      <c r="D109" s="17">
        <f>Tableau1[[#This Row],[Colonne1]]-1</f>
        <v>11</v>
      </c>
      <c r="E109" s="17" t="str">
        <f>_xlfn.CONCAT("0",Tableau1[[#This Row],[N° Semaine]])</f>
        <v>011</v>
      </c>
      <c r="F109" s="17" t="str">
        <f>_xlfn.CONCAT("S",Tableau1[[#This Row],[Colonne2]])</f>
        <v>S011</v>
      </c>
      <c r="G109" t="str">
        <f>TEXT(Tableau1[[#This Row],[Date ]],"mmmm")</f>
        <v>mars</v>
      </c>
      <c r="H109" s="2">
        <v>1.5</v>
      </c>
      <c r="I109" s="2"/>
      <c r="J109" s="2"/>
      <c r="K109" s="17">
        <f t="shared" si="1"/>
        <v>4</v>
      </c>
      <c r="L109" s="2" t="str">
        <f>CONCATENATE(Tableau1[[#This Row],[Usine]],"-",Tableau1[[#This Row],[Semaine ]])</f>
        <v>Entretien-S011</v>
      </c>
    </row>
    <row r="110" spans="1:16" x14ac:dyDescent="0.3">
      <c r="A110" s="1" t="s">
        <v>17</v>
      </c>
      <c r="B110" s="15">
        <v>44634</v>
      </c>
      <c r="C110" s="17">
        <f>WEEKNUM(Tableau1[[#This Row],[Date ]])</f>
        <v>12</v>
      </c>
      <c r="D110" s="17">
        <f>Tableau1[[#This Row],[Colonne1]]-1</f>
        <v>11</v>
      </c>
      <c r="E110" s="17" t="str">
        <f>_xlfn.CONCAT("0",Tableau1[[#This Row],[N° Semaine]])</f>
        <v>011</v>
      </c>
      <c r="F110" s="17" t="str">
        <f>_xlfn.CONCAT("S",Tableau1[[#This Row],[Colonne2]])</f>
        <v>S011</v>
      </c>
      <c r="G110" t="str">
        <f>TEXT(Tableau1[[#This Row],[Date ]],"mmmm")</f>
        <v>mars</v>
      </c>
      <c r="H110" s="2">
        <v>2.5</v>
      </c>
      <c r="I110" s="2"/>
      <c r="J110" s="2"/>
      <c r="K110" s="17">
        <f t="shared" si="1"/>
        <v>576.25</v>
      </c>
      <c r="L110" t="str">
        <f>CONCATENATE(Tableau1[[#This Row],[Usine]],"-",Tableau1[[#This Row],[Semaine ]])</f>
        <v>Hydro-S011</v>
      </c>
    </row>
    <row r="111" spans="1:16" x14ac:dyDescent="0.3">
      <c r="A111" s="1" t="s">
        <v>10</v>
      </c>
      <c r="B111" s="15">
        <v>44634</v>
      </c>
      <c r="C111" s="17">
        <f>WEEKNUM(Tableau1[[#This Row],[Date ]])</f>
        <v>12</v>
      </c>
      <c r="D111" s="17">
        <f>Tableau1[[#This Row],[Colonne1]]-1</f>
        <v>11</v>
      </c>
      <c r="E111" s="17" t="str">
        <f>_xlfn.CONCAT("0",Tableau1[[#This Row],[N° Semaine]])</f>
        <v>011</v>
      </c>
      <c r="F111" s="17" t="str">
        <f>_xlfn.CONCAT("S",Tableau1[[#This Row],[Colonne2]])</f>
        <v>S011</v>
      </c>
      <c r="G111" t="str">
        <f>TEXT(Tableau1[[#This Row],[Date ]],"mmmm")</f>
        <v>mars</v>
      </c>
      <c r="H111" s="2">
        <v>123</v>
      </c>
      <c r="I111" s="2">
        <v>121</v>
      </c>
      <c r="J111" s="2">
        <v>329.75</v>
      </c>
      <c r="K111" s="17">
        <f t="shared" si="1"/>
        <v>896.75</v>
      </c>
      <c r="L111" t="str">
        <f>CONCATENATE(Tableau1[[#This Row],[Usine]],"-",Tableau1[[#This Row],[Semaine ]])</f>
        <v>P2O5-S011</v>
      </c>
    </row>
    <row r="112" spans="1:16" x14ac:dyDescent="0.3">
      <c r="A112" s="1" t="s">
        <v>11</v>
      </c>
      <c r="B112" s="15">
        <v>44634</v>
      </c>
      <c r="C112" s="17">
        <f>WEEKNUM(Tableau1[[#This Row],[Date ]])</f>
        <v>12</v>
      </c>
      <c r="D112" s="17">
        <f>Tableau1[[#This Row],[Colonne1]]-1</f>
        <v>11</v>
      </c>
      <c r="E112" s="17" t="str">
        <f>_xlfn.CONCAT("0",Tableau1[[#This Row],[N° Semaine]])</f>
        <v>011</v>
      </c>
      <c r="F112" s="17" t="str">
        <f>_xlfn.CONCAT("S",Tableau1[[#This Row],[Colonne2]])</f>
        <v>S011</v>
      </c>
      <c r="G112" t="str">
        <f>TEXT(Tableau1[[#This Row],[Date ]],"mmmm")</f>
        <v>mars</v>
      </c>
      <c r="H112" s="2">
        <v>16</v>
      </c>
      <c r="I112" s="2">
        <v>189</v>
      </c>
      <c r="J112" s="2">
        <v>118</v>
      </c>
      <c r="K112" s="17">
        <f t="shared" si="1"/>
        <v>552.5</v>
      </c>
      <c r="L112" t="str">
        <f>CONCATENATE(Tableau1[[#This Row],[Usine]],"-",Tableau1[[#This Row],[Semaine ]])</f>
        <v>PTA-S011</v>
      </c>
    </row>
    <row r="113" spans="1:12" x14ac:dyDescent="0.3">
      <c r="A113" s="1" t="s">
        <v>12</v>
      </c>
      <c r="B113" s="15">
        <v>44634</v>
      </c>
      <c r="C113" s="17">
        <f>WEEKNUM(Tableau1[[#This Row],[Date ]])</f>
        <v>12</v>
      </c>
      <c r="D113" s="17">
        <f>Tableau1[[#This Row],[Colonne1]]-1</f>
        <v>11</v>
      </c>
      <c r="E113" s="17" t="str">
        <f>_xlfn.CONCAT("0",Tableau1[[#This Row],[N° Semaine]])</f>
        <v>011</v>
      </c>
      <c r="F113" s="17" t="str">
        <f>_xlfn.CONCAT("S",Tableau1[[#This Row],[Colonne2]])</f>
        <v>S011</v>
      </c>
      <c r="G113" t="str">
        <f>TEXT(Tableau1[[#This Row],[Date ]],"mmmm")</f>
        <v>mars</v>
      </c>
      <c r="H113" s="2">
        <v>19.5</v>
      </c>
      <c r="I113" s="2">
        <v>210</v>
      </c>
      <c r="J113" s="2"/>
      <c r="K113" s="17">
        <f t="shared" si="1"/>
        <v>259.5</v>
      </c>
      <c r="L113" t="str">
        <f>CONCATENATE(Tableau1[[#This Row],[Usine]],"-",Tableau1[[#This Row],[Semaine ]])</f>
        <v>Soufre &amp; Energie - Sulfine-S011</v>
      </c>
    </row>
    <row r="114" spans="1:12" x14ac:dyDescent="0.3">
      <c r="A114" s="1" t="s">
        <v>13</v>
      </c>
      <c r="B114" s="15">
        <v>44634</v>
      </c>
      <c r="C114" s="17">
        <f>WEEKNUM(Tableau1[[#This Row],[Date ]])</f>
        <v>12</v>
      </c>
      <c r="D114" s="17">
        <f>Tableau1[[#This Row],[Colonne1]]-1</f>
        <v>11</v>
      </c>
      <c r="E114" s="17" t="str">
        <f>_xlfn.CONCAT("0",Tableau1[[#This Row],[N° Semaine]])</f>
        <v>011</v>
      </c>
      <c r="F114" s="17" t="str">
        <f>_xlfn.CONCAT("S",Tableau1[[#This Row],[Colonne2]])</f>
        <v>S011</v>
      </c>
      <c r="G114" t="str">
        <f>TEXT(Tableau1[[#This Row],[Date ]],"mmmm")</f>
        <v>mars</v>
      </c>
      <c r="H114" s="2"/>
      <c r="I114" s="2">
        <v>30</v>
      </c>
      <c r="J114" s="2"/>
      <c r="K114" s="17">
        <f t="shared" si="1"/>
        <v>69</v>
      </c>
      <c r="L114" t="str">
        <f>CONCATENATE(Tableau1[[#This Row],[Usine]],"-",Tableau1[[#This Row],[Semaine ]])</f>
        <v>Zéoline-S011</v>
      </c>
    </row>
    <row r="115" spans="1:12" x14ac:dyDescent="0.3">
      <c r="A115" s="1" t="s">
        <v>14</v>
      </c>
      <c r="B115" s="15">
        <v>44634</v>
      </c>
      <c r="C115" s="17">
        <f>WEEKNUM(Tableau1[[#This Row],[Date ]])</f>
        <v>12</v>
      </c>
      <c r="D115" s="17">
        <f>Tableau1[[#This Row],[Colonne1]]-1</f>
        <v>11</v>
      </c>
      <c r="E115" s="17" t="str">
        <f>_xlfn.CONCAT("0",Tableau1[[#This Row],[N° Semaine]])</f>
        <v>011</v>
      </c>
      <c r="F115" s="17" t="str">
        <f>_xlfn.CONCAT("S",Tableau1[[#This Row],[Colonne2]])</f>
        <v>S011</v>
      </c>
      <c r="G115" t="str">
        <f>TEXT(Tableau1[[#This Row],[Date ]],"mmmm")</f>
        <v>mars</v>
      </c>
      <c r="H115" s="2">
        <v>19</v>
      </c>
      <c r="I115" s="2">
        <v>16.5</v>
      </c>
      <c r="J115" s="2">
        <v>3.5</v>
      </c>
      <c r="K115" s="17">
        <f t="shared" si="1"/>
        <v>44</v>
      </c>
      <c r="L115" t="str">
        <f>CONCATENATE(Tableau1[[#This Row],[Usine]],"-",Tableau1[[#This Row],[Semaine ]])</f>
        <v>#N/A-S011</v>
      </c>
    </row>
    <row r="116" spans="1:12" x14ac:dyDescent="0.3">
      <c r="A116" s="1" t="s">
        <v>5</v>
      </c>
      <c r="B116" s="15">
        <v>44641</v>
      </c>
      <c r="C116" s="17">
        <f>WEEKNUM(Tableau1[[#This Row],[Date ]])</f>
        <v>13</v>
      </c>
      <c r="D116" s="17">
        <f>Tableau1[[#This Row],[Colonne1]]-1</f>
        <v>12</v>
      </c>
      <c r="E116" s="17" t="str">
        <f>_xlfn.CONCAT("0",Tableau1[[#This Row],[N° Semaine]])</f>
        <v>012</v>
      </c>
      <c r="F116" s="17" t="str">
        <f>_xlfn.CONCAT("S",Tableau1[[#This Row],[Colonne2]])</f>
        <v>S012</v>
      </c>
      <c r="G116" t="str">
        <f>TEXT(Tableau1[[#This Row],[Date ]],"mmmm")</f>
        <v>mars</v>
      </c>
      <c r="H116" s="2">
        <v>2.5</v>
      </c>
      <c r="I116" s="2"/>
      <c r="J116" s="2">
        <v>2.5</v>
      </c>
      <c r="K116" s="17">
        <f t="shared" si="1"/>
        <v>95.5</v>
      </c>
      <c r="L116" t="str">
        <f>CONCATENATE(Tableau1[[#This Row],[Usine]],"-",Tableau1[[#This Row],[Semaine ]])</f>
        <v>Autres-S012</v>
      </c>
    </row>
    <row r="117" spans="1:12" x14ac:dyDescent="0.3">
      <c r="A117" s="1" t="s">
        <v>6</v>
      </c>
      <c r="B117" s="15">
        <v>44641</v>
      </c>
      <c r="C117" s="17">
        <f>WEEKNUM(Tableau1[[#This Row],[Date ]])</f>
        <v>13</v>
      </c>
      <c r="D117" s="17">
        <f>Tableau1[[#This Row],[Colonne1]]-1</f>
        <v>12</v>
      </c>
      <c r="E117" s="17" t="str">
        <f>_xlfn.CONCAT("0",Tableau1[[#This Row],[N° Semaine]])</f>
        <v>012</v>
      </c>
      <c r="F117" s="17" t="str">
        <f>_xlfn.CONCAT("S",Tableau1[[#This Row],[Colonne2]])</f>
        <v>S012</v>
      </c>
      <c r="G117" t="str">
        <f>TEXT(Tableau1[[#This Row],[Date ]],"mmmm")</f>
        <v>mars</v>
      </c>
      <c r="H117" s="2">
        <v>42.5</v>
      </c>
      <c r="I117" s="2">
        <v>16.5</v>
      </c>
      <c r="J117" s="2">
        <v>31.5</v>
      </c>
      <c r="K117" s="17">
        <f t="shared" si="1"/>
        <v>305</v>
      </c>
      <c r="L117" t="str">
        <f>CONCATENATE(Tableau1[[#This Row],[Usine]],"-",Tableau1[[#This Row],[Semaine ]])</f>
        <v>Biamonique-S012</v>
      </c>
    </row>
    <row r="118" spans="1:12" x14ac:dyDescent="0.3">
      <c r="A118" s="1" t="s">
        <v>8</v>
      </c>
      <c r="B118" s="15">
        <v>44641</v>
      </c>
      <c r="C118" s="17">
        <f>WEEKNUM(Tableau1[[#This Row],[Date ]])</f>
        <v>13</v>
      </c>
      <c r="D118" s="17">
        <f>Tableau1[[#This Row],[Colonne1]]-1</f>
        <v>12</v>
      </c>
      <c r="E118" s="17" t="str">
        <f>_xlfn.CONCAT("0",Tableau1[[#This Row],[N° Semaine]])</f>
        <v>012</v>
      </c>
      <c r="F118" s="17" t="str">
        <f>_xlfn.CONCAT("S",Tableau1[[#This Row],[Colonne2]])</f>
        <v>S012</v>
      </c>
      <c r="G118" t="str">
        <f>TEXT(Tableau1[[#This Row],[Date ]],"mmmm")</f>
        <v>mars</v>
      </c>
      <c r="H118" s="2">
        <v>35.5</v>
      </c>
      <c r="I118" s="2">
        <v>29</v>
      </c>
      <c r="J118" s="2">
        <v>150</v>
      </c>
      <c r="K118" s="17">
        <f t="shared" si="1"/>
        <v>218.5</v>
      </c>
      <c r="L118" t="str">
        <f>CONCATENATE(Tableau1[[#This Row],[Usine]],"-",Tableau1[[#This Row],[Semaine ]])</f>
        <v>Engrais-S012</v>
      </c>
    </row>
    <row r="119" spans="1:12" x14ac:dyDescent="0.3">
      <c r="A119" s="1" t="s">
        <v>9</v>
      </c>
      <c r="B119" s="15">
        <v>44641</v>
      </c>
      <c r="C119" s="17">
        <f>WEEKNUM(Tableau1[[#This Row],[Date ]])</f>
        <v>13</v>
      </c>
      <c r="D119" s="17">
        <f>Tableau1[[#This Row],[Colonne1]]-1</f>
        <v>12</v>
      </c>
      <c r="E119" s="17" t="str">
        <f>_xlfn.CONCAT("0",Tableau1[[#This Row],[N° Semaine]])</f>
        <v>012</v>
      </c>
      <c r="F119" s="17" t="str">
        <f>_xlfn.CONCAT("S",Tableau1[[#This Row],[Colonne2]])</f>
        <v>S012</v>
      </c>
      <c r="G119" t="str">
        <f>TEXT(Tableau1[[#This Row],[Date ]],"mmmm")</f>
        <v>mars</v>
      </c>
      <c r="H119" s="2">
        <v>4</v>
      </c>
      <c r="I119" s="2"/>
      <c r="J119" s="2"/>
      <c r="K119" s="17">
        <f t="shared" si="1"/>
        <v>5.5</v>
      </c>
      <c r="L119" t="str">
        <f>CONCATENATE(Tableau1[[#This Row],[Usine]],"-",Tableau1[[#This Row],[Semaine ]])</f>
        <v>Entretien-S012</v>
      </c>
    </row>
    <row r="120" spans="1:12" x14ac:dyDescent="0.3">
      <c r="A120" s="1" t="s">
        <v>17</v>
      </c>
      <c r="B120" s="15">
        <v>44641</v>
      </c>
      <c r="C120" s="14">
        <f>WEEKNUM(Tableau1[[#This Row],[Date ]])</f>
        <v>13</v>
      </c>
      <c r="D120" s="14">
        <f>Tableau1[[#This Row],[Colonne1]]-1</f>
        <v>12</v>
      </c>
      <c r="E120" s="14" t="str">
        <f>_xlfn.CONCAT("0",Tableau1[[#This Row],[N° Semaine]])</f>
        <v>012</v>
      </c>
      <c r="F120" s="14" t="str">
        <f>_xlfn.CONCAT("S",Tableau1[[#This Row],[Colonne2]])</f>
        <v>S012</v>
      </c>
      <c r="G120" t="str">
        <f>TEXT(Tableau1[[#This Row],[Date ]],"mmmm")</f>
        <v>mars</v>
      </c>
      <c r="H120" s="2"/>
      <c r="I120" s="2">
        <v>1.5</v>
      </c>
      <c r="J120" s="2"/>
      <c r="K120" s="17">
        <f t="shared" si="1"/>
        <v>500.5</v>
      </c>
      <c r="L120" t="str">
        <f>CONCATENATE(Tableau1[[#This Row],[Usine]],"-",Tableau1[[#This Row],[Semaine ]])</f>
        <v>Hydro-S012</v>
      </c>
    </row>
    <row r="121" spans="1:12" x14ac:dyDescent="0.3">
      <c r="A121" s="1" t="s">
        <v>10</v>
      </c>
      <c r="B121" s="15">
        <v>44641</v>
      </c>
      <c r="C121" s="14">
        <f>WEEKNUM(Tableau1[[#This Row],[Date ]])</f>
        <v>13</v>
      </c>
      <c r="D121" s="14">
        <f>Tableau1[[#This Row],[Colonne1]]-1</f>
        <v>12</v>
      </c>
      <c r="E121" s="14" t="str">
        <f>_xlfn.CONCAT("0",Tableau1[[#This Row],[N° Semaine]])</f>
        <v>012</v>
      </c>
      <c r="F121" s="14" t="str">
        <f>_xlfn.CONCAT("S",Tableau1[[#This Row],[Colonne2]])</f>
        <v>S012</v>
      </c>
      <c r="G121" t="str">
        <f>TEXT(Tableau1[[#This Row],[Date ]],"mmmm")</f>
        <v>mars</v>
      </c>
      <c r="H121" s="2">
        <v>49</v>
      </c>
      <c r="I121" s="2">
        <v>86.5</v>
      </c>
      <c r="J121" s="2">
        <v>363.5</v>
      </c>
      <c r="K121" s="17">
        <f t="shared" si="1"/>
        <v>647</v>
      </c>
      <c r="L121" t="str">
        <f>CONCATENATE(Tableau1[[#This Row],[Usine]],"-",Tableau1[[#This Row],[Semaine ]])</f>
        <v>P2O5-S012</v>
      </c>
    </row>
    <row r="122" spans="1:12" x14ac:dyDescent="0.3">
      <c r="A122" s="1" t="s">
        <v>11</v>
      </c>
      <c r="B122" s="15">
        <v>44641</v>
      </c>
      <c r="C122" s="14">
        <f>WEEKNUM(Tableau1[[#This Row],[Date ]])</f>
        <v>13</v>
      </c>
      <c r="D122" s="14">
        <f>Tableau1[[#This Row],[Colonne1]]-1</f>
        <v>12</v>
      </c>
      <c r="E122" s="14" t="str">
        <f>_xlfn.CONCAT("0",Tableau1[[#This Row],[N° Semaine]])</f>
        <v>012</v>
      </c>
      <c r="F122" s="14" t="str">
        <f>_xlfn.CONCAT("S",Tableau1[[#This Row],[Colonne2]])</f>
        <v>S012</v>
      </c>
      <c r="G122" t="str">
        <f>TEXT(Tableau1[[#This Row],[Date ]],"mmmm")</f>
        <v>mars</v>
      </c>
      <c r="H122" s="2"/>
      <c r="I122" s="2">
        <v>121.5</v>
      </c>
      <c r="J122" s="2">
        <v>26.5</v>
      </c>
      <c r="K122" s="17">
        <f t="shared" si="1"/>
        <v>396.5</v>
      </c>
      <c r="L122" t="str">
        <f>CONCATENATE(Tableau1[[#This Row],[Usine]],"-",Tableau1[[#This Row],[Semaine ]])</f>
        <v>PTA-S012</v>
      </c>
    </row>
    <row r="123" spans="1:12" x14ac:dyDescent="0.3">
      <c r="A123" s="1" t="s">
        <v>12</v>
      </c>
      <c r="B123" s="15">
        <v>44641</v>
      </c>
      <c r="C123" s="14">
        <f>WEEKNUM(Tableau1[[#This Row],[Date ]])</f>
        <v>13</v>
      </c>
      <c r="D123" s="14">
        <f>Tableau1[[#This Row],[Colonne1]]-1</f>
        <v>12</v>
      </c>
      <c r="E123" s="14" t="str">
        <f>_xlfn.CONCAT("0",Tableau1[[#This Row],[N° Semaine]])</f>
        <v>012</v>
      </c>
      <c r="F123" s="14" t="str">
        <f>_xlfn.CONCAT("S",Tableau1[[#This Row],[Colonne2]])</f>
        <v>S012</v>
      </c>
      <c r="G123" t="str">
        <f>TEXT(Tableau1[[#This Row],[Date ]],"mmmm")</f>
        <v>mars</v>
      </c>
      <c r="H123" s="2">
        <v>72.5</v>
      </c>
      <c r="I123" s="2">
        <v>131</v>
      </c>
      <c r="J123" s="2">
        <v>45</v>
      </c>
      <c r="K123" s="17">
        <f t="shared" si="1"/>
        <v>262.5</v>
      </c>
      <c r="L123" t="str">
        <f>CONCATENATE(Tableau1[[#This Row],[Usine]],"-",Tableau1[[#This Row],[Semaine ]])</f>
        <v>Soufre &amp; Energie - Sulfine-S012</v>
      </c>
    </row>
    <row r="124" spans="1:12" x14ac:dyDescent="0.3">
      <c r="A124" s="1" t="s">
        <v>13</v>
      </c>
      <c r="B124" s="15">
        <v>44641</v>
      </c>
      <c r="C124" s="14">
        <f>WEEKNUM(Tableau1[[#This Row],[Date ]])</f>
        <v>13</v>
      </c>
      <c r="D124" s="14">
        <f>Tableau1[[#This Row],[Colonne1]]-1</f>
        <v>12</v>
      </c>
      <c r="E124" s="14" t="str">
        <f>_xlfn.CONCAT("0",Tableau1[[#This Row],[N° Semaine]])</f>
        <v>012</v>
      </c>
      <c r="F124" s="14" t="str">
        <f>_xlfn.CONCAT("S",Tableau1[[#This Row],[Colonne2]])</f>
        <v>S012</v>
      </c>
      <c r="G124" t="str">
        <f>TEXT(Tableau1[[#This Row],[Date ]],"mmmm")</f>
        <v>mars</v>
      </c>
      <c r="H124" s="2"/>
      <c r="I124" s="2">
        <v>2</v>
      </c>
      <c r="J124" s="2">
        <v>12</v>
      </c>
      <c r="K124" s="17">
        <f t="shared" si="1"/>
        <v>114.5</v>
      </c>
      <c r="L124" t="str">
        <f>CONCATENATE(Tableau1[[#This Row],[Usine]],"-",Tableau1[[#This Row],[Semaine ]])</f>
        <v>Zéoline-S012</v>
      </c>
    </row>
    <row r="125" spans="1:12" x14ac:dyDescent="0.3">
      <c r="A125" s="1" t="s">
        <v>14</v>
      </c>
      <c r="B125" s="15">
        <v>44641</v>
      </c>
      <c r="C125" s="14">
        <f>WEEKNUM(Tableau1[[#This Row],[Date ]])</f>
        <v>13</v>
      </c>
      <c r="D125" s="14">
        <f>Tableau1[[#This Row],[Colonne1]]-1</f>
        <v>12</v>
      </c>
      <c r="E125" s="14" t="str">
        <f>_xlfn.CONCAT("0",Tableau1[[#This Row],[N° Semaine]])</f>
        <v>012</v>
      </c>
      <c r="F125" s="14" t="str">
        <f>_xlfn.CONCAT("S",Tableau1[[#This Row],[Colonne2]])</f>
        <v>S012</v>
      </c>
      <c r="G125" t="str">
        <f>TEXT(Tableau1[[#This Row],[Date ]],"mmmm")</f>
        <v>mars</v>
      </c>
      <c r="H125" s="2">
        <v>30</v>
      </c>
      <c r="I125" s="2">
        <v>7.5</v>
      </c>
      <c r="J125" s="2">
        <v>63</v>
      </c>
      <c r="K125" s="17">
        <f t="shared" si="1"/>
        <v>159.5</v>
      </c>
      <c r="L125" t="str">
        <f>CONCATENATE(Tableau1[[#This Row],[Usine]],"-",Tableau1[[#This Row],[Semaine ]])</f>
        <v>#N/A-S012</v>
      </c>
    </row>
    <row r="126" spans="1:12" x14ac:dyDescent="0.3">
      <c r="A126" s="1" t="s">
        <v>5</v>
      </c>
      <c r="B126" s="15">
        <v>44648</v>
      </c>
      <c r="C126" s="14">
        <f>WEEKNUM(Tableau1[[#This Row],[Date ]])</f>
        <v>14</v>
      </c>
      <c r="D126" s="14">
        <f>Tableau1[[#This Row],[Colonne1]]-1</f>
        <v>13</v>
      </c>
      <c r="E126" s="14" t="str">
        <f>_xlfn.CONCAT("0",Tableau1[[#This Row],[N° Semaine]])</f>
        <v>013</v>
      </c>
      <c r="F126" s="14" t="str">
        <f>_xlfn.CONCAT("S",Tableau1[[#This Row],[Colonne2]])</f>
        <v>S013</v>
      </c>
      <c r="G126" t="str">
        <f>TEXT(Tableau1[[#This Row],[Date ]],"mmmm")</f>
        <v>mars</v>
      </c>
      <c r="H126" s="2">
        <v>6</v>
      </c>
      <c r="I126" s="2">
        <v>7.5</v>
      </c>
      <c r="J126" s="2">
        <v>45.5</v>
      </c>
      <c r="K126" s="17">
        <f t="shared" si="1"/>
        <v>106.5</v>
      </c>
      <c r="L126" t="str">
        <f>CONCATENATE(Tableau1[[#This Row],[Usine]],"-",Tableau1[[#This Row],[Semaine ]])</f>
        <v>Autres-S013</v>
      </c>
    </row>
    <row r="127" spans="1:12" x14ac:dyDescent="0.3">
      <c r="A127" s="1" t="s">
        <v>6</v>
      </c>
      <c r="B127" s="15">
        <v>44648</v>
      </c>
      <c r="C127" s="14">
        <f>WEEKNUM(Tableau1[[#This Row],[Date ]])</f>
        <v>14</v>
      </c>
      <c r="D127" s="14">
        <f>Tableau1[[#This Row],[Colonne1]]-1</f>
        <v>13</v>
      </c>
      <c r="E127" s="14" t="str">
        <f>_xlfn.CONCAT("0",Tableau1[[#This Row],[N° Semaine]])</f>
        <v>013</v>
      </c>
      <c r="F127" s="14" t="str">
        <f>_xlfn.CONCAT("S",Tableau1[[#This Row],[Colonne2]])</f>
        <v>S013</v>
      </c>
      <c r="G127" t="str">
        <f>TEXT(Tableau1[[#This Row],[Date ]],"mmmm")</f>
        <v>mars</v>
      </c>
      <c r="H127" s="2"/>
      <c r="I127" s="2">
        <v>11</v>
      </c>
      <c r="J127" s="2">
        <v>36.5</v>
      </c>
      <c r="K127" s="17">
        <f t="shared" si="1"/>
        <v>49.5</v>
      </c>
      <c r="L127" t="str">
        <f>CONCATENATE(Tableau1[[#This Row],[Usine]],"-",Tableau1[[#This Row],[Semaine ]])</f>
        <v>Biamonique-S013</v>
      </c>
    </row>
    <row r="128" spans="1:12" x14ac:dyDescent="0.3">
      <c r="A128" s="1" t="s">
        <v>7</v>
      </c>
      <c r="B128" s="15">
        <v>44648</v>
      </c>
      <c r="C128" s="14">
        <f>WEEKNUM(Tableau1[[#This Row],[Date ]])</f>
        <v>14</v>
      </c>
      <c r="D128" s="14">
        <f>Tableau1[[#This Row],[Colonne1]]-1</f>
        <v>13</v>
      </c>
      <c r="E128" s="14" t="str">
        <f>_xlfn.CONCAT("0",Tableau1[[#This Row],[N° Semaine]])</f>
        <v>013</v>
      </c>
      <c r="F128" s="14" t="str">
        <f>_xlfn.CONCAT("S",Tableau1[[#This Row],[Colonne2]])</f>
        <v>S013</v>
      </c>
      <c r="G128" t="str">
        <f>TEXT(Tableau1[[#This Row],[Date ]],"mmmm")</f>
        <v>mars</v>
      </c>
      <c r="H128" s="2"/>
      <c r="I128" s="2"/>
      <c r="J128" s="2">
        <v>2</v>
      </c>
      <c r="K128" s="17">
        <f t="shared" si="1"/>
        <v>80.5</v>
      </c>
      <c r="L128" t="str">
        <f>CONCATENATE(Tableau1[[#This Row],[Usine]],"-",Tableau1[[#This Row],[Semaine ]])</f>
        <v>D1-S013</v>
      </c>
    </row>
    <row r="129" spans="1:12" x14ac:dyDescent="0.3">
      <c r="A129" s="1" t="s">
        <v>8</v>
      </c>
      <c r="B129" s="15">
        <v>44648</v>
      </c>
      <c r="C129" s="14">
        <f>WEEKNUM(Tableau1[[#This Row],[Date ]])</f>
        <v>14</v>
      </c>
      <c r="D129" s="14">
        <f>Tableau1[[#This Row],[Colonne1]]-1</f>
        <v>13</v>
      </c>
      <c r="E129" s="14" t="str">
        <f>_xlfn.CONCAT("0",Tableau1[[#This Row],[N° Semaine]])</f>
        <v>013</v>
      </c>
      <c r="F129" s="14" t="str">
        <f>_xlfn.CONCAT("S",Tableau1[[#This Row],[Colonne2]])</f>
        <v>S013</v>
      </c>
      <c r="G129" t="str">
        <f>TEXT(Tableau1[[#This Row],[Date ]],"mmmm")</f>
        <v>mars</v>
      </c>
      <c r="H129" s="2">
        <v>4</v>
      </c>
      <c r="I129" s="2">
        <v>70.5</v>
      </c>
      <c r="J129" s="2">
        <v>4</v>
      </c>
      <c r="K129" s="17">
        <f t="shared" si="1"/>
        <v>120.5</v>
      </c>
      <c r="L129" t="str">
        <f>CONCATENATE(Tableau1[[#This Row],[Usine]],"-",Tableau1[[#This Row],[Semaine ]])</f>
        <v>Engrais-S013</v>
      </c>
    </row>
    <row r="130" spans="1:12" x14ac:dyDescent="0.3">
      <c r="A130" s="1" t="s">
        <v>9</v>
      </c>
      <c r="B130" s="15">
        <v>44648</v>
      </c>
      <c r="C130" s="14">
        <f>WEEKNUM(Tableau1[[#This Row],[Date ]])</f>
        <v>14</v>
      </c>
      <c r="D130" s="14">
        <f>Tableau1[[#This Row],[Colonne1]]-1</f>
        <v>13</v>
      </c>
      <c r="E130" s="14" t="str">
        <f>_xlfn.CONCAT("0",Tableau1[[#This Row],[N° Semaine]])</f>
        <v>013</v>
      </c>
      <c r="F130" s="14" t="str">
        <f>_xlfn.CONCAT("S",Tableau1[[#This Row],[Colonne2]])</f>
        <v>S013</v>
      </c>
      <c r="G130" t="str">
        <f>TEXT(Tableau1[[#This Row],[Date ]],"mmmm")</f>
        <v>mars</v>
      </c>
      <c r="H130" s="2">
        <v>30.5</v>
      </c>
      <c r="I130" s="2"/>
      <c r="J130" s="2">
        <v>11.5</v>
      </c>
      <c r="K130" s="17">
        <f t="shared" ref="K130:K193" si="2">SUM(H130:J131)</f>
        <v>700.5</v>
      </c>
      <c r="L130" t="str">
        <f>CONCATENATE(Tableau1[[#This Row],[Usine]],"-",Tableau1[[#This Row],[Semaine ]])</f>
        <v>Entretien-S013</v>
      </c>
    </row>
    <row r="131" spans="1:12" x14ac:dyDescent="0.3">
      <c r="A131" s="1" t="s">
        <v>10</v>
      </c>
      <c r="B131" s="15">
        <v>44648</v>
      </c>
      <c r="C131" s="14">
        <f>WEEKNUM(Tableau1[[#This Row],[Date ]])</f>
        <v>14</v>
      </c>
      <c r="D131" s="14">
        <f>Tableau1[[#This Row],[Colonne1]]-1</f>
        <v>13</v>
      </c>
      <c r="E131" s="14" t="str">
        <f>_xlfn.CONCAT("0",Tableau1[[#This Row],[N° Semaine]])</f>
        <v>013</v>
      </c>
      <c r="F131" s="14" t="str">
        <f>_xlfn.CONCAT("S",Tableau1[[#This Row],[Colonne2]])</f>
        <v>S013</v>
      </c>
      <c r="G131" t="str">
        <f>TEXT(Tableau1[[#This Row],[Date ]],"mmmm")</f>
        <v>mars</v>
      </c>
      <c r="H131" s="2">
        <v>150.5</v>
      </c>
      <c r="I131" s="2">
        <v>57.5</v>
      </c>
      <c r="J131" s="2">
        <v>450.5</v>
      </c>
      <c r="K131" s="17">
        <f t="shared" si="2"/>
        <v>881.75</v>
      </c>
      <c r="L131" t="str">
        <f>CONCATENATE(Tableau1[[#This Row],[Usine]],"-",Tableau1[[#This Row],[Semaine ]])</f>
        <v>P2O5-S013</v>
      </c>
    </row>
    <row r="132" spans="1:12" x14ac:dyDescent="0.3">
      <c r="A132" s="1" t="s">
        <v>11</v>
      </c>
      <c r="B132" s="15">
        <v>44648</v>
      </c>
      <c r="C132" s="14">
        <f>WEEKNUM(Tableau1[[#This Row],[Date ]])</f>
        <v>14</v>
      </c>
      <c r="D132" s="14">
        <f>Tableau1[[#This Row],[Colonne1]]-1</f>
        <v>13</v>
      </c>
      <c r="E132" s="14" t="str">
        <f>_xlfn.CONCAT("0",Tableau1[[#This Row],[N° Semaine]])</f>
        <v>013</v>
      </c>
      <c r="F132" s="14" t="str">
        <f>_xlfn.CONCAT("S",Tableau1[[#This Row],[Colonne2]])</f>
        <v>S013</v>
      </c>
      <c r="G132" t="str">
        <f>TEXT(Tableau1[[#This Row],[Date ]],"mmmm")</f>
        <v>mars</v>
      </c>
      <c r="H132" s="2">
        <v>53</v>
      </c>
      <c r="I132" s="2">
        <v>107.25</v>
      </c>
      <c r="J132" s="2">
        <v>63</v>
      </c>
      <c r="K132" s="17">
        <f t="shared" si="2"/>
        <v>487.25</v>
      </c>
      <c r="L132" t="str">
        <f>CONCATENATE(Tableau1[[#This Row],[Usine]],"-",Tableau1[[#This Row],[Semaine ]])</f>
        <v>PTA-S013</v>
      </c>
    </row>
    <row r="133" spans="1:12" x14ac:dyDescent="0.3">
      <c r="A133" s="1" t="s">
        <v>12</v>
      </c>
      <c r="B133" s="15">
        <v>44648</v>
      </c>
      <c r="C133" s="14">
        <f>WEEKNUM(Tableau1[[#This Row],[Date ]])</f>
        <v>14</v>
      </c>
      <c r="D133" s="14">
        <f>Tableau1[[#This Row],[Colonne1]]-1</f>
        <v>13</v>
      </c>
      <c r="E133" s="14" t="str">
        <f>_xlfn.CONCAT("0",Tableau1[[#This Row],[N° Semaine]])</f>
        <v>013</v>
      </c>
      <c r="F133" s="14" t="str">
        <f>_xlfn.CONCAT("S",Tableau1[[#This Row],[Colonne2]])</f>
        <v>S013</v>
      </c>
      <c r="G133" t="str">
        <f>TEXT(Tableau1[[#This Row],[Date ]],"mmmm")</f>
        <v>mars</v>
      </c>
      <c r="H133" s="2">
        <v>217</v>
      </c>
      <c r="I133" s="2">
        <v>42.5</v>
      </c>
      <c r="J133" s="2">
        <v>4.5</v>
      </c>
      <c r="K133" s="17">
        <f t="shared" si="2"/>
        <v>445.75</v>
      </c>
      <c r="L133" t="str">
        <f>CONCATENATE(Tableau1[[#This Row],[Usine]],"-",Tableau1[[#This Row],[Semaine ]])</f>
        <v>Soufre &amp; Energie - Sulfine-S013</v>
      </c>
    </row>
    <row r="134" spans="1:12" x14ac:dyDescent="0.3">
      <c r="A134" s="1" t="s">
        <v>14</v>
      </c>
      <c r="B134" s="15">
        <v>44648</v>
      </c>
      <c r="C134" s="14">
        <f>WEEKNUM(Tableau1[[#This Row],[Date ]])</f>
        <v>14</v>
      </c>
      <c r="D134" s="14">
        <f>Tableau1[[#This Row],[Colonne1]]-1</f>
        <v>13</v>
      </c>
      <c r="E134" s="14" t="str">
        <f>_xlfn.CONCAT("0",Tableau1[[#This Row],[N° Semaine]])</f>
        <v>013</v>
      </c>
      <c r="F134" s="14" t="str">
        <f>_xlfn.CONCAT("S",Tableau1[[#This Row],[Colonne2]])</f>
        <v>S013</v>
      </c>
      <c r="G134" t="str">
        <f>TEXT(Tableau1[[#This Row],[Date ]],"mmmm")</f>
        <v>mars</v>
      </c>
      <c r="H134" s="2">
        <v>86.5</v>
      </c>
      <c r="I134" s="2">
        <v>49.5</v>
      </c>
      <c r="J134" s="2">
        <v>45.75</v>
      </c>
      <c r="K134" s="17">
        <f t="shared" si="2"/>
        <v>231.25</v>
      </c>
      <c r="L134" t="str">
        <f>CONCATENATE(Tableau1[[#This Row],[Usine]],"-",Tableau1[[#This Row],[Semaine ]])</f>
        <v>#N/A-S013</v>
      </c>
    </row>
    <row r="135" spans="1:12" x14ac:dyDescent="0.3">
      <c r="A135" s="1" t="s">
        <v>5</v>
      </c>
      <c r="B135" s="15">
        <v>44655</v>
      </c>
      <c r="C135" s="14">
        <f>WEEKNUM(Tableau1[[#This Row],[Date ]])</f>
        <v>15</v>
      </c>
      <c r="D135" s="14">
        <f>Tableau1[[#This Row],[Colonne1]]-1</f>
        <v>14</v>
      </c>
      <c r="E135" s="14" t="str">
        <f>_xlfn.CONCAT("0",Tableau1[[#This Row],[N° Semaine]])</f>
        <v>014</v>
      </c>
      <c r="F135" s="14" t="str">
        <f>_xlfn.CONCAT("S",Tableau1[[#This Row],[Colonne2]])</f>
        <v>S014</v>
      </c>
      <c r="G135" t="str">
        <f>TEXT(Tableau1[[#This Row],[Date ]],"mmmm")</f>
        <v>avril</v>
      </c>
      <c r="H135" s="2">
        <v>5.5</v>
      </c>
      <c r="I135" s="2">
        <v>10</v>
      </c>
      <c r="J135" s="2">
        <v>34</v>
      </c>
      <c r="K135" s="17">
        <f t="shared" si="2"/>
        <v>99.5</v>
      </c>
      <c r="L135" t="str">
        <f>CONCATENATE(Tableau1[[#This Row],[Usine]],"-",Tableau1[[#This Row],[Semaine ]])</f>
        <v>Autres-S014</v>
      </c>
    </row>
    <row r="136" spans="1:12" x14ac:dyDescent="0.3">
      <c r="A136" s="1" t="s">
        <v>6</v>
      </c>
      <c r="B136" s="15">
        <v>44655</v>
      </c>
      <c r="C136" s="14">
        <f>WEEKNUM(Tableau1[[#This Row],[Date ]])</f>
        <v>15</v>
      </c>
      <c r="D136" s="14">
        <f>Tableau1[[#This Row],[Colonne1]]-1</f>
        <v>14</v>
      </c>
      <c r="E136" s="14" t="str">
        <f>_xlfn.CONCAT("0",Tableau1[[#This Row],[N° Semaine]])</f>
        <v>014</v>
      </c>
      <c r="F136" s="14" t="str">
        <f>_xlfn.CONCAT("S",Tableau1[[#This Row],[Colonne2]])</f>
        <v>S014</v>
      </c>
      <c r="G136" t="str">
        <f>TEXT(Tableau1[[#This Row],[Date ]],"mmmm")</f>
        <v>avril</v>
      </c>
      <c r="H136" s="2">
        <v>1.5</v>
      </c>
      <c r="I136" s="2">
        <v>48.5</v>
      </c>
      <c r="J136" s="2"/>
      <c r="K136" s="17">
        <f t="shared" si="2"/>
        <v>69.5</v>
      </c>
      <c r="L136" t="str">
        <f>CONCATENATE(Tableau1[[#This Row],[Usine]],"-",Tableau1[[#This Row],[Semaine ]])</f>
        <v>Biamonique-S014</v>
      </c>
    </row>
    <row r="137" spans="1:12" x14ac:dyDescent="0.3">
      <c r="A137" s="1" t="s">
        <v>7</v>
      </c>
      <c r="B137" s="15">
        <v>44655</v>
      </c>
      <c r="C137" s="14">
        <f>WEEKNUM(Tableau1[[#This Row],[Date ]])</f>
        <v>15</v>
      </c>
      <c r="D137" s="14">
        <f>Tableau1[[#This Row],[Colonne1]]-1</f>
        <v>14</v>
      </c>
      <c r="E137" s="14" t="str">
        <f>_xlfn.CONCAT("0",Tableau1[[#This Row],[N° Semaine]])</f>
        <v>014</v>
      </c>
      <c r="F137" s="14" t="str">
        <f>_xlfn.CONCAT("S",Tableau1[[#This Row],[Colonne2]])</f>
        <v>S014</v>
      </c>
      <c r="G137" t="str">
        <f>TEXT(Tableau1[[#This Row],[Date ]],"mmmm")</f>
        <v>avril</v>
      </c>
      <c r="H137" s="2"/>
      <c r="I137" s="2">
        <v>19.5</v>
      </c>
      <c r="J137" s="2"/>
      <c r="K137" s="17">
        <f t="shared" si="2"/>
        <v>126</v>
      </c>
      <c r="L137" t="str">
        <f>CONCATENATE(Tableau1[[#This Row],[Usine]],"-",Tableau1[[#This Row],[Semaine ]])</f>
        <v>D1-S014</v>
      </c>
    </row>
    <row r="138" spans="1:12" x14ac:dyDescent="0.3">
      <c r="A138" s="1" t="s">
        <v>8</v>
      </c>
      <c r="B138" s="15">
        <v>44655</v>
      </c>
      <c r="C138" s="14">
        <f>WEEKNUM(Tableau1[[#This Row],[Date ]])</f>
        <v>15</v>
      </c>
      <c r="D138" s="14">
        <f>Tableau1[[#This Row],[Colonne1]]-1</f>
        <v>14</v>
      </c>
      <c r="E138" s="14" t="str">
        <f>_xlfn.CONCAT("0",Tableau1[[#This Row],[N° Semaine]])</f>
        <v>014</v>
      </c>
      <c r="F138" s="14" t="str">
        <f>_xlfn.CONCAT("S",Tableau1[[#This Row],[Colonne2]])</f>
        <v>S014</v>
      </c>
      <c r="G138" t="str">
        <f>TEXT(Tableau1[[#This Row],[Date ]],"mmmm")</f>
        <v>avril</v>
      </c>
      <c r="H138" s="2">
        <v>22</v>
      </c>
      <c r="I138" s="2">
        <v>30</v>
      </c>
      <c r="J138" s="2">
        <v>54.5</v>
      </c>
      <c r="K138" s="17">
        <f t="shared" si="2"/>
        <v>128</v>
      </c>
      <c r="L138" t="str">
        <f>CONCATENATE(Tableau1[[#This Row],[Usine]],"-",Tableau1[[#This Row],[Semaine ]])</f>
        <v>Engrais-S014</v>
      </c>
    </row>
    <row r="139" spans="1:12" x14ac:dyDescent="0.3">
      <c r="A139" s="1" t="s">
        <v>9</v>
      </c>
      <c r="B139" s="15">
        <v>44655</v>
      </c>
      <c r="C139" s="14">
        <f>WEEKNUM(Tableau1[[#This Row],[Date ]])</f>
        <v>15</v>
      </c>
      <c r="D139" s="14">
        <f>Tableau1[[#This Row],[Colonne1]]-1</f>
        <v>14</v>
      </c>
      <c r="E139" s="14" t="str">
        <f>_xlfn.CONCAT("0",Tableau1[[#This Row],[N° Semaine]])</f>
        <v>014</v>
      </c>
      <c r="F139" s="14" t="str">
        <f>_xlfn.CONCAT("S",Tableau1[[#This Row],[Colonne2]])</f>
        <v>S014</v>
      </c>
      <c r="G139" t="str">
        <f>TEXT(Tableau1[[#This Row],[Date ]],"mmmm")</f>
        <v>avril</v>
      </c>
      <c r="H139" s="2">
        <v>20</v>
      </c>
      <c r="I139" s="2">
        <v>1.5</v>
      </c>
      <c r="J139" s="2"/>
      <c r="K139" s="17">
        <f t="shared" si="2"/>
        <v>717.5</v>
      </c>
      <c r="L139" t="str">
        <f>CONCATENATE(Tableau1[[#This Row],[Usine]],"-",Tableau1[[#This Row],[Semaine ]])</f>
        <v>Entretien-S014</v>
      </c>
    </row>
    <row r="140" spans="1:12" x14ac:dyDescent="0.3">
      <c r="A140" s="1" t="s">
        <v>10</v>
      </c>
      <c r="B140" s="15">
        <v>44655</v>
      </c>
      <c r="C140" s="14">
        <f>WEEKNUM(Tableau1[[#This Row],[Date ]])</f>
        <v>15</v>
      </c>
      <c r="D140" s="14">
        <f>Tableau1[[#This Row],[Colonne1]]-1</f>
        <v>14</v>
      </c>
      <c r="E140" s="14" t="str">
        <f>_xlfn.CONCAT("0",Tableau1[[#This Row],[N° Semaine]])</f>
        <v>014</v>
      </c>
      <c r="F140" s="14" t="str">
        <f>_xlfn.CONCAT("S",Tableau1[[#This Row],[Colonne2]])</f>
        <v>S014</v>
      </c>
      <c r="G140" t="str">
        <f>TEXT(Tableau1[[#This Row],[Date ]],"mmmm")</f>
        <v>avril</v>
      </c>
      <c r="H140" s="2">
        <v>86.25</v>
      </c>
      <c r="I140" s="2">
        <v>139.5</v>
      </c>
      <c r="J140" s="2">
        <v>470.25</v>
      </c>
      <c r="K140" s="17">
        <f t="shared" si="2"/>
        <v>903.5</v>
      </c>
      <c r="L140" t="str">
        <f>CONCATENATE(Tableau1[[#This Row],[Usine]],"-",Tableau1[[#This Row],[Semaine ]])</f>
        <v>P2O5-S014</v>
      </c>
    </row>
    <row r="141" spans="1:12" x14ac:dyDescent="0.3">
      <c r="A141" s="1" t="s">
        <v>11</v>
      </c>
      <c r="B141" s="15">
        <v>44655</v>
      </c>
      <c r="C141" s="14">
        <f>WEEKNUM(Tableau1[[#This Row],[Date ]])</f>
        <v>15</v>
      </c>
      <c r="D141" s="14">
        <f>Tableau1[[#This Row],[Colonne1]]-1</f>
        <v>14</v>
      </c>
      <c r="E141" s="14" t="str">
        <f>_xlfn.CONCAT("0",Tableau1[[#This Row],[N° Semaine]])</f>
        <v>014</v>
      </c>
      <c r="F141" s="14" t="str">
        <f>_xlfn.CONCAT("S",Tableau1[[#This Row],[Colonne2]])</f>
        <v>S014</v>
      </c>
      <c r="G141" t="str">
        <f>TEXT(Tableau1[[#This Row],[Date ]],"mmmm")</f>
        <v>avril</v>
      </c>
      <c r="H141" s="2">
        <v>19.5</v>
      </c>
      <c r="I141" s="2">
        <v>165</v>
      </c>
      <c r="J141" s="2">
        <v>23</v>
      </c>
      <c r="K141" s="17">
        <f t="shared" si="2"/>
        <v>471</v>
      </c>
      <c r="L141" t="str">
        <f>CONCATENATE(Tableau1[[#This Row],[Usine]],"-",Tableau1[[#This Row],[Semaine ]])</f>
        <v>PTA-S014</v>
      </c>
    </row>
    <row r="142" spans="1:12" x14ac:dyDescent="0.3">
      <c r="A142" s="1" t="s">
        <v>12</v>
      </c>
      <c r="B142" s="15">
        <v>44655</v>
      </c>
      <c r="C142" s="14">
        <f>WEEKNUM(Tableau1[[#This Row],[Date ]])</f>
        <v>15</v>
      </c>
      <c r="D142" s="14">
        <f>Tableau1[[#This Row],[Colonne1]]-1</f>
        <v>14</v>
      </c>
      <c r="E142" s="14" t="str">
        <f>_xlfn.CONCAT("0",Tableau1[[#This Row],[N° Semaine]])</f>
        <v>014</v>
      </c>
      <c r="F142" s="14" t="str">
        <f>_xlfn.CONCAT("S",Tableau1[[#This Row],[Colonne2]])</f>
        <v>S014</v>
      </c>
      <c r="G142" t="str">
        <f>TEXT(Tableau1[[#This Row],[Date ]],"mmmm")</f>
        <v>avril</v>
      </c>
      <c r="H142" s="2">
        <v>157.5</v>
      </c>
      <c r="I142" s="2">
        <v>72</v>
      </c>
      <c r="J142" s="2">
        <v>34</v>
      </c>
      <c r="K142" s="17">
        <f t="shared" si="2"/>
        <v>312.5</v>
      </c>
      <c r="L142" t="str">
        <f>CONCATENATE(Tableau1[[#This Row],[Usine]],"-",Tableau1[[#This Row],[Semaine ]])</f>
        <v>Soufre &amp; Energie - Sulfine-S014</v>
      </c>
    </row>
    <row r="143" spans="1:12" x14ac:dyDescent="0.3">
      <c r="A143" s="1" t="s">
        <v>13</v>
      </c>
      <c r="B143" s="15">
        <v>44655</v>
      </c>
      <c r="C143" s="14">
        <f>WEEKNUM(Tableau1[[#This Row],[Date ]])</f>
        <v>15</v>
      </c>
      <c r="D143" s="14">
        <f>Tableau1[[#This Row],[Colonne1]]-1</f>
        <v>14</v>
      </c>
      <c r="E143" s="14" t="str">
        <f>_xlfn.CONCAT("0",Tableau1[[#This Row],[N° Semaine]])</f>
        <v>014</v>
      </c>
      <c r="F143" s="14" t="str">
        <f>_xlfn.CONCAT("S",Tableau1[[#This Row],[Colonne2]])</f>
        <v>S014</v>
      </c>
      <c r="G143" t="str">
        <f>TEXT(Tableau1[[#This Row],[Date ]],"mmmm")</f>
        <v>avril</v>
      </c>
      <c r="H143" s="2"/>
      <c r="I143" s="2">
        <v>49</v>
      </c>
      <c r="J143" s="2"/>
      <c r="K143" s="17">
        <f t="shared" si="2"/>
        <v>177</v>
      </c>
      <c r="L143" t="str">
        <f>CONCATENATE(Tableau1[[#This Row],[Usine]],"-",Tableau1[[#This Row],[Semaine ]])</f>
        <v>Zéoline-S014</v>
      </c>
    </row>
    <row r="144" spans="1:12" x14ac:dyDescent="0.3">
      <c r="A144" s="1" t="s">
        <v>14</v>
      </c>
      <c r="B144" s="15">
        <v>44655</v>
      </c>
      <c r="C144" s="14">
        <f>WEEKNUM(Tableau1[[#This Row],[Date ]])</f>
        <v>15</v>
      </c>
      <c r="D144" s="14">
        <f>Tableau1[[#This Row],[Colonne1]]-1</f>
        <v>14</v>
      </c>
      <c r="E144" s="14" t="str">
        <f>_xlfn.CONCAT("0",Tableau1[[#This Row],[N° Semaine]])</f>
        <v>014</v>
      </c>
      <c r="F144" s="14" t="str">
        <f>_xlfn.CONCAT("S",Tableau1[[#This Row],[Colonne2]])</f>
        <v>S014</v>
      </c>
      <c r="G144" t="str">
        <f>TEXT(Tableau1[[#This Row],[Date ]],"mmmm")</f>
        <v>avril</v>
      </c>
      <c r="H144" s="2">
        <v>58.5</v>
      </c>
      <c r="I144" s="2">
        <v>52</v>
      </c>
      <c r="J144" s="2">
        <v>17.5</v>
      </c>
      <c r="K144" s="17">
        <f t="shared" si="2"/>
        <v>178</v>
      </c>
      <c r="L144" t="str">
        <f>CONCATENATE(Tableau1[[#This Row],[Usine]],"-",Tableau1[[#This Row],[Semaine ]])</f>
        <v>#N/A-S014</v>
      </c>
    </row>
    <row r="145" spans="1:12" x14ac:dyDescent="0.3">
      <c r="A145" s="1" t="s">
        <v>5</v>
      </c>
      <c r="B145" s="15">
        <v>44662</v>
      </c>
      <c r="C145" s="14">
        <f>WEEKNUM(Tableau1[[#This Row],[Date ]])</f>
        <v>16</v>
      </c>
      <c r="D145" s="14">
        <f>Tableau1[[#This Row],[Colonne1]]-1</f>
        <v>15</v>
      </c>
      <c r="E145" s="14" t="str">
        <f>_xlfn.CONCAT("0",Tableau1[[#This Row],[N° Semaine]])</f>
        <v>015</v>
      </c>
      <c r="F145" s="14" t="str">
        <f>_xlfn.CONCAT("S",Tableau1[[#This Row],[Colonne2]])</f>
        <v>S015</v>
      </c>
      <c r="G145" t="str">
        <f>TEXT(Tableau1[[#This Row],[Date ]],"mmmm")</f>
        <v>avril</v>
      </c>
      <c r="H145" s="2">
        <v>25</v>
      </c>
      <c r="I145" s="2">
        <v>3</v>
      </c>
      <c r="J145" s="2">
        <v>22</v>
      </c>
      <c r="K145" s="17">
        <f t="shared" si="2"/>
        <v>82.3</v>
      </c>
      <c r="L145" t="str">
        <f>CONCATENATE(Tableau1[[#This Row],[Usine]],"-",Tableau1[[#This Row],[Semaine ]])</f>
        <v>Autres-S015</v>
      </c>
    </row>
    <row r="146" spans="1:12" x14ac:dyDescent="0.3">
      <c r="A146" s="1" t="s">
        <v>6</v>
      </c>
      <c r="B146" s="15">
        <v>44662</v>
      </c>
      <c r="C146" s="14">
        <f>WEEKNUM(Tableau1[[#This Row],[Date ]])</f>
        <v>16</v>
      </c>
      <c r="D146" s="14">
        <f>Tableau1[[#This Row],[Colonne1]]-1</f>
        <v>15</v>
      </c>
      <c r="E146" s="14" t="str">
        <f>_xlfn.CONCAT("0",Tableau1[[#This Row],[N° Semaine]])</f>
        <v>015</v>
      </c>
      <c r="F146" s="14" t="str">
        <f>_xlfn.CONCAT("S",Tableau1[[#This Row],[Colonne2]])</f>
        <v>S015</v>
      </c>
      <c r="G146" t="str">
        <f>TEXT(Tableau1[[#This Row],[Date ]],"mmmm")</f>
        <v>avril</v>
      </c>
      <c r="H146" s="2">
        <v>8</v>
      </c>
      <c r="I146" s="2">
        <v>19.3</v>
      </c>
      <c r="J146" s="2">
        <v>5</v>
      </c>
      <c r="K146" s="17">
        <f t="shared" si="2"/>
        <v>40.299999999999997</v>
      </c>
      <c r="L146" t="str">
        <f>CONCATENATE(Tableau1[[#This Row],[Usine]],"-",Tableau1[[#This Row],[Semaine ]])</f>
        <v>Biamonique-S015</v>
      </c>
    </row>
    <row r="147" spans="1:12" x14ac:dyDescent="0.3">
      <c r="A147" s="1" t="s">
        <v>7</v>
      </c>
      <c r="B147" s="15">
        <v>44662</v>
      </c>
      <c r="C147" s="14">
        <f>WEEKNUM(Tableau1[[#This Row],[Date ]])</f>
        <v>16</v>
      </c>
      <c r="D147" s="14">
        <f>Tableau1[[#This Row],[Colonne1]]-1</f>
        <v>15</v>
      </c>
      <c r="E147" s="14" t="str">
        <f>_xlfn.CONCAT("0",Tableau1[[#This Row],[N° Semaine]])</f>
        <v>015</v>
      </c>
      <c r="F147" s="14" t="str">
        <f>_xlfn.CONCAT("S",Tableau1[[#This Row],[Colonne2]])</f>
        <v>S015</v>
      </c>
      <c r="G147" t="str">
        <f>TEXT(Tableau1[[#This Row],[Date ]],"mmmm")</f>
        <v>avril</v>
      </c>
      <c r="H147" s="2"/>
      <c r="I147" s="2">
        <v>8</v>
      </c>
      <c r="J147" s="2"/>
      <c r="K147" s="17">
        <f t="shared" si="2"/>
        <v>164.25</v>
      </c>
      <c r="L147" t="str">
        <f>CONCATENATE(Tableau1[[#This Row],[Usine]],"-",Tableau1[[#This Row],[Semaine ]])</f>
        <v>D1-S015</v>
      </c>
    </row>
    <row r="148" spans="1:12" x14ac:dyDescent="0.3">
      <c r="A148" s="1" t="s">
        <v>8</v>
      </c>
      <c r="B148" s="15">
        <v>44662</v>
      </c>
      <c r="C148" s="14">
        <f>WEEKNUM(Tableau1[[#This Row],[Date ]])</f>
        <v>16</v>
      </c>
      <c r="D148" s="14">
        <f>Tableau1[[#This Row],[Colonne1]]-1</f>
        <v>15</v>
      </c>
      <c r="E148" s="14" t="str">
        <f>_xlfn.CONCAT("0",Tableau1[[#This Row],[N° Semaine]])</f>
        <v>015</v>
      </c>
      <c r="F148" s="14" t="str">
        <f>_xlfn.CONCAT("S",Tableau1[[#This Row],[Colonne2]])</f>
        <v>S015</v>
      </c>
      <c r="G148" t="str">
        <f>TEXT(Tableau1[[#This Row],[Date ]],"mmmm")</f>
        <v>avril</v>
      </c>
      <c r="H148" s="2">
        <v>12.25</v>
      </c>
      <c r="I148" s="2">
        <v>73.5</v>
      </c>
      <c r="J148" s="2">
        <v>70.5</v>
      </c>
      <c r="K148" s="17">
        <f t="shared" si="2"/>
        <v>167.25</v>
      </c>
      <c r="L148" t="str">
        <f>CONCATENATE(Tableau1[[#This Row],[Usine]],"-",Tableau1[[#This Row],[Semaine ]])</f>
        <v>Engrais-S015</v>
      </c>
    </row>
    <row r="149" spans="1:12" x14ac:dyDescent="0.3">
      <c r="A149" s="1" t="s">
        <v>9</v>
      </c>
      <c r="B149" s="15">
        <v>44662</v>
      </c>
      <c r="C149" s="14">
        <f>WEEKNUM(Tableau1[[#This Row],[Date ]])</f>
        <v>16</v>
      </c>
      <c r="D149" s="14">
        <f>Tableau1[[#This Row],[Colonne1]]-1</f>
        <v>15</v>
      </c>
      <c r="E149" s="14" t="str">
        <f>_xlfn.CONCAT("0",Tableau1[[#This Row],[N° Semaine]])</f>
        <v>015</v>
      </c>
      <c r="F149" s="14" t="str">
        <f>_xlfn.CONCAT("S",Tableau1[[#This Row],[Colonne2]])</f>
        <v>S015</v>
      </c>
      <c r="G149" t="str">
        <f>TEXT(Tableau1[[#This Row],[Date ]],"mmmm")</f>
        <v>avril</v>
      </c>
      <c r="H149" s="2">
        <v>7</v>
      </c>
      <c r="I149" s="2"/>
      <c r="J149" s="2">
        <v>4</v>
      </c>
      <c r="K149" s="17">
        <f t="shared" si="2"/>
        <v>802</v>
      </c>
      <c r="L149" t="str">
        <f>CONCATENATE(Tableau1[[#This Row],[Usine]],"-",Tableau1[[#This Row],[Semaine ]])</f>
        <v>Entretien-S015</v>
      </c>
    </row>
    <row r="150" spans="1:12" x14ac:dyDescent="0.3">
      <c r="A150" s="1" t="s">
        <v>10</v>
      </c>
      <c r="B150" s="15">
        <v>44662</v>
      </c>
      <c r="C150" s="14">
        <f>WEEKNUM(Tableau1[[#This Row],[Date ]])</f>
        <v>16</v>
      </c>
      <c r="D150" s="14">
        <f>Tableau1[[#This Row],[Colonne1]]-1</f>
        <v>15</v>
      </c>
      <c r="E150" s="14" t="str">
        <f>_xlfn.CONCAT("0",Tableau1[[#This Row],[N° Semaine]])</f>
        <v>015</v>
      </c>
      <c r="F150" s="14" t="str">
        <f>_xlfn.CONCAT("S",Tableau1[[#This Row],[Colonne2]])</f>
        <v>S015</v>
      </c>
      <c r="G150" t="str">
        <f>TEXT(Tableau1[[#This Row],[Date ]],"mmmm")</f>
        <v>avril</v>
      </c>
      <c r="H150" s="2">
        <v>137.5</v>
      </c>
      <c r="I150" s="2">
        <v>194.75</v>
      </c>
      <c r="J150" s="2">
        <v>458.75</v>
      </c>
      <c r="K150" s="17">
        <f t="shared" si="2"/>
        <v>971.5</v>
      </c>
      <c r="L150" t="str">
        <f>CONCATENATE(Tableau1[[#This Row],[Usine]],"-",Tableau1[[#This Row],[Semaine ]])</f>
        <v>P2O5-S015</v>
      </c>
    </row>
    <row r="151" spans="1:12" x14ac:dyDescent="0.3">
      <c r="A151" s="1" t="s">
        <v>11</v>
      </c>
      <c r="B151" s="15">
        <v>44662</v>
      </c>
      <c r="C151" s="14">
        <f>WEEKNUM(Tableau1[[#This Row],[Date ]])</f>
        <v>16</v>
      </c>
      <c r="D151" s="14">
        <f>Tableau1[[#This Row],[Colonne1]]-1</f>
        <v>15</v>
      </c>
      <c r="E151" s="14" t="str">
        <f>_xlfn.CONCAT("0",Tableau1[[#This Row],[N° Semaine]])</f>
        <v>015</v>
      </c>
      <c r="F151" s="14" t="str">
        <f>_xlfn.CONCAT("S",Tableau1[[#This Row],[Colonne2]])</f>
        <v>S015</v>
      </c>
      <c r="G151" t="str">
        <f>TEXT(Tableau1[[#This Row],[Date ]],"mmmm")</f>
        <v>avril</v>
      </c>
      <c r="H151" s="2">
        <v>6</v>
      </c>
      <c r="I151" s="2">
        <v>120</v>
      </c>
      <c r="J151" s="2">
        <v>54.5</v>
      </c>
      <c r="K151" s="17">
        <f t="shared" si="2"/>
        <v>472</v>
      </c>
      <c r="L151" t="str">
        <f>CONCATENATE(Tableau1[[#This Row],[Usine]],"-",Tableau1[[#This Row],[Semaine ]])</f>
        <v>PTA-S015</v>
      </c>
    </row>
    <row r="152" spans="1:12" x14ac:dyDescent="0.3">
      <c r="A152" s="1" t="s">
        <v>12</v>
      </c>
      <c r="B152" s="15">
        <v>44662</v>
      </c>
      <c r="C152" s="14">
        <f>WEEKNUM(Tableau1[[#This Row],[Date ]])</f>
        <v>16</v>
      </c>
      <c r="D152" s="14">
        <f>Tableau1[[#This Row],[Colonne1]]-1</f>
        <v>15</v>
      </c>
      <c r="E152" s="14" t="str">
        <f>_xlfn.CONCAT("0",Tableau1[[#This Row],[N° Semaine]])</f>
        <v>015</v>
      </c>
      <c r="F152" s="14" t="str">
        <f>_xlfn.CONCAT("S",Tableau1[[#This Row],[Colonne2]])</f>
        <v>S015</v>
      </c>
      <c r="G152" t="str">
        <f>TEXT(Tableau1[[#This Row],[Date ]],"mmmm")</f>
        <v>avril</v>
      </c>
      <c r="H152" s="2">
        <v>14</v>
      </c>
      <c r="I152" s="2">
        <v>248</v>
      </c>
      <c r="J152" s="2">
        <v>29.5</v>
      </c>
      <c r="K152" s="17">
        <f t="shared" si="2"/>
        <v>301.5</v>
      </c>
      <c r="L152" t="str">
        <f>CONCATENATE(Tableau1[[#This Row],[Usine]],"-",Tableau1[[#This Row],[Semaine ]])</f>
        <v>Soufre &amp; Energie - Sulfine-S015</v>
      </c>
    </row>
    <row r="153" spans="1:12" x14ac:dyDescent="0.3">
      <c r="A153" s="1" t="s">
        <v>13</v>
      </c>
      <c r="B153" s="15">
        <v>44662</v>
      </c>
      <c r="C153" s="14">
        <f>WEEKNUM(Tableau1[[#This Row],[Date ]])</f>
        <v>16</v>
      </c>
      <c r="D153" s="14">
        <f>Tableau1[[#This Row],[Colonne1]]-1</f>
        <v>15</v>
      </c>
      <c r="E153" s="14" t="str">
        <f>_xlfn.CONCAT("0",Tableau1[[#This Row],[N° Semaine]])</f>
        <v>015</v>
      </c>
      <c r="F153" s="14" t="str">
        <f>_xlfn.CONCAT("S",Tableau1[[#This Row],[Colonne2]])</f>
        <v>S015</v>
      </c>
      <c r="G153" t="str">
        <f>TEXT(Tableau1[[#This Row],[Date ]],"mmmm")</f>
        <v>avril</v>
      </c>
      <c r="H153" s="2">
        <v>4</v>
      </c>
      <c r="I153" s="2">
        <v>6</v>
      </c>
      <c r="J153" s="2"/>
      <c r="K153" s="17">
        <f t="shared" si="2"/>
        <v>102.5</v>
      </c>
      <c r="L153" t="str">
        <f>CONCATENATE(Tableau1[[#This Row],[Usine]],"-",Tableau1[[#This Row],[Semaine ]])</f>
        <v>Zéoline-S015</v>
      </c>
    </row>
    <row r="154" spans="1:12" x14ac:dyDescent="0.3">
      <c r="A154" s="1" t="s">
        <v>14</v>
      </c>
      <c r="B154" s="15">
        <v>44662</v>
      </c>
      <c r="C154" s="14">
        <f>WEEKNUM(Tableau1[[#This Row],[Date ]])</f>
        <v>16</v>
      </c>
      <c r="D154" s="14">
        <f>Tableau1[[#This Row],[Colonne1]]-1</f>
        <v>15</v>
      </c>
      <c r="E154" s="14" t="str">
        <f>_xlfn.CONCAT("0",Tableau1[[#This Row],[N° Semaine]])</f>
        <v>015</v>
      </c>
      <c r="F154" s="14" t="str">
        <f>_xlfn.CONCAT("S",Tableau1[[#This Row],[Colonne2]])</f>
        <v>S015</v>
      </c>
      <c r="G154" t="str">
        <f>TEXT(Tableau1[[#This Row],[Date ]],"mmmm")</f>
        <v>avril</v>
      </c>
      <c r="H154" s="2">
        <v>12</v>
      </c>
      <c r="I154" s="2">
        <v>72</v>
      </c>
      <c r="J154" s="2">
        <v>8.5</v>
      </c>
      <c r="K154" s="17">
        <f t="shared" si="2"/>
        <v>96.5</v>
      </c>
      <c r="L154" t="str">
        <f>CONCATENATE(Tableau1[[#This Row],[Usine]],"-",Tableau1[[#This Row],[Semaine ]])</f>
        <v>#N/A-S015</v>
      </c>
    </row>
    <row r="155" spans="1:12" x14ac:dyDescent="0.3">
      <c r="A155" s="1" t="s">
        <v>5</v>
      </c>
      <c r="B155" s="15">
        <v>44669</v>
      </c>
      <c r="C155" s="14">
        <f>WEEKNUM(Tableau1[[#This Row],[Date ]])</f>
        <v>17</v>
      </c>
      <c r="D155" s="14">
        <f>Tableau1[[#This Row],[Colonne1]]-1</f>
        <v>16</v>
      </c>
      <c r="E155" s="14" t="str">
        <f>_xlfn.CONCAT("0",Tableau1[[#This Row],[N° Semaine]])</f>
        <v>016</v>
      </c>
      <c r="F155" s="14" t="str">
        <f>_xlfn.CONCAT("S",Tableau1[[#This Row],[Colonne2]])</f>
        <v>S016</v>
      </c>
      <c r="G155" t="str">
        <f>TEXT(Tableau1[[#This Row],[Date ]],"mmmm")</f>
        <v>avril</v>
      </c>
      <c r="H155" s="2"/>
      <c r="I155" s="2"/>
      <c r="J155" s="2">
        <v>4</v>
      </c>
      <c r="K155" s="17">
        <f t="shared" si="2"/>
        <v>22</v>
      </c>
      <c r="L155" t="str">
        <f>CONCATENATE(Tableau1[[#This Row],[Usine]],"-",Tableau1[[#This Row],[Semaine ]])</f>
        <v>Autres-S016</v>
      </c>
    </row>
    <row r="156" spans="1:12" x14ac:dyDescent="0.3">
      <c r="A156" s="1" t="s">
        <v>6</v>
      </c>
      <c r="B156" s="15">
        <v>44669</v>
      </c>
      <c r="C156" s="14">
        <f>WEEKNUM(Tableau1[[#This Row],[Date ]])</f>
        <v>17</v>
      </c>
      <c r="D156" s="14">
        <f>Tableau1[[#This Row],[Colonne1]]-1</f>
        <v>16</v>
      </c>
      <c r="E156" s="14" t="str">
        <f>_xlfn.CONCAT("0",Tableau1[[#This Row],[N° Semaine]])</f>
        <v>016</v>
      </c>
      <c r="F156" s="14" t="str">
        <f>_xlfn.CONCAT("S",Tableau1[[#This Row],[Colonne2]])</f>
        <v>S016</v>
      </c>
      <c r="G156" t="str">
        <f>TEXT(Tableau1[[#This Row],[Date ]],"mmmm")</f>
        <v>avril</v>
      </c>
      <c r="H156" s="2">
        <v>4</v>
      </c>
      <c r="I156" s="2">
        <v>1.5</v>
      </c>
      <c r="J156" s="2">
        <v>12.5</v>
      </c>
      <c r="K156" s="17">
        <f t="shared" si="2"/>
        <v>22</v>
      </c>
      <c r="L156" t="str">
        <f>CONCATENATE(Tableau1[[#This Row],[Usine]],"-",Tableau1[[#This Row],[Semaine ]])</f>
        <v>Biamonique-S016</v>
      </c>
    </row>
    <row r="157" spans="1:12" x14ac:dyDescent="0.3">
      <c r="A157" s="1" t="s">
        <v>7</v>
      </c>
      <c r="B157" s="15">
        <v>44669</v>
      </c>
      <c r="C157" s="14">
        <f>WEEKNUM(Tableau1[[#This Row],[Date ]])</f>
        <v>17</v>
      </c>
      <c r="D157" s="14">
        <f>Tableau1[[#This Row],[Colonne1]]-1</f>
        <v>16</v>
      </c>
      <c r="E157" s="14" t="str">
        <f>_xlfn.CONCAT("0",Tableau1[[#This Row],[N° Semaine]])</f>
        <v>016</v>
      </c>
      <c r="F157" s="14" t="str">
        <f>_xlfn.CONCAT("S",Tableau1[[#This Row],[Colonne2]])</f>
        <v>S016</v>
      </c>
      <c r="G157" t="str">
        <f>TEXT(Tableau1[[#This Row],[Date ]],"mmmm")</f>
        <v>avril</v>
      </c>
      <c r="H157" s="2"/>
      <c r="I157" s="2">
        <v>4</v>
      </c>
      <c r="J157" s="2"/>
      <c r="K157" s="17">
        <f t="shared" si="2"/>
        <v>51</v>
      </c>
      <c r="L157" t="str">
        <f>CONCATENATE(Tableau1[[#This Row],[Usine]],"-",Tableau1[[#This Row],[Semaine ]])</f>
        <v>D1-S016</v>
      </c>
    </row>
    <row r="158" spans="1:12" x14ac:dyDescent="0.3">
      <c r="A158" s="1" t="s">
        <v>8</v>
      </c>
      <c r="B158" s="15">
        <v>44669</v>
      </c>
      <c r="C158" s="14">
        <f>WEEKNUM(Tableau1[[#This Row],[Date ]])</f>
        <v>17</v>
      </c>
      <c r="D158" s="14">
        <f>Tableau1[[#This Row],[Colonne1]]-1</f>
        <v>16</v>
      </c>
      <c r="E158" s="14" t="str">
        <f>_xlfn.CONCAT("0",Tableau1[[#This Row],[N° Semaine]])</f>
        <v>016</v>
      </c>
      <c r="F158" s="14" t="str">
        <f>_xlfn.CONCAT("S",Tableau1[[#This Row],[Colonne2]])</f>
        <v>S016</v>
      </c>
      <c r="G158" t="str">
        <f>TEXT(Tableau1[[#This Row],[Date ]],"mmmm")</f>
        <v>avril</v>
      </c>
      <c r="H158" s="2">
        <v>11</v>
      </c>
      <c r="I158" s="2">
        <v>9.5</v>
      </c>
      <c r="J158" s="2">
        <v>26.5</v>
      </c>
      <c r="K158" s="17">
        <f t="shared" si="2"/>
        <v>62.5</v>
      </c>
      <c r="L158" t="str">
        <f>CONCATENATE(Tableau1[[#This Row],[Usine]],"-",Tableau1[[#This Row],[Semaine ]])</f>
        <v>Engrais-S016</v>
      </c>
    </row>
    <row r="159" spans="1:12" x14ac:dyDescent="0.3">
      <c r="A159" s="1" t="s">
        <v>9</v>
      </c>
      <c r="B159" s="15">
        <v>44669</v>
      </c>
      <c r="C159" s="14">
        <f>WEEKNUM(Tableau1[[#This Row],[Date ]])</f>
        <v>17</v>
      </c>
      <c r="D159" s="14">
        <f>Tableau1[[#This Row],[Colonne1]]-1</f>
        <v>16</v>
      </c>
      <c r="E159" s="14" t="str">
        <f>_xlfn.CONCAT("0",Tableau1[[#This Row],[N° Semaine]])</f>
        <v>016</v>
      </c>
      <c r="F159" s="14" t="str">
        <f>_xlfn.CONCAT("S",Tableau1[[#This Row],[Colonne2]])</f>
        <v>S016</v>
      </c>
      <c r="G159" t="str">
        <f>TEXT(Tableau1[[#This Row],[Date ]],"mmmm")</f>
        <v>avril</v>
      </c>
      <c r="H159" s="2">
        <v>4.5</v>
      </c>
      <c r="I159" s="2"/>
      <c r="J159" s="2">
        <v>11</v>
      </c>
      <c r="K159" s="17">
        <f t="shared" si="2"/>
        <v>474</v>
      </c>
      <c r="L159" t="str">
        <f>CONCATENATE(Tableau1[[#This Row],[Usine]],"-",Tableau1[[#This Row],[Semaine ]])</f>
        <v>Entretien-S016</v>
      </c>
    </row>
    <row r="160" spans="1:12" x14ac:dyDescent="0.3">
      <c r="A160" s="1" t="s">
        <v>10</v>
      </c>
      <c r="B160" s="15">
        <v>44669</v>
      </c>
      <c r="C160" s="14">
        <f>WEEKNUM(Tableau1[[#This Row],[Date ]])</f>
        <v>17</v>
      </c>
      <c r="D160" s="14">
        <f>Tableau1[[#This Row],[Colonne1]]-1</f>
        <v>16</v>
      </c>
      <c r="E160" s="14" t="str">
        <f>_xlfn.CONCAT("0",Tableau1[[#This Row],[N° Semaine]])</f>
        <v>016</v>
      </c>
      <c r="F160" s="14" t="str">
        <f>_xlfn.CONCAT("S",Tableau1[[#This Row],[Colonne2]])</f>
        <v>S016</v>
      </c>
      <c r="G160" t="str">
        <f>TEXT(Tableau1[[#This Row],[Date ]],"mmmm")</f>
        <v>avril</v>
      </c>
      <c r="H160" s="2">
        <v>32.5</v>
      </c>
      <c r="I160" s="2">
        <v>34</v>
      </c>
      <c r="J160" s="2">
        <v>392</v>
      </c>
      <c r="K160" s="17">
        <f t="shared" si="2"/>
        <v>543</v>
      </c>
      <c r="L160" t="str">
        <f>CONCATENATE(Tableau1[[#This Row],[Usine]],"-",Tableau1[[#This Row],[Semaine ]])</f>
        <v>P2O5-S016</v>
      </c>
    </row>
    <row r="161" spans="1:12" x14ac:dyDescent="0.3">
      <c r="A161" s="1" t="s">
        <v>11</v>
      </c>
      <c r="B161" s="15">
        <v>44669</v>
      </c>
      <c r="C161" s="14">
        <f>WEEKNUM(Tableau1[[#This Row],[Date ]])</f>
        <v>17</v>
      </c>
      <c r="D161" s="14">
        <f>Tableau1[[#This Row],[Colonne1]]-1</f>
        <v>16</v>
      </c>
      <c r="E161" s="14" t="str">
        <f>_xlfn.CONCAT("0",Tableau1[[#This Row],[N° Semaine]])</f>
        <v>016</v>
      </c>
      <c r="F161" s="14" t="str">
        <f>_xlfn.CONCAT("S",Tableau1[[#This Row],[Colonne2]])</f>
        <v>S016</v>
      </c>
      <c r="G161" t="str">
        <f>TEXT(Tableau1[[#This Row],[Date ]],"mmmm")</f>
        <v>avril</v>
      </c>
      <c r="H161" s="2"/>
      <c r="I161" s="2">
        <v>61.5</v>
      </c>
      <c r="J161" s="2">
        <v>23</v>
      </c>
      <c r="K161" s="17">
        <f t="shared" si="2"/>
        <v>88.5</v>
      </c>
      <c r="L161" t="str">
        <f>CONCATENATE(Tableau1[[#This Row],[Usine]],"-",Tableau1[[#This Row],[Semaine ]])</f>
        <v>PTA-S016</v>
      </c>
    </row>
    <row r="162" spans="1:12" x14ac:dyDescent="0.3">
      <c r="A162" s="1" t="s">
        <v>25</v>
      </c>
      <c r="B162" s="15">
        <v>44669</v>
      </c>
      <c r="C162" s="14">
        <f>WEEKNUM(Tableau1[[#This Row],[Date ]])</f>
        <v>17</v>
      </c>
      <c r="D162" s="14">
        <f>Tableau1[[#This Row],[Colonne1]]-1</f>
        <v>16</v>
      </c>
      <c r="E162" s="14" t="str">
        <f>_xlfn.CONCAT("0",Tableau1[[#This Row],[N° Semaine]])</f>
        <v>016</v>
      </c>
      <c r="F162" s="14" t="str">
        <f>_xlfn.CONCAT("S",Tableau1[[#This Row],[Colonne2]])</f>
        <v>S016</v>
      </c>
      <c r="G162" t="str">
        <f>TEXT(Tableau1[[#This Row],[Date ]],"mmmm")</f>
        <v>avril</v>
      </c>
      <c r="H162" s="2"/>
      <c r="I162" s="2">
        <v>4</v>
      </c>
      <c r="J162" s="2"/>
      <c r="K162" s="17">
        <f t="shared" si="2"/>
        <v>185.5</v>
      </c>
      <c r="L162" t="str">
        <f>CONCATENATE(Tableau1[[#This Row],[Usine]],"-",Tableau1[[#This Row],[Semaine ]])</f>
        <v>Silox-S016</v>
      </c>
    </row>
    <row r="163" spans="1:12" x14ac:dyDescent="0.3">
      <c r="A163" s="1" t="s">
        <v>12</v>
      </c>
      <c r="B163" s="15">
        <v>44669</v>
      </c>
      <c r="C163" s="14">
        <f>WEEKNUM(Tableau1[[#This Row],[Date ]])</f>
        <v>17</v>
      </c>
      <c r="D163" s="14">
        <f>Tableau1[[#This Row],[Colonne1]]-1</f>
        <v>16</v>
      </c>
      <c r="E163" s="14" t="str">
        <f>_xlfn.CONCAT("0",Tableau1[[#This Row],[N° Semaine]])</f>
        <v>016</v>
      </c>
      <c r="F163" s="14" t="str">
        <f>_xlfn.CONCAT("S",Tableau1[[#This Row],[Colonne2]])</f>
        <v>S016</v>
      </c>
      <c r="G163" t="str">
        <f>TEXT(Tableau1[[#This Row],[Date ]],"mmmm")</f>
        <v>avril</v>
      </c>
      <c r="H163" s="2">
        <v>77</v>
      </c>
      <c r="I163" s="2">
        <v>64.5</v>
      </c>
      <c r="J163" s="2">
        <v>40</v>
      </c>
      <c r="K163" s="17">
        <f t="shared" si="2"/>
        <v>223.5</v>
      </c>
      <c r="L163" t="str">
        <f>CONCATENATE(Tableau1[[#This Row],[Usine]],"-",Tableau1[[#This Row],[Semaine ]])</f>
        <v>Soufre &amp; Energie - Sulfine-S016</v>
      </c>
    </row>
    <row r="164" spans="1:12" x14ac:dyDescent="0.3">
      <c r="A164" s="1" t="s">
        <v>13</v>
      </c>
      <c r="B164" s="15">
        <v>44669</v>
      </c>
      <c r="C164" s="14">
        <f>WEEKNUM(Tableau1[[#This Row],[Date ]])</f>
        <v>17</v>
      </c>
      <c r="D164" s="14">
        <f>Tableau1[[#This Row],[Colonne1]]-1</f>
        <v>16</v>
      </c>
      <c r="E164" s="14" t="str">
        <f>_xlfn.CONCAT("0",Tableau1[[#This Row],[N° Semaine]])</f>
        <v>016</v>
      </c>
      <c r="F164" s="14" t="str">
        <f>_xlfn.CONCAT("S",Tableau1[[#This Row],[Colonne2]])</f>
        <v>S016</v>
      </c>
      <c r="G164" t="str">
        <f>TEXT(Tableau1[[#This Row],[Date ]],"mmmm")</f>
        <v>avril</v>
      </c>
      <c r="H164" s="2">
        <v>20</v>
      </c>
      <c r="I164" s="2">
        <v>7</v>
      </c>
      <c r="J164" s="2">
        <v>15</v>
      </c>
      <c r="K164" s="17">
        <f t="shared" si="2"/>
        <v>118.5</v>
      </c>
      <c r="L164" t="str">
        <f>CONCATENATE(Tableau1[[#This Row],[Usine]],"-",Tableau1[[#This Row],[Semaine ]])</f>
        <v>Zéoline-S016</v>
      </c>
    </row>
    <row r="165" spans="1:12" x14ac:dyDescent="0.3">
      <c r="A165" s="1" t="s">
        <v>14</v>
      </c>
      <c r="B165" s="15">
        <v>44669</v>
      </c>
      <c r="C165" s="14">
        <f>WEEKNUM(Tableau1[[#This Row],[Date ]])</f>
        <v>17</v>
      </c>
      <c r="D165" s="14">
        <f>Tableau1[[#This Row],[Colonne1]]-1</f>
        <v>16</v>
      </c>
      <c r="E165" s="14" t="str">
        <f>_xlfn.CONCAT("0",Tableau1[[#This Row],[N° Semaine]])</f>
        <v>016</v>
      </c>
      <c r="F165" s="14" t="str">
        <f>_xlfn.CONCAT("S",Tableau1[[#This Row],[Colonne2]])</f>
        <v>S016</v>
      </c>
      <c r="G165" t="str">
        <f>TEXT(Tableau1[[#This Row],[Date ]],"mmmm")</f>
        <v>avril</v>
      </c>
      <c r="H165" s="2">
        <v>27</v>
      </c>
      <c r="I165" s="2">
        <v>9</v>
      </c>
      <c r="J165" s="2">
        <v>40.5</v>
      </c>
      <c r="K165" s="17">
        <f t="shared" si="2"/>
        <v>104</v>
      </c>
      <c r="L165" t="str">
        <f>CONCATENATE(Tableau1[[#This Row],[Usine]],"-",Tableau1[[#This Row],[Semaine ]])</f>
        <v>#N/A-S016</v>
      </c>
    </row>
    <row r="166" spans="1:12" x14ac:dyDescent="0.3">
      <c r="A166" s="1" t="s">
        <v>5</v>
      </c>
      <c r="B166" s="15">
        <v>44676</v>
      </c>
      <c r="C166" s="14">
        <f>WEEKNUM(Tableau1[[#This Row],[Date ]])</f>
        <v>18</v>
      </c>
      <c r="D166" s="14">
        <f>Tableau1[[#This Row],[Colonne1]]-1</f>
        <v>17</v>
      </c>
      <c r="E166" s="14" t="str">
        <f>_xlfn.CONCAT("0",Tableau1[[#This Row],[N° Semaine]])</f>
        <v>017</v>
      </c>
      <c r="F166" s="14" t="str">
        <f>_xlfn.CONCAT("S",Tableau1[[#This Row],[Colonne2]])</f>
        <v>S017</v>
      </c>
      <c r="G166" t="str">
        <f>TEXT(Tableau1[[#This Row],[Date ]],"mmmm")</f>
        <v>avril</v>
      </c>
      <c r="H166" s="2">
        <v>9.5</v>
      </c>
      <c r="I166" s="2">
        <v>1.5</v>
      </c>
      <c r="J166" s="2">
        <v>16.5</v>
      </c>
      <c r="K166" s="17">
        <f t="shared" si="2"/>
        <v>91</v>
      </c>
      <c r="L166" t="str">
        <f>CONCATENATE(Tableau1[[#This Row],[Usine]],"-",Tableau1[[#This Row],[Semaine ]])</f>
        <v>Autres-S017</v>
      </c>
    </row>
    <row r="167" spans="1:12" x14ac:dyDescent="0.3">
      <c r="A167" s="1" t="s">
        <v>6</v>
      </c>
      <c r="B167" s="15">
        <v>44676</v>
      </c>
      <c r="C167" s="14">
        <f>WEEKNUM(Tableau1[[#This Row],[Date ]])</f>
        <v>18</v>
      </c>
      <c r="D167" s="14">
        <f>Tableau1[[#This Row],[Colonne1]]-1</f>
        <v>17</v>
      </c>
      <c r="E167" s="14" t="str">
        <f>_xlfn.CONCAT("0",Tableau1[[#This Row],[N° Semaine]])</f>
        <v>017</v>
      </c>
      <c r="F167" s="14" t="str">
        <f>_xlfn.CONCAT("S",Tableau1[[#This Row],[Colonne2]])</f>
        <v>S017</v>
      </c>
      <c r="G167" t="str">
        <f>TEXT(Tableau1[[#This Row],[Date ]],"mmmm")</f>
        <v>avril</v>
      </c>
      <c r="H167" s="2">
        <v>6</v>
      </c>
      <c r="I167" s="2">
        <v>16.5</v>
      </c>
      <c r="J167" s="2">
        <v>41</v>
      </c>
      <c r="K167" s="17">
        <f t="shared" si="2"/>
        <v>215</v>
      </c>
      <c r="L167" t="str">
        <f>CONCATENATE(Tableau1[[#This Row],[Usine]],"-",Tableau1[[#This Row],[Semaine ]])</f>
        <v>Biamonique-S017</v>
      </c>
    </row>
    <row r="168" spans="1:12" x14ac:dyDescent="0.3">
      <c r="A168" s="1" t="s">
        <v>7</v>
      </c>
      <c r="B168" s="15">
        <v>44676</v>
      </c>
      <c r="C168" s="14">
        <f>WEEKNUM(Tableau1[[#This Row],[Date ]])</f>
        <v>18</v>
      </c>
      <c r="D168" s="14">
        <f>Tableau1[[#This Row],[Colonne1]]-1</f>
        <v>17</v>
      </c>
      <c r="E168" s="14" t="str">
        <f>_xlfn.CONCAT("0",Tableau1[[#This Row],[N° Semaine]])</f>
        <v>017</v>
      </c>
      <c r="F168" s="14" t="str">
        <f>_xlfn.CONCAT("S",Tableau1[[#This Row],[Colonne2]])</f>
        <v>S017</v>
      </c>
      <c r="G168" t="str">
        <f>TEXT(Tableau1[[#This Row],[Date ]],"mmmm")</f>
        <v>avril</v>
      </c>
      <c r="H168" s="2">
        <v>63</v>
      </c>
      <c r="I168" s="2"/>
      <c r="J168" s="2">
        <v>88.5</v>
      </c>
      <c r="K168" s="17">
        <f t="shared" si="2"/>
        <v>264</v>
      </c>
      <c r="L168" t="str">
        <f>CONCATENATE(Tableau1[[#This Row],[Usine]],"-",Tableau1[[#This Row],[Semaine ]])</f>
        <v>D1-S017</v>
      </c>
    </row>
    <row r="169" spans="1:12" x14ac:dyDescent="0.3">
      <c r="A169" s="1" t="s">
        <v>8</v>
      </c>
      <c r="B169" s="15">
        <v>44676</v>
      </c>
      <c r="C169" s="14">
        <f>WEEKNUM(Tableau1[[#This Row],[Date ]])</f>
        <v>18</v>
      </c>
      <c r="D169" s="14">
        <f>Tableau1[[#This Row],[Colonne1]]-1</f>
        <v>17</v>
      </c>
      <c r="E169" s="14" t="str">
        <f>_xlfn.CONCAT("0",Tableau1[[#This Row],[N° Semaine]])</f>
        <v>017</v>
      </c>
      <c r="F169" s="14" t="str">
        <f>_xlfn.CONCAT("S",Tableau1[[#This Row],[Colonne2]])</f>
        <v>S017</v>
      </c>
      <c r="G169" t="str">
        <f>TEXT(Tableau1[[#This Row],[Date ]],"mmmm")</f>
        <v>avril</v>
      </c>
      <c r="H169" s="2">
        <v>34</v>
      </c>
      <c r="I169" s="2">
        <v>38.5</v>
      </c>
      <c r="J169" s="2">
        <v>40</v>
      </c>
      <c r="K169" s="17">
        <f t="shared" si="2"/>
        <v>139</v>
      </c>
      <c r="L169" t="str">
        <f>CONCATENATE(Tableau1[[#This Row],[Usine]],"-",Tableau1[[#This Row],[Semaine ]])</f>
        <v>Engrais-S017</v>
      </c>
    </row>
    <row r="170" spans="1:12" x14ac:dyDescent="0.3">
      <c r="A170" s="1" t="s">
        <v>9</v>
      </c>
      <c r="B170" s="15">
        <v>44676</v>
      </c>
      <c r="C170" s="14">
        <f>WEEKNUM(Tableau1[[#This Row],[Date ]])</f>
        <v>18</v>
      </c>
      <c r="D170" s="14">
        <f>Tableau1[[#This Row],[Colonne1]]-1</f>
        <v>17</v>
      </c>
      <c r="E170" s="14" t="str">
        <f>_xlfn.CONCAT("0",Tableau1[[#This Row],[N° Semaine]])</f>
        <v>017</v>
      </c>
      <c r="F170" s="14" t="str">
        <f>_xlfn.CONCAT("S",Tableau1[[#This Row],[Colonne2]])</f>
        <v>S017</v>
      </c>
      <c r="G170" t="str">
        <f>TEXT(Tableau1[[#This Row],[Date ]],"mmmm")</f>
        <v>avril</v>
      </c>
      <c r="H170" s="2">
        <v>5</v>
      </c>
      <c r="I170" s="2">
        <v>12.5</v>
      </c>
      <c r="J170" s="2">
        <v>9</v>
      </c>
      <c r="K170" s="17">
        <f t="shared" si="2"/>
        <v>30</v>
      </c>
      <c r="L170" t="str">
        <f>CONCATENATE(Tableau1[[#This Row],[Usine]],"-",Tableau1[[#This Row],[Semaine ]])</f>
        <v>Entretien-S017</v>
      </c>
    </row>
    <row r="171" spans="1:12" x14ac:dyDescent="0.3">
      <c r="A171" s="1" t="s">
        <v>17</v>
      </c>
      <c r="B171" s="15">
        <v>44676</v>
      </c>
      <c r="C171" s="14">
        <f>WEEKNUM(Tableau1[[#This Row],[Date ]])</f>
        <v>18</v>
      </c>
      <c r="D171" s="14">
        <f>Tableau1[[#This Row],[Colonne1]]-1</f>
        <v>17</v>
      </c>
      <c r="E171" s="14" t="str">
        <f>_xlfn.CONCAT("0",Tableau1[[#This Row],[N° Semaine]])</f>
        <v>017</v>
      </c>
      <c r="F171" s="14" t="str">
        <f>_xlfn.CONCAT("S",Tableau1[[#This Row],[Colonne2]])</f>
        <v>S017</v>
      </c>
      <c r="G171" t="str">
        <f>TEXT(Tableau1[[#This Row],[Date ]],"mmmm")</f>
        <v>avril</v>
      </c>
      <c r="H171" s="2"/>
      <c r="I171" s="2">
        <v>3.5</v>
      </c>
      <c r="J171" s="2"/>
      <c r="K171" s="17">
        <f t="shared" si="2"/>
        <v>674.75</v>
      </c>
      <c r="L171" t="str">
        <f>CONCATENATE(Tableau1[[#This Row],[Usine]],"-",Tableau1[[#This Row],[Semaine ]])</f>
        <v>Hydro-S017</v>
      </c>
    </row>
    <row r="172" spans="1:12" x14ac:dyDescent="0.3">
      <c r="A172" s="1" t="s">
        <v>10</v>
      </c>
      <c r="B172" s="15">
        <v>44676</v>
      </c>
      <c r="C172" s="14">
        <f>WEEKNUM(Tableau1[[#This Row],[Date ]])</f>
        <v>18</v>
      </c>
      <c r="D172" s="14">
        <f>Tableau1[[#This Row],[Colonne1]]-1</f>
        <v>17</v>
      </c>
      <c r="E172" s="14" t="str">
        <f>_xlfn.CONCAT("0",Tableau1[[#This Row],[N° Semaine]])</f>
        <v>017</v>
      </c>
      <c r="F172" s="14" t="str">
        <f>_xlfn.CONCAT("S",Tableau1[[#This Row],[Colonne2]])</f>
        <v>S017</v>
      </c>
      <c r="G172" t="str">
        <f>TEXT(Tableau1[[#This Row],[Date ]],"mmmm")</f>
        <v>avril</v>
      </c>
      <c r="H172" s="2">
        <v>135</v>
      </c>
      <c r="I172" s="2">
        <v>139.5</v>
      </c>
      <c r="J172" s="2">
        <v>396.75</v>
      </c>
      <c r="K172" s="17">
        <f t="shared" si="2"/>
        <v>885.25</v>
      </c>
      <c r="L172" t="str">
        <f>CONCATENATE(Tableau1[[#This Row],[Usine]],"-",Tableau1[[#This Row],[Semaine ]])</f>
        <v>P2O5-S017</v>
      </c>
    </row>
    <row r="173" spans="1:12" x14ac:dyDescent="0.3">
      <c r="A173" s="1" t="s">
        <v>11</v>
      </c>
      <c r="B173" s="15">
        <v>44676</v>
      </c>
      <c r="C173" s="14">
        <f>WEEKNUM(Tableau1[[#This Row],[Date ]])</f>
        <v>18</v>
      </c>
      <c r="D173" s="14">
        <f>Tableau1[[#This Row],[Colonne1]]-1</f>
        <v>17</v>
      </c>
      <c r="E173" s="14" t="str">
        <f>_xlfn.CONCAT("0",Tableau1[[#This Row],[N° Semaine]])</f>
        <v>017</v>
      </c>
      <c r="F173" s="14" t="str">
        <f>_xlfn.CONCAT("S",Tableau1[[#This Row],[Colonne2]])</f>
        <v>S017</v>
      </c>
      <c r="G173" t="str">
        <f>TEXT(Tableau1[[#This Row],[Date ]],"mmmm")</f>
        <v>avril</v>
      </c>
      <c r="H173" s="2">
        <v>78</v>
      </c>
      <c r="I173" s="2">
        <v>96.5</v>
      </c>
      <c r="J173" s="2">
        <v>39.5</v>
      </c>
      <c r="K173" s="17">
        <f t="shared" si="2"/>
        <v>515</v>
      </c>
      <c r="L173" t="str">
        <f>CONCATENATE(Tableau1[[#This Row],[Usine]],"-",Tableau1[[#This Row],[Semaine ]])</f>
        <v>PTA-S017</v>
      </c>
    </row>
    <row r="174" spans="1:12" x14ac:dyDescent="0.3">
      <c r="A174" s="1" t="s">
        <v>12</v>
      </c>
      <c r="B174" s="15">
        <v>44676</v>
      </c>
      <c r="C174" s="14">
        <f>WEEKNUM(Tableau1[[#This Row],[Date ]])</f>
        <v>18</v>
      </c>
      <c r="D174" s="14">
        <f>Tableau1[[#This Row],[Colonne1]]-1</f>
        <v>17</v>
      </c>
      <c r="E174" s="14" t="str">
        <f>_xlfn.CONCAT("0",Tableau1[[#This Row],[N° Semaine]])</f>
        <v>017</v>
      </c>
      <c r="F174" s="14" t="str">
        <f>_xlfn.CONCAT("S",Tableau1[[#This Row],[Colonne2]])</f>
        <v>S017</v>
      </c>
      <c r="G174" t="str">
        <f>TEXT(Tableau1[[#This Row],[Date ]],"mmmm")</f>
        <v>avril</v>
      </c>
      <c r="H174" s="2">
        <v>63</v>
      </c>
      <c r="I174" s="2">
        <v>167</v>
      </c>
      <c r="J174" s="2">
        <v>71</v>
      </c>
      <c r="K174" s="17">
        <f t="shared" si="2"/>
        <v>333</v>
      </c>
      <c r="L174" t="str">
        <f>CONCATENATE(Tableau1[[#This Row],[Usine]],"-",Tableau1[[#This Row],[Semaine ]])</f>
        <v>Soufre &amp; Energie - Sulfine-S017</v>
      </c>
    </row>
    <row r="175" spans="1:12" x14ac:dyDescent="0.3">
      <c r="A175" s="1" t="s">
        <v>13</v>
      </c>
      <c r="B175" s="15">
        <v>44676</v>
      </c>
      <c r="C175" s="14">
        <f>WEEKNUM(Tableau1[[#This Row],[Date ]])</f>
        <v>18</v>
      </c>
      <c r="D175" s="14">
        <f>Tableau1[[#This Row],[Colonne1]]-1</f>
        <v>17</v>
      </c>
      <c r="E175" s="14" t="str">
        <f>_xlfn.CONCAT("0",Tableau1[[#This Row],[N° Semaine]])</f>
        <v>017</v>
      </c>
      <c r="F175" s="14" t="str">
        <f>_xlfn.CONCAT("S",Tableau1[[#This Row],[Colonne2]])</f>
        <v>S017</v>
      </c>
      <c r="G175" t="str">
        <f>TEXT(Tableau1[[#This Row],[Date ]],"mmmm")</f>
        <v>avril</v>
      </c>
      <c r="H175" s="2">
        <v>4</v>
      </c>
      <c r="I175" s="2">
        <v>10.5</v>
      </c>
      <c r="J175" s="2">
        <v>17.5</v>
      </c>
      <c r="K175" s="17">
        <f t="shared" si="2"/>
        <v>132.5</v>
      </c>
      <c r="L175" t="str">
        <f>CONCATENATE(Tableau1[[#This Row],[Usine]],"-",Tableau1[[#This Row],[Semaine ]])</f>
        <v>Zéoline-S017</v>
      </c>
    </row>
    <row r="176" spans="1:12" x14ac:dyDescent="0.3">
      <c r="A176" s="1" t="s">
        <v>14</v>
      </c>
      <c r="B176" s="15">
        <v>44676</v>
      </c>
      <c r="C176" s="14">
        <f>WEEKNUM(Tableau1[[#This Row],[Date ]])</f>
        <v>18</v>
      </c>
      <c r="D176" s="14">
        <f>Tableau1[[#This Row],[Colonne1]]-1</f>
        <v>17</v>
      </c>
      <c r="E176" s="14" t="str">
        <f>_xlfn.CONCAT("0",Tableau1[[#This Row],[N° Semaine]])</f>
        <v>017</v>
      </c>
      <c r="F176" s="14" t="str">
        <f>_xlfn.CONCAT("S",Tableau1[[#This Row],[Colonne2]])</f>
        <v>S017</v>
      </c>
      <c r="G176" t="str">
        <f>TEXT(Tableau1[[#This Row],[Date ]],"mmmm")</f>
        <v>avril</v>
      </c>
      <c r="H176" s="2">
        <v>68</v>
      </c>
      <c r="I176" s="2">
        <v>10</v>
      </c>
      <c r="J176" s="2">
        <v>22.5</v>
      </c>
      <c r="K176" s="17">
        <f t="shared" si="2"/>
        <v>121</v>
      </c>
      <c r="L176" t="str">
        <f>CONCATENATE(Tableau1[[#This Row],[Usine]],"-",Tableau1[[#This Row],[Semaine ]])</f>
        <v>#N/A-S017</v>
      </c>
    </row>
    <row r="177" spans="1:12" x14ac:dyDescent="0.3">
      <c r="A177" s="1" t="s">
        <v>5</v>
      </c>
      <c r="B177" s="15">
        <v>44683</v>
      </c>
      <c r="C177" s="14">
        <f>WEEKNUM(Tableau1[[#This Row],[Date ]])</f>
        <v>19</v>
      </c>
      <c r="D177" s="14">
        <f>Tableau1[[#This Row],[Colonne1]]-1</f>
        <v>18</v>
      </c>
      <c r="E177" s="14" t="str">
        <f>_xlfn.CONCAT("0",Tableau1[[#This Row],[N° Semaine]])</f>
        <v>018</v>
      </c>
      <c r="F177" s="14" t="str">
        <f>_xlfn.CONCAT("S",Tableau1[[#This Row],[Colonne2]])</f>
        <v>S018</v>
      </c>
      <c r="G177" t="str">
        <f>TEXT(Tableau1[[#This Row],[Date ]],"mmmm")</f>
        <v>mai</v>
      </c>
      <c r="H177" s="2">
        <v>20.5</v>
      </c>
      <c r="I177" s="2"/>
      <c r="J177" s="2"/>
      <c r="K177" s="17">
        <f t="shared" si="2"/>
        <v>182.5</v>
      </c>
      <c r="L177" t="str">
        <f>CONCATENATE(Tableau1[[#This Row],[Usine]],"-",Tableau1[[#This Row],[Semaine ]])</f>
        <v>Autres-S018</v>
      </c>
    </row>
    <row r="178" spans="1:12" x14ac:dyDescent="0.3">
      <c r="A178" s="1" t="s">
        <v>6</v>
      </c>
      <c r="B178" s="15">
        <v>44683</v>
      </c>
      <c r="C178" s="14">
        <f>WEEKNUM(Tableau1[[#This Row],[Date ]])</f>
        <v>19</v>
      </c>
      <c r="D178" s="14">
        <f>Tableau1[[#This Row],[Colonne1]]-1</f>
        <v>18</v>
      </c>
      <c r="E178" s="14" t="str">
        <f>_xlfn.CONCAT("0",Tableau1[[#This Row],[N° Semaine]])</f>
        <v>018</v>
      </c>
      <c r="F178" s="14" t="str">
        <f>_xlfn.CONCAT("S",Tableau1[[#This Row],[Colonne2]])</f>
        <v>S018</v>
      </c>
      <c r="G178" t="str">
        <f>TEXT(Tableau1[[#This Row],[Date ]],"mmmm")</f>
        <v>mai</v>
      </c>
      <c r="H178" s="2">
        <v>24</v>
      </c>
      <c r="I178" s="2">
        <v>15.5</v>
      </c>
      <c r="J178" s="2">
        <v>122.5</v>
      </c>
      <c r="K178" s="17">
        <f t="shared" si="2"/>
        <v>169.5</v>
      </c>
      <c r="L178" t="str">
        <f>CONCATENATE(Tableau1[[#This Row],[Usine]],"-",Tableau1[[#This Row],[Semaine ]])</f>
        <v>Biamonique-S018</v>
      </c>
    </row>
    <row r="179" spans="1:12" x14ac:dyDescent="0.3">
      <c r="A179" s="1" t="s">
        <v>7</v>
      </c>
      <c r="B179" s="15">
        <v>44683</v>
      </c>
      <c r="C179" s="14">
        <f>WEEKNUM(Tableau1[[#This Row],[Date ]])</f>
        <v>19</v>
      </c>
      <c r="D179" s="14">
        <f>Tableau1[[#This Row],[Colonne1]]-1</f>
        <v>18</v>
      </c>
      <c r="E179" s="14" t="str">
        <f>_xlfn.CONCAT("0",Tableau1[[#This Row],[N° Semaine]])</f>
        <v>018</v>
      </c>
      <c r="F179" s="14" t="str">
        <f>_xlfn.CONCAT("S",Tableau1[[#This Row],[Colonne2]])</f>
        <v>S018</v>
      </c>
      <c r="G179" t="str">
        <f>TEXT(Tableau1[[#This Row],[Date ]],"mmmm")</f>
        <v>mai</v>
      </c>
      <c r="H179" s="2"/>
      <c r="I179" s="2">
        <v>7.5</v>
      </c>
      <c r="J179" s="2"/>
      <c r="K179" s="17">
        <f t="shared" si="2"/>
        <v>442.5</v>
      </c>
      <c r="L179" t="str">
        <f>CONCATENATE(Tableau1[[#This Row],[Usine]],"-",Tableau1[[#This Row],[Semaine ]])</f>
        <v>D1-S018</v>
      </c>
    </row>
    <row r="180" spans="1:12" x14ac:dyDescent="0.3">
      <c r="A180" s="1" t="s">
        <v>8</v>
      </c>
      <c r="B180" s="15">
        <v>44683</v>
      </c>
      <c r="C180" s="14">
        <f>WEEKNUM(Tableau1[[#This Row],[Date ]])</f>
        <v>19</v>
      </c>
      <c r="D180" s="14">
        <f>Tableau1[[#This Row],[Colonne1]]-1</f>
        <v>18</v>
      </c>
      <c r="E180" s="14" t="str">
        <f>_xlfn.CONCAT("0",Tableau1[[#This Row],[N° Semaine]])</f>
        <v>018</v>
      </c>
      <c r="F180" s="14" t="str">
        <f>_xlfn.CONCAT("S",Tableau1[[#This Row],[Colonne2]])</f>
        <v>S018</v>
      </c>
      <c r="G180" t="str">
        <f>TEXT(Tableau1[[#This Row],[Date ]],"mmmm")</f>
        <v>mai</v>
      </c>
      <c r="H180" s="2">
        <v>131.5</v>
      </c>
      <c r="I180" s="2">
        <v>16.5</v>
      </c>
      <c r="J180" s="2">
        <v>287</v>
      </c>
      <c r="K180" s="17">
        <f t="shared" si="2"/>
        <v>443</v>
      </c>
      <c r="L180" t="str">
        <f>CONCATENATE(Tableau1[[#This Row],[Usine]],"-",Tableau1[[#This Row],[Semaine ]])</f>
        <v>Engrais-S018</v>
      </c>
    </row>
    <row r="181" spans="1:12" x14ac:dyDescent="0.3">
      <c r="A181" s="1" t="s">
        <v>9</v>
      </c>
      <c r="B181" s="15">
        <v>44683</v>
      </c>
      <c r="C181" s="14">
        <f>WEEKNUM(Tableau1[[#This Row],[Date ]])</f>
        <v>19</v>
      </c>
      <c r="D181" s="14">
        <f>Tableau1[[#This Row],[Colonne1]]-1</f>
        <v>18</v>
      </c>
      <c r="E181" s="14" t="str">
        <f>_xlfn.CONCAT("0",Tableau1[[#This Row],[N° Semaine]])</f>
        <v>018</v>
      </c>
      <c r="F181" s="14" t="str">
        <f>_xlfn.CONCAT("S",Tableau1[[#This Row],[Colonne2]])</f>
        <v>S018</v>
      </c>
      <c r="G181" t="str">
        <f>TEXT(Tableau1[[#This Row],[Date ]],"mmmm")</f>
        <v>mai</v>
      </c>
      <c r="H181" s="2">
        <v>5.5</v>
      </c>
      <c r="I181" s="2"/>
      <c r="J181" s="2">
        <v>2.5</v>
      </c>
      <c r="K181" s="17">
        <f t="shared" si="2"/>
        <v>372.5</v>
      </c>
      <c r="L181" t="str">
        <f>CONCATENATE(Tableau1[[#This Row],[Usine]],"-",Tableau1[[#This Row],[Semaine ]])</f>
        <v>Entretien-S018</v>
      </c>
    </row>
    <row r="182" spans="1:12" x14ac:dyDescent="0.3">
      <c r="A182" s="1" t="s">
        <v>10</v>
      </c>
      <c r="B182" s="15">
        <v>44683</v>
      </c>
      <c r="C182" s="14">
        <f>WEEKNUM(Tableau1[[#This Row],[Date ]])</f>
        <v>19</v>
      </c>
      <c r="D182" s="14">
        <f>Tableau1[[#This Row],[Colonne1]]-1</f>
        <v>18</v>
      </c>
      <c r="E182" s="14" t="str">
        <f>_xlfn.CONCAT("0",Tableau1[[#This Row],[N° Semaine]])</f>
        <v>018</v>
      </c>
      <c r="F182" s="14" t="str">
        <f>_xlfn.CONCAT("S",Tableau1[[#This Row],[Colonne2]])</f>
        <v>S018</v>
      </c>
      <c r="G182" t="str">
        <f>TEXT(Tableau1[[#This Row],[Date ]],"mmmm")</f>
        <v>mai</v>
      </c>
      <c r="H182" s="2">
        <v>44</v>
      </c>
      <c r="I182" s="2">
        <v>55</v>
      </c>
      <c r="J182" s="2">
        <v>265.5</v>
      </c>
      <c r="K182" s="17">
        <f t="shared" si="2"/>
        <v>471</v>
      </c>
      <c r="L182" t="str">
        <f>CONCATENATE(Tableau1[[#This Row],[Usine]],"-",Tableau1[[#This Row],[Semaine ]])</f>
        <v>P2O5-S018</v>
      </c>
    </row>
    <row r="183" spans="1:12" x14ac:dyDescent="0.3">
      <c r="A183" s="1" t="s">
        <v>11</v>
      </c>
      <c r="B183" s="15">
        <v>44683</v>
      </c>
      <c r="C183" s="14">
        <f>WEEKNUM(Tableau1[[#This Row],[Date ]])</f>
        <v>19</v>
      </c>
      <c r="D183" s="14">
        <f>Tableau1[[#This Row],[Colonne1]]-1</f>
        <v>18</v>
      </c>
      <c r="E183" s="14" t="str">
        <f>_xlfn.CONCAT("0",Tableau1[[#This Row],[N° Semaine]])</f>
        <v>018</v>
      </c>
      <c r="F183" s="14" t="str">
        <f>_xlfn.CONCAT("S",Tableau1[[#This Row],[Colonne2]])</f>
        <v>S018</v>
      </c>
      <c r="G183" t="str">
        <f>TEXT(Tableau1[[#This Row],[Date ]],"mmmm")</f>
        <v>mai</v>
      </c>
      <c r="H183" s="2"/>
      <c r="I183" s="2">
        <v>98.5</v>
      </c>
      <c r="J183" s="2">
        <v>8</v>
      </c>
      <c r="K183" s="17">
        <f t="shared" si="2"/>
        <v>340.5</v>
      </c>
      <c r="L183" t="str">
        <f>CONCATENATE(Tableau1[[#This Row],[Usine]],"-",Tableau1[[#This Row],[Semaine ]])</f>
        <v>PTA-S018</v>
      </c>
    </row>
    <row r="184" spans="1:12" x14ac:dyDescent="0.3">
      <c r="A184" s="1" t="s">
        <v>12</v>
      </c>
      <c r="B184" s="15">
        <v>44683</v>
      </c>
      <c r="C184" s="14">
        <f>WEEKNUM(Tableau1[[#This Row],[Date ]])</f>
        <v>19</v>
      </c>
      <c r="D184" s="14">
        <f>Tableau1[[#This Row],[Colonne1]]-1</f>
        <v>18</v>
      </c>
      <c r="E184" s="14" t="str">
        <f>_xlfn.CONCAT("0",Tableau1[[#This Row],[N° Semaine]])</f>
        <v>018</v>
      </c>
      <c r="F184" s="14" t="str">
        <f>_xlfn.CONCAT("S",Tableau1[[#This Row],[Colonne2]])</f>
        <v>S018</v>
      </c>
      <c r="G184" t="str">
        <f>TEXT(Tableau1[[#This Row],[Date ]],"mmmm")</f>
        <v>mai</v>
      </c>
      <c r="H184" s="2">
        <v>71</v>
      </c>
      <c r="I184" s="2">
        <v>155</v>
      </c>
      <c r="J184" s="2">
        <v>8</v>
      </c>
      <c r="K184" s="17">
        <f t="shared" si="2"/>
        <v>241.5</v>
      </c>
      <c r="L184" t="str">
        <f>CONCATENATE(Tableau1[[#This Row],[Usine]],"-",Tableau1[[#This Row],[Semaine ]])</f>
        <v>Soufre &amp; Energie - Sulfine-S018</v>
      </c>
    </row>
    <row r="185" spans="1:12" x14ac:dyDescent="0.3">
      <c r="A185" s="1" t="s">
        <v>13</v>
      </c>
      <c r="B185" s="15">
        <v>44683</v>
      </c>
      <c r="C185" s="14">
        <f>WEEKNUM(Tableau1[[#This Row],[Date ]])</f>
        <v>19</v>
      </c>
      <c r="D185" s="14">
        <f>Tableau1[[#This Row],[Colonne1]]-1</f>
        <v>18</v>
      </c>
      <c r="E185" s="14" t="str">
        <f>_xlfn.CONCAT("0",Tableau1[[#This Row],[N° Semaine]])</f>
        <v>018</v>
      </c>
      <c r="F185" s="14" t="str">
        <f>_xlfn.CONCAT("S",Tableau1[[#This Row],[Colonne2]])</f>
        <v>S018</v>
      </c>
      <c r="G185" t="str">
        <f>TEXT(Tableau1[[#This Row],[Date ]],"mmmm")</f>
        <v>mai</v>
      </c>
      <c r="H185" s="2">
        <v>3.5</v>
      </c>
      <c r="I185" s="2"/>
      <c r="J185" s="2">
        <v>4</v>
      </c>
      <c r="K185" s="17">
        <f t="shared" si="2"/>
        <v>19.5</v>
      </c>
      <c r="L185" t="str">
        <f>CONCATENATE(Tableau1[[#This Row],[Usine]],"-",Tableau1[[#This Row],[Semaine ]])</f>
        <v>Zéoline-S018</v>
      </c>
    </row>
    <row r="186" spans="1:12" x14ac:dyDescent="0.3">
      <c r="A186" s="1" t="s">
        <v>14</v>
      </c>
      <c r="B186" s="15">
        <v>44683</v>
      </c>
      <c r="C186" s="14">
        <f>WEEKNUM(Tableau1[[#This Row],[Date ]])</f>
        <v>19</v>
      </c>
      <c r="D186" s="14">
        <f>Tableau1[[#This Row],[Colonne1]]-1</f>
        <v>18</v>
      </c>
      <c r="E186" s="14" t="str">
        <f>_xlfn.CONCAT("0",Tableau1[[#This Row],[N° Semaine]])</f>
        <v>018</v>
      </c>
      <c r="F186" s="14" t="str">
        <f>_xlfn.CONCAT("S",Tableau1[[#This Row],[Colonne2]])</f>
        <v>S018</v>
      </c>
      <c r="G186" t="str">
        <f>TEXT(Tableau1[[#This Row],[Date ]],"mmmm")</f>
        <v>mai</v>
      </c>
      <c r="H186" s="2">
        <v>6.5</v>
      </c>
      <c r="I186" s="2"/>
      <c r="J186" s="2">
        <v>5.5</v>
      </c>
      <c r="K186" s="17">
        <f t="shared" si="2"/>
        <v>94</v>
      </c>
      <c r="L186" t="str">
        <f>CONCATENATE(Tableau1[[#This Row],[Usine]],"-",Tableau1[[#This Row],[Semaine ]])</f>
        <v>#N/A-S018</v>
      </c>
    </row>
    <row r="187" spans="1:12" x14ac:dyDescent="0.3">
      <c r="A187" s="1" t="s">
        <v>5</v>
      </c>
      <c r="B187" s="15">
        <v>44690</v>
      </c>
      <c r="C187" s="14">
        <f>WEEKNUM(Tableau1[[#This Row],[Date ]])</f>
        <v>20</v>
      </c>
      <c r="D187" s="14">
        <f>Tableau1[[#This Row],[Colonne1]]-1</f>
        <v>19</v>
      </c>
      <c r="E187" s="14" t="str">
        <f>_xlfn.CONCAT("0",Tableau1[[#This Row],[N° Semaine]])</f>
        <v>019</v>
      </c>
      <c r="F187" s="14" t="str">
        <f>_xlfn.CONCAT("S",Tableau1[[#This Row],[Colonne2]])</f>
        <v>S019</v>
      </c>
      <c r="G187" t="str">
        <f>TEXT(Tableau1[[#This Row],[Date ]],"mmmm")</f>
        <v>mai</v>
      </c>
      <c r="H187" s="2">
        <v>3.5</v>
      </c>
      <c r="I187" s="2">
        <v>17</v>
      </c>
      <c r="J187" s="2">
        <v>61.5</v>
      </c>
      <c r="K187" s="17">
        <f t="shared" si="2"/>
        <v>112.5</v>
      </c>
      <c r="L187" t="str">
        <f>CONCATENATE(Tableau1[[#This Row],[Usine]],"-",Tableau1[[#This Row],[Semaine ]])</f>
        <v>Autres-S019</v>
      </c>
    </row>
    <row r="188" spans="1:12" x14ac:dyDescent="0.3">
      <c r="A188" s="1" t="s">
        <v>6</v>
      </c>
      <c r="B188" s="15">
        <v>44690</v>
      </c>
      <c r="C188" s="14">
        <f>WEEKNUM(Tableau1[[#This Row],[Date ]])</f>
        <v>20</v>
      </c>
      <c r="D188" s="14">
        <f>Tableau1[[#This Row],[Colonne1]]-1</f>
        <v>19</v>
      </c>
      <c r="E188" s="14" t="str">
        <f>_xlfn.CONCAT("0",Tableau1[[#This Row],[N° Semaine]])</f>
        <v>019</v>
      </c>
      <c r="F188" s="14" t="str">
        <f>_xlfn.CONCAT("S",Tableau1[[#This Row],[Colonne2]])</f>
        <v>S019</v>
      </c>
      <c r="G188" t="str">
        <f>TEXT(Tableau1[[#This Row],[Date ]],"mmmm")</f>
        <v>mai</v>
      </c>
      <c r="H188" s="2">
        <v>3.5</v>
      </c>
      <c r="I188" s="2">
        <v>27</v>
      </c>
      <c r="J188" s="2"/>
      <c r="K188" s="17">
        <f t="shared" si="2"/>
        <v>57.5</v>
      </c>
      <c r="L188" t="str">
        <f>CONCATENATE(Tableau1[[#This Row],[Usine]],"-",Tableau1[[#This Row],[Semaine ]])</f>
        <v>Biamonique-S019</v>
      </c>
    </row>
    <row r="189" spans="1:12" x14ac:dyDescent="0.3">
      <c r="A189" s="1" t="s">
        <v>7</v>
      </c>
      <c r="B189" s="15">
        <v>44690</v>
      </c>
      <c r="C189" s="14">
        <f>WEEKNUM(Tableau1[[#This Row],[Date ]])</f>
        <v>20</v>
      </c>
      <c r="D189" s="14">
        <f>Tableau1[[#This Row],[Colonne1]]-1</f>
        <v>19</v>
      </c>
      <c r="E189" s="14" t="str">
        <f>_xlfn.CONCAT("0",Tableau1[[#This Row],[N° Semaine]])</f>
        <v>019</v>
      </c>
      <c r="F189" s="14" t="str">
        <f>_xlfn.CONCAT("S",Tableau1[[#This Row],[Colonne2]])</f>
        <v>S019</v>
      </c>
      <c r="G189" t="str">
        <f>TEXT(Tableau1[[#This Row],[Date ]],"mmmm")</f>
        <v>mai</v>
      </c>
      <c r="H189" s="2"/>
      <c r="I189" s="2">
        <v>27</v>
      </c>
      <c r="J189" s="2"/>
      <c r="K189" s="17">
        <f t="shared" si="2"/>
        <v>90</v>
      </c>
      <c r="L189" t="str">
        <f>CONCATENATE(Tableau1[[#This Row],[Usine]],"-",Tableau1[[#This Row],[Semaine ]])</f>
        <v>D1-S019</v>
      </c>
    </row>
    <row r="190" spans="1:12" x14ac:dyDescent="0.3">
      <c r="A190" s="1" t="s">
        <v>8</v>
      </c>
      <c r="B190" s="15">
        <v>44690</v>
      </c>
      <c r="C190" s="14">
        <f>WEEKNUM(Tableau1[[#This Row],[Date ]])</f>
        <v>20</v>
      </c>
      <c r="D190" s="14">
        <f>Tableau1[[#This Row],[Colonne1]]-1</f>
        <v>19</v>
      </c>
      <c r="E190" s="14" t="str">
        <f>_xlfn.CONCAT("0",Tableau1[[#This Row],[N° Semaine]])</f>
        <v>019</v>
      </c>
      <c r="F190" s="14" t="str">
        <f>_xlfn.CONCAT("S",Tableau1[[#This Row],[Colonne2]])</f>
        <v>S019</v>
      </c>
      <c r="G190" t="str">
        <f>TEXT(Tableau1[[#This Row],[Date ]],"mmmm")</f>
        <v>mai</v>
      </c>
      <c r="H190" s="2">
        <v>10</v>
      </c>
      <c r="I190" s="2">
        <v>53</v>
      </c>
      <c r="J190" s="2"/>
      <c r="K190" s="17">
        <f t="shared" si="2"/>
        <v>104.5</v>
      </c>
      <c r="L190" t="str">
        <f>CONCATENATE(Tableau1[[#This Row],[Usine]],"-",Tableau1[[#This Row],[Semaine ]])</f>
        <v>Engrais-S019</v>
      </c>
    </row>
    <row r="191" spans="1:12" x14ac:dyDescent="0.3">
      <c r="A191" s="1" t="s">
        <v>9</v>
      </c>
      <c r="B191" s="15">
        <v>44690</v>
      </c>
      <c r="C191" s="14">
        <f>WEEKNUM(Tableau1[[#This Row],[Date ]])</f>
        <v>20</v>
      </c>
      <c r="D191" s="14">
        <f>Tableau1[[#This Row],[Colonne1]]-1</f>
        <v>19</v>
      </c>
      <c r="E191" s="14" t="str">
        <f>_xlfn.CONCAT("0",Tableau1[[#This Row],[N° Semaine]])</f>
        <v>019</v>
      </c>
      <c r="F191" s="14" t="str">
        <f>_xlfn.CONCAT("S",Tableau1[[#This Row],[Colonne2]])</f>
        <v>S019</v>
      </c>
      <c r="G191" t="str">
        <f>TEXT(Tableau1[[#This Row],[Date ]],"mmmm")</f>
        <v>mai</v>
      </c>
      <c r="H191" s="2">
        <v>38</v>
      </c>
      <c r="I191" s="2">
        <v>3.5</v>
      </c>
      <c r="J191" s="2"/>
      <c r="K191" s="17">
        <f t="shared" si="2"/>
        <v>688.25</v>
      </c>
      <c r="L191" t="str">
        <f>CONCATENATE(Tableau1[[#This Row],[Usine]],"-",Tableau1[[#This Row],[Semaine ]])</f>
        <v>Entretien-S019</v>
      </c>
    </row>
    <row r="192" spans="1:12" x14ac:dyDescent="0.3">
      <c r="A192" s="1" t="s">
        <v>10</v>
      </c>
      <c r="B192" s="15">
        <v>44690</v>
      </c>
      <c r="C192" s="14">
        <f>WEEKNUM(Tableau1[[#This Row],[Date ]])</f>
        <v>20</v>
      </c>
      <c r="D192" s="14">
        <f>Tableau1[[#This Row],[Colonne1]]-1</f>
        <v>19</v>
      </c>
      <c r="E192" s="14" t="str">
        <f>_xlfn.CONCAT("0",Tableau1[[#This Row],[N° Semaine]])</f>
        <v>019</v>
      </c>
      <c r="F192" s="14" t="str">
        <f>_xlfn.CONCAT("S",Tableau1[[#This Row],[Colonne2]])</f>
        <v>S019</v>
      </c>
      <c r="G192" t="str">
        <f>TEXT(Tableau1[[#This Row],[Date ]],"mmmm")</f>
        <v>mai</v>
      </c>
      <c r="H192" s="2">
        <v>69</v>
      </c>
      <c r="I192" s="2">
        <v>145</v>
      </c>
      <c r="J192" s="2">
        <v>432.75</v>
      </c>
      <c r="K192" s="17">
        <f t="shared" si="2"/>
        <v>837.75</v>
      </c>
      <c r="L192" t="str">
        <f>CONCATENATE(Tableau1[[#This Row],[Usine]],"-",Tableau1[[#This Row],[Semaine ]])</f>
        <v>P2O5-S019</v>
      </c>
    </row>
    <row r="193" spans="1:12" x14ac:dyDescent="0.3">
      <c r="A193" s="1" t="s">
        <v>11</v>
      </c>
      <c r="B193" s="15">
        <v>44690</v>
      </c>
      <c r="C193" s="14">
        <f>WEEKNUM(Tableau1[[#This Row],[Date ]])</f>
        <v>20</v>
      </c>
      <c r="D193" s="14">
        <f>Tableau1[[#This Row],[Colonne1]]-1</f>
        <v>19</v>
      </c>
      <c r="E193" s="14" t="str">
        <f>_xlfn.CONCAT("0",Tableau1[[#This Row],[N° Semaine]])</f>
        <v>019</v>
      </c>
      <c r="F193" s="14" t="str">
        <f>_xlfn.CONCAT("S",Tableau1[[#This Row],[Colonne2]])</f>
        <v>S019</v>
      </c>
      <c r="G193" t="str">
        <f>TEXT(Tableau1[[#This Row],[Date ]],"mmmm")</f>
        <v>mai</v>
      </c>
      <c r="H193" s="2">
        <v>34</v>
      </c>
      <c r="I193" s="2">
        <v>148.5</v>
      </c>
      <c r="J193" s="2">
        <v>8.5</v>
      </c>
      <c r="K193" s="17">
        <f t="shared" si="2"/>
        <v>544.5</v>
      </c>
      <c r="L193" t="str">
        <f>CONCATENATE(Tableau1[[#This Row],[Usine]],"-",Tableau1[[#This Row],[Semaine ]])</f>
        <v>PTA-S019</v>
      </c>
    </row>
    <row r="194" spans="1:12" x14ac:dyDescent="0.3">
      <c r="A194" s="1" t="s">
        <v>12</v>
      </c>
      <c r="B194" s="15">
        <v>44690</v>
      </c>
      <c r="C194" s="14">
        <f>WEEKNUM(Tableau1[[#This Row],[Date ]])</f>
        <v>20</v>
      </c>
      <c r="D194" s="14">
        <f>Tableau1[[#This Row],[Colonne1]]-1</f>
        <v>19</v>
      </c>
      <c r="E194" s="14" t="str">
        <f>_xlfn.CONCAT("0",Tableau1[[#This Row],[N° Semaine]])</f>
        <v>019</v>
      </c>
      <c r="F194" s="14" t="str">
        <f>_xlfn.CONCAT("S",Tableau1[[#This Row],[Colonne2]])</f>
        <v>S019</v>
      </c>
      <c r="G194" t="str">
        <f>TEXT(Tableau1[[#This Row],[Date ]],"mmmm")</f>
        <v>mai</v>
      </c>
      <c r="H194" s="2">
        <v>114.25</v>
      </c>
      <c r="I194" s="2">
        <v>234.75</v>
      </c>
      <c r="J194" s="2">
        <v>4.5</v>
      </c>
      <c r="K194" s="17">
        <f t="shared" ref="K194:K257" si="3">SUM(H194:J195)</f>
        <v>391</v>
      </c>
      <c r="L194" t="str">
        <f>CONCATENATE(Tableau1[[#This Row],[Usine]],"-",Tableau1[[#This Row],[Semaine ]])</f>
        <v>Soufre &amp; Energie - Sulfine-S019</v>
      </c>
    </row>
    <row r="195" spans="1:12" x14ac:dyDescent="0.3">
      <c r="A195" s="1" t="s">
        <v>13</v>
      </c>
      <c r="B195" s="15">
        <v>44690</v>
      </c>
      <c r="C195" s="14">
        <f>WEEKNUM(Tableau1[[#This Row],[Date ]])</f>
        <v>20</v>
      </c>
      <c r="D195" s="14">
        <f>Tableau1[[#This Row],[Colonne1]]-1</f>
        <v>19</v>
      </c>
      <c r="E195" s="14" t="str">
        <f>_xlfn.CONCAT("0",Tableau1[[#This Row],[N° Semaine]])</f>
        <v>019</v>
      </c>
      <c r="F195" s="14" t="str">
        <f>_xlfn.CONCAT("S",Tableau1[[#This Row],[Colonne2]])</f>
        <v>S019</v>
      </c>
      <c r="G195" t="str">
        <f>TEXT(Tableau1[[#This Row],[Date ]],"mmmm")</f>
        <v>mai</v>
      </c>
      <c r="H195" s="2">
        <v>3.5</v>
      </c>
      <c r="I195" s="2">
        <v>6</v>
      </c>
      <c r="J195" s="2">
        <v>28</v>
      </c>
      <c r="K195" s="17">
        <f t="shared" si="3"/>
        <v>139.5</v>
      </c>
      <c r="L195" t="str">
        <f>CONCATENATE(Tableau1[[#This Row],[Usine]],"-",Tableau1[[#This Row],[Semaine ]])</f>
        <v>Zéoline-S019</v>
      </c>
    </row>
    <row r="196" spans="1:12" x14ac:dyDescent="0.3">
      <c r="A196" s="1" t="s">
        <v>14</v>
      </c>
      <c r="B196" s="15">
        <v>44690</v>
      </c>
      <c r="C196" s="14">
        <f>WEEKNUM(Tableau1[[#This Row],[Date ]])</f>
        <v>20</v>
      </c>
      <c r="D196" s="14">
        <f>Tableau1[[#This Row],[Colonne1]]-1</f>
        <v>19</v>
      </c>
      <c r="E196" s="14" t="str">
        <f>_xlfn.CONCAT("0",Tableau1[[#This Row],[N° Semaine]])</f>
        <v>019</v>
      </c>
      <c r="F196" s="14" t="str">
        <f>_xlfn.CONCAT("S",Tableau1[[#This Row],[Colonne2]])</f>
        <v>S019</v>
      </c>
      <c r="G196" t="str">
        <f>TEXT(Tableau1[[#This Row],[Date ]],"mmmm")</f>
        <v>mai</v>
      </c>
      <c r="H196" s="2">
        <v>52</v>
      </c>
      <c r="I196" s="2">
        <v>20.5</v>
      </c>
      <c r="J196" s="2">
        <v>29.5</v>
      </c>
      <c r="K196" s="17">
        <f t="shared" si="3"/>
        <v>146.25</v>
      </c>
      <c r="L196" t="str">
        <f>CONCATENATE(Tableau1[[#This Row],[Usine]],"-",Tableau1[[#This Row],[Semaine ]])</f>
        <v>#N/A-S019</v>
      </c>
    </row>
    <row r="197" spans="1:12" x14ac:dyDescent="0.3">
      <c r="A197" s="1" t="s">
        <v>5</v>
      </c>
      <c r="B197" s="15">
        <v>44697</v>
      </c>
      <c r="C197" s="14">
        <f>WEEKNUM(Tableau1[[#This Row],[Date ]])</f>
        <v>21</v>
      </c>
      <c r="D197" s="14">
        <f>Tableau1[[#This Row],[Colonne1]]-1</f>
        <v>20</v>
      </c>
      <c r="E197" s="14" t="str">
        <f>_xlfn.CONCAT("0",Tableau1[[#This Row],[N° Semaine]])</f>
        <v>020</v>
      </c>
      <c r="F197" s="14" t="str">
        <f>_xlfn.CONCAT("S",Tableau1[[#This Row],[Colonne2]])</f>
        <v>S020</v>
      </c>
      <c r="G197" t="str">
        <f>TEXT(Tableau1[[#This Row],[Date ]],"mmmm")</f>
        <v>mai</v>
      </c>
      <c r="H197" s="2"/>
      <c r="I197" s="2"/>
      <c r="J197" s="2">
        <v>44.25</v>
      </c>
      <c r="K197" s="17">
        <f t="shared" si="3"/>
        <v>59.76</v>
      </c>
      <c r="L197" t="str">
        <f>CONCATENATE(Tableau1[[#This Row],[Usine]],"-",Tableau1[[#This Row],[Semaine ]])</f>
        <v>Autres-S020</v>
      </c>
    </row>
    <row r="198" spans="1:12" x14ac:dyDescent="0.3">
      <c r="A198" s="1" t="s">
        <v>6</v>
      </c>
      <c r="B198" s="15">
        <v>44697</v>
      </c>
      <c r="C198" s="14">
        <f>WEEKNUM(Tableau1[[#This Row],[Date ]])</f>
        <v>21</v>
      </c>
      <c r="D198" s="14">
        <f>Tableau1[[#This Row],[Colonne1]]-1</f>
        <v>20</v>
      </c>
      <c r="E198" s="14" t="str">
        <f>_xlfn.CONCAT("0",Tableau1[[#This Row],[N° Semaine]])</f>
        <v>020</v>
      </c>
      <c r="F198" s="14" t="str">
        <f>_xlfn.CONCAT("S",Tableau1[[#This Row],[Colonne2]])</f>
        <v>S020</v>
      </c>
      <c r="G198" t="str">
        <f>TEXT(Tableau1[[#This Row],[Date ]],"mmmm")</f>
        <v>mai</v>
      </c>
      <c r="H198" s="2"/>
      <c r="I198" s="2">
        <v>15.51</v>
      </c>
      <c r="J198" s="2"/>
      <c r="K198" s="17">
        <f t="shared" si="3"/>
        <v>23.509999999999998</v>
      </c>
      <c r="L198" t="str">
        <f>CONCATENATE(Tableau1[[#This Row],[Usine]],"-",Tableau1[[#This Row],[Semaine ]])</f>
        <v>Biamonique-S020</v>
      </c>
    </row>
    <row r="199" spans="1:12" x14ac:dyDescent="0.3">
      <c r="A199" s="1" t="s">
        <v>7</v>
      </c>
      <c r="B199" s="15">
        <v>44697</v>
      </c>
      <c r="C199" s="14">
        <f>WEEKNUM(Tableau1[[#This Row],[Date ]])</f>
        <v>21</v>
      </c>
      <c r="D199" s="14">
        <f>Tableau1[[#This Row],[Colonne1]]-1</f>
        <v>20</v>
      </c>
      <c r="E199" s="14" t="str">
        <f>_xlfn.CONCAT("0",Tableau1[[#This Row],[N° Semaine]])</f>
        <v>020</v>
      </c>
      <c r="F199" s="14" t="str">
        <f>_xlfn.CONCAT("S",Tableau1[[#This Row],[Colonne2]])</f>
        <v>S020</v>
      </c>
      <c r="G199" t="str">
        <f>TEXT(Tableau1[[#This Row],[Date ]],"mmmm")</f>
        <v>mai</v>
      </c>
      <c r="H199" s="2"/>
      <c r="I199" s="2">
        <v>8</v>
      </c>
      <c r="J199" s="2"/>
      <c r="K199" s="17">
        <f t="shared" si="3"/>
        <v>47.5</v>
      </c>
      <c r="L199" t="str">
        <f>CONCATENATE(Tableau1[[#This Row],[Usine]],"-",Tableau1[[#This Row],[Semaine ]])</f>
        <v>D1-S020</v>
      </c>
    </row>
    <row r="200" spans="1:12" x14ac:dyDescent="0.3">
      <c r="A200" s="1" t="s">
        <v>8</v>
      </c>
      <c r="B200" s="15">
        <v>44697</v>
      </c>
      <c r="C200" s="14">
        <f>WEEKNUM(Tableau1[[#This Row],[Date ]])</f>
        <v>21</v>
      </c>
      <c r="D200" s="14">
        <f>Tableau1[[#This Row],[Colonne1]]-1</f>
        <v>20</v>
      </c>
      <c r="E200" s="14" t="str">
        <f>_xlfn.CONCAT("0",Tableau1[[#This Row],[N° Semaine]])</f>
        <v>020</v>
      </c>
      <c r="F200" s="14" t="str">
        <f>_xlfn.CONCAT("S",Tableau1[[#This Row],[Colonne2]])</f>
        <v>S020</v>
      </c>
      <c r="G200" t="str">
        <f>TEXT(Tableau1[[#This Row],[Date ]],"mmmm")</f>
        <v>mai</v>
      </c>
      <c r="H200" s="2">
        <v>5</v>
      </c>
      <c r="I200" s="2">
        <v>34.5</v>
      </c>
      <c r="J200" s="2"/>
      <c r="K200" s="17">
        <f t="shared" si="3"/>
        <v>80</v>
      </c>
      <c r="L200" t="str">
        <f>CONCATENATE(Tableau1[[#This Row],[Usine]],"-",Tableau1[[#This Row],[Semaine ]])</f>
        <v>Engrais-S020</v>
      </c>
    </row>
    <row r="201" spans="1:12" x14ac:dyDescent="0.3">
      <c r="A201" s="1" t="s">
        <v>9</v>
      </c>
      <c r="B201" s="15">
        <v>44697</v>
      </c>
      <c r="C201" s="14">
        <f>WEEKNUM(Tableau1[[#This Row],[Date ]])</f>
        <v>21</v>
      </c>
      <c r="D201" s="14">
        <f>Tableau1[[#This Row],[Colonne1]]-1</f>
        <v>20</v>
      </c>
      <c r="E201" s="14" t="str">
        <f>_xlfn.CONCAT("0",Tableau1[[#This Row],[N° Semaine]])</f>
        <v>020</v>
      </c>
      <c r="F201" s="14" t="str">
        <f>_xlfn.CONCAT("S",Tableau1[[#This Row],[Colonne2]])</f>
        <v>S020</v>
      </c>
      <c r="G201" t="str">
        <f>TEXT(Tableau1[[#This Row],[Date ]],"mmmm")</f>
        <v>mai</v>
      </c>
      <c r="H201" s="2">
        <v>40.5</v>
      </c>
      <c r="I201" s="2"/>
      <c r="J201" s="2"/>
      <c r="K201" s="17">
        <f t="shared" si="3"/>
        <v>658.75</v>
      </c>
      <c r="L201" t="str">
        <f>CONCATENATE(Tableau1[[#This Row],[Usine]],"-",Tableau1[[#This Row],[Semaine ]])</f>
        <v>Entretien-S020</v>
      </c>
    </row>
    <row r="202" spans="1:12" x14ac:dyDescent="0.3">
      <c r="A202" s="1" t="s">
        <v>10</v>
      </c>
      <c r="B202" s="15">
        <v>44697</v>
      </c>
      <c r="C202" s="14">
        <f>WEEKNUM(Tableau1[[#This Row],[Date ]])</f>
        <v>21</v>
      </c>
      <c r="D202" s="14">
        <f>Tableau1[[#This Row],[Colonne1]]-1</f>
        <v>20</v>
      </c>
      <c r="E202" s="14" t="str">
        <f>_xlfn.CONCAT("0",Tableau1[[#This Row],[N° Semaine]])</f>
        <v>020</v>
      </c>
      <c r="F202" s="14" t="str">
        <f>_xlfn.CONCAT("S",Tableau1[[#This Row],[Colonne2]])</f>
        <v>S020</v>
      </c>
      <c r="G202" t="str">
        <f>TEXT(Tableau1[[#This Row],[Date ]],"mmmm")</f>
        <v>mai</v>
      </c>
      <c r="H202" s="2">
        <v>101.75</v>
      </c>
      <c r="I202" s="2">
        <v>97.25</v>
      </c>
      <c r="J202" s="2">
        <v>419.25</v>
      </c>
      <c r="K202" s="17">
        <f t="shared" si="3"/>
        <v>770.75</v>
      </c>
      <c r="L202" t="str">
        <f>CONCATENATE(Tableau1[[#This Row],[Usine]],"-",Tableau1[[#This Row],[Semaine ]])</f>
        <v>P2O5-S020</v>
      </c>
    </row>
    <row r="203" spans="1:12" x14ac:dyDescent="0.3">
      <c r="A203" s="1" t="s">
        <v>11</v>
      </c>
      <c r="B203" s="15">
        <v>44697</v>
      </c>
      <c r="C203" s="14">
        <f>WEEKNUM(Tableau1[[#This Row],[Date ]])</f>
        <v>21</v>
      </c>
      <c r="D203" s="14">
        <f>Tableau1[[#This Row],[Colonne1]]-1</f>
        <v>20</v>
      </c>
      <c r="E203" s="14" t="str">
        <f>_xlfn.CONCAT("0",Tableau1[[#This Row],[N° Semaine]])</f>
        <v>020</v>
      </c>
      <c r="F203" s="14" t="str">
        <f>_xlfn.CONCAT("S",Tableau1[[#This Row],[Colonne2]])</f>
        <v>S020</v>
      </c>
      <c r="G203" t="str">
        <f>TEXT(Tableau1[[#This Row],[Date ]],"mmmm")</f>
        <v>mai</v>
      </c>
      <c r="H203" s="2">
        <v>8</v>
      </c>
      <c r="I203" s="2">
        <v>135.5</v>
      </c>
      <c r="J203" s="2">
        <v>9</v>
      </c>
      <c r="K203" s="17">
        <f t="shared" si="3"/>
        <v>375.5</v>
      </c>
      <c r="L203" t="str">
        <f>CONCATENATE(Tableau1[[#This Row],[Usine]],"-",Tableau1[[#This Row],[Semaine ]])</f>
        <v>PTA-S020</v>
      </c>
    </row>
    <row r="204" spans="1:12" x14ac:dyDescent="0.3">
      <c r="A204" s="1" t="s">
        <v>12</v>
      </c>
      <c r="B204" s="15">
        <v>44697</v>
      </c>
      <c r="C204" s="14">
        <f>WEEKNUM(Tableau1[[#This Row],[Date ]])</f>
        <v>21</v>
      </c>
      <c r="D204" s="14">
        <f>Tableau1[[#This Row],[Colonne1]]-1</f>
        <v>20</v>
      </c>
      <c r="E204" s="14" t="str">
        <f>_xlfn.CONCAT("0",Tableau1[[#This Row],[N° Semaine]])</f>
        <v>020</v>
      </c>
      <c r="F204" s="14" t="str">
        <f>_xlfn.CONCAT("S",Tableau1[[#This Row],[Colonne2]])</f>
        <v>S020</v>
      </c>
      <c r="G204" t="str">
        <f>TEXT(Tableau1[[#This Row],[Date ]],"mmmm")</f>
        <v>mai</v>
      </c>
      <c r="H204" s="2">
        <v>106</v>
      </c>
      <c r="I204" s="2">
        <v>117</v>
      </c>
      <c r="J204" s="2"/>
      <c r="K204" s="17">
        <f t="shared" si="3"/>
        <v>1275.75</v>
      </c>
      <c r="L204" t="str">
        <f>CONCATENATE(Tableau1[[#This Row],[Usine]],"-",Tableau1[[#This Row],[Semaine ]])</f>
        <v>Soufre &amp; Energie - Sulfine-S020</v>
      </c>
    </row>
    <row r="205" spans="1:12" x14ac:dyDescent="0.3">
      <c r="A205" s="1" t="s">
        <v>13</v>
      </c>
      <c r="B205" s="15">
        <v>44697</v>
      </c>
      <c r="C205" s="14">
        <f>WEEKNUM(Tableau1[[#This Row],[Date ]])</f>
        <v>21</v>
      </c>
      <c r="D205" s="14">
        <f>Tableau1[[#This Row],[Colonne1]]-1</f>
        <v>20</v>
      </c>
      <c r="E205" s="14" t="str">
        <f>_xlfn.CONCAT("0",Tableau1[[#This Row],[N° Semaine]])</f>
        <v>020</v>
      </c>
      <c r="F205" s="14" t="str">
        <f>_xlfn.CONCAT("S",Tableau1[[#This Row],[Colonne2]])</f>
        <v>S020</v>
      </c>
      <c r="G205" t="str">
        <f>TEXT(Tableau1[[#This Row],[Date ]],"mmmm")</f>
        <v>mai</v>
      </c>
      <c r="H205" s="2">
        <v>241</v>
      </c>
      <c r="I205" s="2">
        <v>62.5</v>
      </c>
      <c r="J205" s="2">
        <v>749.25</v>
      </c>
      <c r="K205" s="17">
        <f t="shared" si="3"/>
        <v>1079.75</v>
      </c>
      <c r="L205" t="str">
        <f>CONCATENATE(Tableau1[[#This Row],[Usine]],"-",Tableau1[[#This Row],[Semaine ]])</f>
        <v>Zéoline-S020</v>
      </c>
    </row>
    <row r="206" spans="1:12" x14ac:dyDescent="0.3">
      <c r="A206" s="1" t="s">
        <v>14</v>
      </c>
      <c r="B206" s="15">
        <v>44697</v>
      </c>
      <c r="C206" s="14">
        <f>WEEKNUM(Tableau1[[#This Row],[Date ]])</f>
        <v>21</v>
      </c>
      <c r="D206" s="14">
        <f>Tableau1[[#This Row],[Colonne1]]-1</f>
        <v>20</v>
      </c>
      <c r="E206" s="14" t="str">
        <f>_xlfn.CONCAT("0",Tableau1[[#This Row],[N° Semaine]])</f>
        <v>020</v>
      </c>
      <c r="F206" s="14" t="str">
        <f>_xlfn.CONCAT("S",Tableau1[[#This Row],[Colonne2]])</f>
        <v>S020</v>
      </c>
      <c r="G206" t="str">
        <f>TEXT(Tableau1[[#This Row],[Date ]],"mmmm")</f>
        <v>mai</v>
      </c>
      <c r="H206" s="2">
        <v>6</v>
      </c>
      <c r="I206" s="2">
        <v>12</v>
      </c>
      <c r="J206" s="2">
        <v>9</v>
      </c>
      <c r="K206" s="17">
        <f t="shared" si="3"/>
        <v>45.5</v>
      </c>
      <c r="L206" t="str">
        <f>CONCATENATE(Tableau1[[#This Row],[Usine]],"-",Tableau1[[#This Row],[Semaine ]])</f>
        <v>#N/A-S020</v>
      </c>
    </row>
    <row r="207" spans="1:12" x14ac:dyDescent="0.3">
      <c r="A207" s="1" t="s">
        <v>5</v>
      </c>
      <c r="B207" s="15">
        <v>44704</v>
      </c>
      <c r="C207" s="14">
        <f>WEEKNUM(Tableau1[[#This Row],[Date ]])</f>
        <v>22</v>
      </c>
      <c r="D207" s="14">
        <f>Tableau1[[#This Row],[Colonne1]]-1</f>
        <v>21</v>
      </c>
      <c r="E207" s="14" t="str">
        <f>_xlfn.CONCAT("0",Tableau1[[#This Row],[N° Semaine]])</f>
        <v>021</v>
      </c>
      <c r="F207" s="14" t="str">
        <f>_xlfn.CONCAT("S",Tableau1[[#This Row],[Colonne2]])</f>
        <v>S021</v>
      </c>
      <c r="G207" t="str">
        <f>TEXT(Tableau1[[#This Row],[Date ]],"mmmm")</f>
        <v>mai</v>
      </c>
      <c r="H207" s="2"/>
      <c r="I207" s="2">
        <v>7</v>
      </c>
      <c r="J207" s="2">
        <v>11.5</v>
      </c>
      <c r="K207" s="17">
        <f t="shared" si="3"/>
        <v>55</v>
      </c>
      <c r="L207" t="str">
        <f>CONCATENATE(Tableau1[[#This Row],[Usine]],"-",Tableau1[[#This Row],[Semaine ]])</f>
        <v>Autres-S021</v>
      </c>
    </row>
    <row r="208" spans="1:12" x14ac:dyDescent="0.3">
      <c r="A208" s="1" t="s">
        <v>6</v>
      </c>
      <c r="B208" s="15">
        <v>44704</v>
      </c>
      <c r="C208" s="14">
        <f>WEEKNUM(Tableau1[[#This Row],[Date ]])</f>
        <v>22</v>
      </c>
      <c r="D208" s="14">
        <f>Tableau1[[#This Row],[Colonne1]]-1</f>
        <v>21</v>
      </c>
      <c r="E208" s="14" t="str">
        <f>_xlfn.CONCAT("0",Tableau1[[#This Row],[N° Semaine]])</f>
        <v>021</v>
      </c>
      <c r="F208" s="14" t="str">
        <f>_xlfn.CONCAT("S",Tableau1[[#This Row],[Colonne2]])</f>
        <v>S021</v>
      </c>
      <c r="G208" t="str">
        <f>TEXT(Tableau1[[#This Row],[Date ]],"mmmm")</f>
        <v>mai</v>
      </c>
      <c r="H208" s="2"/>
      <c r="I208" s="2">
        <v>36.5</v>
      </c>
      <c r="J208" s="2"/>
      <c r="K208" s="17">
        <f t="shared" si="3"/>
        <v>47.5</v>
      </c>
      <c r="L208" t="str">
        <f>CONCATENATE(Tableau1[[#This Row],[Usine]],"-",Tableau1[[#This Row],[Semaine ]])</f>
        <v>Biamonique-S021</v>
      </c>
    </row>
    <row r="209" spans="1:12" x14ac:dyDescent="0.3">
      <c r="A209" s="1" t="s">
        <v>7</v>
      </c>
      <c r="B209" s="15">
        <v>44704</v>
      </c>
      <c r="C209" s="14">
        <f>WEEKNUM(Tableau1[[#This Row],[Date ]])</f>
        <v>22</v>
      </c>
      <c r="D209" s="14">
        <f>Tableau1[[#This Row],[Colonne1]]-1</f>
        <v>21</v>
      </c>
      <c r="E209" s="14" t="str">
        <f>_xlfn.CONCAT("0",Tableau1[[#This Row],[N° Semaine]])</f>
        <v>021</v>
      </c>
      <c r="F209" s="14" t="str">
        <f>_xlfn.CONCAT("S",Tableau1[[#This Row],[Colonne2]])</f>
        <v>S021</v>
      </c>
      <c r="G209" t="str">
        <f>TEXT(Tableau1[[#This Row],[Date ]],"mmmm")</f>
        <v>mai</v>
      </c>
      <c r="H209" s="2"/>
      <c r="I209" s="2">
        <v>11</v>
      </c>
      <c r="J209" s="2"/>
      <c r="K209" s="17">
        <f t="shared" si="3"/>
        <v>55</v>
      </c>
      <c r="L209" t="str">
        <f>CONCATENATE(Tableau1[[#This Row],[Usine]],"-",Tableau1[[#This Row],[Semaine ]])</f>
        <v>D1-S021</v>
      </c>
    </row>
    <row r="210" spans="1:12" x14ac:dyDescent="0.3">
      <c r="A210" s="1" t="s">
        <v>8</v>
      </c>
      <c r="B210" s="15">
        <v>44704</v>
      </c>
      <c r="C210" s="14">
        <f>WEEKNUM(Tableau1[[#This Row],[Date ]])</f>
        <v>22</v>
      </c>
      <c r="D210" s="14">
        <f>Tableau1[[#This Row],[Colonne1]]-1</f>
        <v>21</v>
      </c>
      <c r="E210" s="14" t="str">
        <f>_xlfn.CONCAT("0",Tableau1[[#This Row],[N° Semaine]])</f>
        <v>021</v>
      </c>
      <c r="F210" s="14" t="str">
        <f>_xlfn.CONCAT("S",Tableau1[[#This Row],[Colonne2]])</f>
        <v>S021</v>
      </c>
      <c r="G210" t="str">
        <f>TEXT(Tableau1[[#This Row],[Date ]],"mmmm")</f>
        <v>mai</v>
      </c>
      <c r="H210" s="2">
        <v>8.5</v>
      </c>
      <c r="I210" s="2">
        <v>18.5</v>
      </c>
      <c r="J210" s="2">
        <v>17</v>
      </c>
      <c r="K210" s="17">
        <f t="shared" si="3"/>
        <v>53.5</v>
      </c>
      <c r="L210" t="str">
        <f>CONCATENATE(Tableau1[[#This Row],[Usine]],"-",Tableau1[[#This Row],[Semaine ]])</f>
        <v>Engrais-S021</v>
      </c>
    </row>
    <row r="211" spans="1:12" x14ac:dyDescent="0.3">
      <c r="A211" s="1" t="s">
        <v>9</v>
      </c>
      <c r="B211" s="15">
        <v>44704</v>
      </c>
      <c r="C211" s="14">
        <f>WEEKNUM(Tableau1[[#This Row],[Date ]])</f>
        <v>22</v>
      </c>
      <c r="D211" s="14">
        <f>Tableau1[[#This Row],[Colonne1]]-1</f>
        <v>21</v>
      </c>
      <c r="E211" s="14" t="str">
        <f>_xlfn.CONCAT("0",Tableau1[[#This Row],[N° Semaine]])</f>
        <v>021</v>
      </c>
      <c r="F211" s="14" t="str">
        <f>_xlfn.CONCAT("S",Tableau1[[#This Row],[Colonne2]])</f>
        <v>S021</v>
      </c>
      <c r="G211" t="str">
        <f>TEXT(Tableau1[[#This Row],[Date ]],"mmmm")</f>
        <v>mai</v>
      </c>
      <c r="H211" s="2"/>
      <c r="I211" s="2"/>
      <c r="J211" s="2">
        <v>9.5</v>
      </c>
      <c r="K211" s="17">
        <f t="shared" si="3"/>
        <v>696.75</v>
      </c>
      <c r="L211" t="str">
        <f>CONCATENATE(Tableau1[[#This Row],[Usine]],"-",Tableau1[[#This Row],[Semaine ]])</f>
        <v>Entretien-S021</v>
      </c>
    </row>
    <row r="212" spans="1:12" x14ac:dyDescent="0.3">
      <c r="A212" s="1" t="s">
        <v>10</v>
      </c>
      <c r="B212" s="15">
        <v>44704</v>
      </c>
      <c r="C212" s="14">
        <f>WEEKNUM(Tableau1[[#This Row],[Date ]])</f>
        <v>22</v>
      </c>
      <c r="D212" s="14">
        <f>Tableau1[[#This Row],[Colonne1]]-1</f>
        <v>21</v>
      </c>
      <c r="E212" s="14" t="str">
        <f>_xlfn.CONCAT("0",Tableau1[[#This Row],[N° Semaine]])</f>
        <v>021</v>
      </c>
      <c r="F212" s="14" t="str">
        <f>_xlfn.CONCAT("S",Tableau1[[#This Row],[Colonne2]])</f>
        <v>S021</v>
      </c>
      <c r="G212" t="str">
        <f>TEXT(Tableau1[[#This Row],[Date ]],"mmmm")</f>
        <v>mai</v>
      </c>
      <c r="H212" s="2">
        <v>114.75</v>
      </c>
      <c r="I212" s="2">
        <v>176</v>
      </c>
      <c r="J212" s="2">
        <v>396.5</v>
      </c>
      <c r="K212" s="17">
        <f t="shared" si="3"/>
        <v>833.25</v>
      </c>
      <c r="L212" t="str">
        <f>CONCATENATE(Tableau1[[#This Row],[Usine]],"-",Tableau1[[#This Row],[Semaine ]])</f>
        <v>P2O5-S021</v>
      </c>
    </row>
    <row r="213" spans="1:12" x14ac:dyDescent="0.3">
      <c r="A213" s="1" t="s">
        <v>11</v>
      </c>
      <c r="B213" s="15">
        <v>44704</v>
      </c>
      <c r="C213" s="14">
        <f>WEEKNUM(Tableau1[[#This Row],[Date ]])</f>
        <v>22</v>
      </c>
      <c r="D213" s="14">
        <f>Tableau1[[#This Row],[Colonne1]]-1</f>
        <v>21</v>
      </c>
      <c r="E213" s="14" t="str">
        <f>_xlfn.CONCAT("0",Tableau1[[#This Row],[N° Semaine]])</f>
        <v>021</v>
      </c>
      <c r="F213" s="14" t="str">
        <f>_xlfn.CONCAT("S",Tableau1[[#This Row],[Colonne2]])</f>
        <v>S021</v>
      </c>
      <c r="G213" t="str">
        <f>TEXT(Tableau1[[#This Row],[Date ]],"mmmm")</f>
        <v>mai</v>
      </c>
      <c r="H213" s="2">
        <v>7.5</v>
      </c>
      <c r="I213" s="2">
        <v>74.5</v>
      </c>
      <c r="J213" s="2">
        <v>64</v>
      </c>
      <c r="K213" s="17">
        <f t="shared" si="3"/>
        <v>320.5</v>
      </c>
      <c r="L213" t="str">
        <f>CONCATENATE(Tableau1[[#This Row],[Usine]],"-",Tableau1[[#This Row],[Semaine ]])</f>
        <v>PTA-S021</v>
      </c>
    </row>
    <row r="214" spans="1:12" x14ac:dyDescent="0.3">
      <c r="A214" s="1" t="s">
        <v>12</v>
      </c>
      <c r="B214" s="15">
        <v>44704</v>
      </c>
      <c r="C214" s="14">
        <f>WEEKNUM(Tableau1[[#This Row],[Date ]])</f>
        <v>22</v>
      </c>
      <c r="D214" s="14">
        <f>Tableau1[[#This Row],[Colonne1]]-1</f>
        <v>21</v>
      </c>
      <c r="E214" s="14" t="str">
        <f>_xlfn.CONCAT("0",Tableau1[[#This Row],[N° Semaine]])</f>
        <v>021</v>
      </c>
      <c r="F214" s="14" t="str">
        <f>_xlfn.CONCAT("S",Tableau1[[#This Row],[Colonne2]])</f>
        <v>S021</v>
      </c>
      <c r="G214" t="str">
        <f>TEXT(Tableau1[[#This Row],[Date ]],"mmmm")</f>
        <v>mai</v>
      </c>
      <c r="H214" s="2">
        <v>5</v>
      </c>
      <c r="I214" s="2">
        <v>160.5</v>
      </c>
      <c r="J214" s="2">
        <v>9</v>
      </c>
      <c r="K214" s="17">
        <f t="shared" si="3"/>
        <v>235.5</v>
      </c>
      <c r="L214" t="str">
        <f>CONCATENATE(Tableau1[[#This Row],[Usine]],"-",Tableau1[[#This Row],[Semaine ]])</f>
        <v>Soufre &amp; Energie - Sulfine-S021</v>
      </c>
    </row>
    <row r="215" spans="1:12" x14ac:dyDescent="0.3">
      <c r="A215" s="1" t="s">
        <v>13</v>
      </c>
      <c r="B215" s="15">
        <v>44704</v>
      </c>
      <c r="C215" s="14">
        <f>WEEKNUM(Tableau1[[#This Row],[Date ]])</f>
        <v>22</v>
      </c>
      <c r="D215" s="14">
        <f>Tableau1[[#This Row],[Colonne1]]-1</f>
        <v>21</v>
      </c>
      <c r="E215" s="14" t="str">
        <f>_xlfn.CONCAT("0",Tableau1[[#This Row],[N° Semaine]])</f>
        <v>021</v>
      </c>
      <c r="F215" s="14" t="str">
        <f>_xlfn.CONCAT("S",Tableau1[[#This Row],[Colonne2]])</f>
        <v>S021</v>
      </c>
      <c r="G215" t="str">
        <f>TEXT(Tableau1[[#This Row],[Date ]],"mmmm")</f>
        <v>mai</v>
      </c>
      <c r="H215" s="2">
        <v>16</v>
      </c>
      <c r="I215" s="2">
        <v>45</v>
      </c>
      <c r="J215" s="2"/>
      <c r="K215" s="17">
        <f t="shared" si="3"/>
        <v>112</v>
      </c>
      <c r="L215" t="str">
        <f>CONCATENATE(Tableau1[[#This Row],[Usine]],"-",Tableau1[[#This Row],[Semaine ]])</f>
        <v>Zéoline-S021</v>
      </c>
    </row>
    <row r="216" spans="1:12" x14ac:dyDescent="0.3">
      <c r="A216" s="1" t="s">
        <v>14</v>
      </c>
      <c r="B216" s="15">
        <v>44704</v>
      </c>
      <c r="C216" s="14">
        <f>WEEKNUM(Tableau1[[#This Row],[Date ]])</f>
        <v>22</v>
      </c>
      <c r="D216" s="14">
        <f>Tableau1[[#This Row],[Colonne1]]-1</f>
        <v>21</v>
      </c>
      <c r="E216" s="14" t="str">
        <f>_xlfn.CONCAT("0",Tableau1[[#This Row],[N° Semaine]])</f>
        <v>021</v>
      </c>
      <c r="F216" s="14" t="str">
        <f>_xlfn.CONCAT("S",Tableau1[[#This Row],[Colonne2]])</f>
        <v>S021</v>
      </c>
      <c r="G216" t="str">
        <f>TEXT(Tableau1[[#This Row],[Date ]],"mmmm")</f>
        <v>mai</v>
      </c>
      <c r="H216" s="2">
        <v>24</v>
      </c>
      <c r="I216" s="2"/>
      <c r="J216" s="2">
        <v>27</v>
      </c>
      <c r="K216" s="17">
        <f t="shared" si="3"/>
        <v>207</v>
      </c>
      <c r="L216" t="str">
        <f>CONCATENATE(Tableau1[[#This Row],[Usine]],"-",Tableau1[[#This Row],[Semaine ]])</f>
        <v>#N/A-S021</v>
      </c>
    </row>
    <row r="217" spans="1:12" x14ac:dyDescent="0.3">
      <c r="A217" s="1" t="s">
        <v>5</v>
      </c>
      <c r="B217" s="15">
        <v>44711</v>
      </c>
      <c r="C217" s="14">
        <f>WEEKNUM(Tableau1[[#This Row],[Date ]])</f>
        <v>23</v>
      </c>
      <c r="D217" s="14">
        <f>Tableau1[[#This Row],[Colonne1]]-1</f>
        <v>22</v>
      </c>
      <c r="E217" s="14" t="str">
        <f>_xlfn.CONCAT("0",Tableau1[[#This Row],[N° Semaine]])</f>
        <v>022</v>
      </c>
      <c r="F217" s="14" t="str">
        <f>_xlfn.CONCAT("S",Tableau1[[#This Row],[Colonne2]])</f>
        <v>S022</v>
      </c>
      <c r="G217" t="str">
        <f>TEXT(Tableau1[[#This Row],[Date ]],"mmmm")</f>
        <v>mai</v>
      </c>
      <c r="H217" s="2">
        <v>107.5</v>
      </c>
      <c r="I217" s="2">
        <v>6</v>
      </c>
      <c r="J217" s="2">
        <v>42.5</v>
      </c>
      <c r="K217" s="17">
        <f t="shared" si="3"/>
        <v>179.5</v>
      </c>
      <c r="L217" t="str">
        <f>CONCATENATE(Tableau1[[#This Row],[Usine]],"-",Tableau1[[#This Row],[Semaine ]])</f>
        <v>Autres-S022</v>
      </c>
    </row>
    <row r="218" spans="1:12" x14ac:dyDescent="0.3">
      <c r="A218" s="1" t="s">
        <v>6</v>
      </c>
      <c r="B218" s="15">
        <v>44711</v>
      </c>
      <c r="C218" s="14">
        <f>WEEKNUM(Tableau1[[#This Row],[Date ]])</f>
        <v>23</v>
      </c>
      <c r="D218" s="14">
        <f>Tableau1[[#This Row],[Colonne1]]-1</f>
        <v>22</v>
      </c>
      <c r="E218" s="14" t="str">
        <f>_xlfn.CONCAT("0",Tableau1[[#This Row],[N° Semaine]])</f>
        <v>022</v>
      </c>
      <c r="F218" s="14" t="str">
        <f>_xlfn.CONCAT("S",Tableau1[[#This Row],[Colonne2]])</f>
        <v>S022</v>
      </c>
      <c r="G218" t="str">
        <f>TEXT(Tableau1[[#This Row],[Date ]],"mmmm")</f>
        <v>mai</v>
      </c>
      <c r="H218" s="2"/>
      <c r="I218" s="2">
        <v>23.5</v>
      </c>
      <c r="J218" s="2"/>
      <c r="K218" s="17">
        <f t="shared" si="3"/>
        <v>55</v>
      </c>
      <c r="L218" t="str">
        <f>CONCATENATE(Tableau1[[#This Row],[Usine]],"-",Tableau1[[#This Row],[Semaine ]])</f>
        <v>Biamonique-S022</v>
      </c>
    </row>
    <row r="219" spans="1:12" x14ac:dyDescent="0.3">
      <c r="A219" s="1" t="s">
        <v>7</v>
      </c>
      <c r="B219" s="15">
        <v>44711</v>
      </c>
      <c r="C219" s="14">
        <f>WEEKNUM(Tableau1[[#This Row],[Date ]])</f>
        <v>23</v>
      </c>
      <c r="D219" s="14">
        <f>Tableau1[[#This Row],[Colonne1]]-1</f>
        <v>22</v>
      </c>
      <c r="E219" s="14" t="str">
        <f>_xlfn.CONCAT("0",Tableau1[[#This Row],[N° Semaine]])</f>
        <v>022</v>
      </c>
      <c r="F219" s="14" t="str">
        <f>_xlfn.CONCAT("S",Tableau1[[#This Row],[Colonne2]])</f>
        <v>S022</v>
      </c>
      <c r="G219" t="str">
        <f>TEXT(Tableau1[[#This Row],[Date ]],"mmmm")</f>
        <v>mai</v>
      </c>
      <c r="H219" s="2"/>
      <c r="I219" s="2">
        <v>15.5</v>
      </c>
      <c r="J219" s="2">
        <v>16</v>
      </c>
      <c r="K219" s="17">
        <f t="shared" si="3"/>
        <v>119</v>
      </c>
      <c r="L219" t="str">
        <f>CONCATENATE(Tableau1[[#This Row],[Usine]],"-",Tableau1[[#This Row],[Semaine ]])</f>
        <v>D1-S022</v>
      </c>
    </row>
    <row r="220" spans="1:12" x14ac:dyDescent="0.3">
      <c r="A220" s="1" t="s">
        <v>8</v>
      </c>
      <c r="B220" s="15">
        <v>44711</v>
      </c>
      <c r="C220" s="14">
        <f>WEEKNUM(Tableau1[[#This Row],[Date ]])</f>
        <v>23</v>
      </c>
      <c r="D220" s="14">
        <f>Tableau1[[#This Row],[Colonne1]]-1</f>
        <v>22</v>
      </c>
      <c r="E220" s="14" t="str">
        <f>_xlfn.CONCAT("0",Tableau1[[#This Row],[N° Semaine]])</f>
        <v>022</v>
      </c>
      <c r="F220" s="14" t="str">
        <f>_xlfn.CONCAT("S",Tableau1[[#This Row],[Colonne2]])</f>
        <v>S022</v>
      </c>
      <c r="G220" t="str">
        <f>TEXT(Tableau1[[#This Row],[Date ]],"mmmm")</f>
        <v>mai</v>
      </c>
      <c r="H220" s="2">
        <v>2.5</v>
      </c>
      <c r="I220" s="2">
        <v>64</v>
      </c>
      <c r="J220" s="2">
        <v>21</v>
      </c>
      <c r="K220" s="17">
        <f t="shared" si="3"/>
        <v>110</v>
      </c>
      <c r="L220" t="str">
        <f>CONCATENATE(Tableau1[[#This Row],[Usine]],"-",Tableau1[[#This Row],[Semaine ]])</f>
        <v>Engrais-S022</v>
      </c>
    </row>
    <row r="221" spans="1:12" x14ac:dyDescent="0.3">
      <c r="A221" s="1" t="s">
        <v>9</v>
      </c>
      <c r="B221" s="15">
        <v>44711</v>
      </c>
      <c r="C221" s="14">
        <f>WEEKNUM(Tableau1[[#This Row],[Date ]])</f>
        <v>23</v>
      </c>
      <c r="D221" s="14">
        <f>Tableau1[[#This Row],[Colonne1]]-1</f>
        <v>22</v>
      </c>
      <c r="E221" s="14" t="str">
        <f>_xlfn.CONCAT("0",Tableau1[[#This Row],[N° Semaine]])</f>
        <v>022</v>
      </c>
      <c r="F221" s="14" t="str">
        <f>_xlfn.CONCAT("S",Tableau1[[#This Row],[Colonne2]])</f>
        <v>S022</v>
      </c>
      <c r="G221" t="str">
        <f>TEXT(Tableau1[[#This Row],[Date ]],"mmmm")</f>
        <v>mai</v>
      </c>
      <c r="H221" s="2">
        <v>10.5</v>
      </c>
      <c r="I221" s="2">
        <v>5</v>
      </c>
      <c r="J221" s="2">
        <v>7</v>
      </c>
      <c r="K221" s="17">
        <f t="shared" si="3"/>
        <v>679</v>
      </c>
      <c r="L221" t="str">
        <f>CONCATENATE(Tableau1[[#This Row],[Usine]],"-",Tableau1[[#This Row],[Semaine ]])</f>
        <v>Entretien-S022</v>
      </c>
    </row>
    <row r="222" spans="1:12" x14ac:dyDescent="0.3">
      <c r="A222" s="1" t="s">
        <v>10</v>
      </c>
      <c r="B222" s="15">
        <v>44711</v>
      </c>
      <c r="C222" s="14">
        <f>WEEKNUM(Tableau1[[#This Row],[Date ]])</f>
        <v>23</v>
      </c>
      <c r="D222" s="14">
        <f>Tableau1[[#This Row],[Colonne1]]-1</f>
        <v>22</v>
      </c>
      <c r="E222" s="14" t="str">
        <f>_xlfn.CONCAT("0",Tableau1[[#This Row],[N° Semaine]])</f>
        <v>022</v>
      </c>
      <c r="F222" s="14" t="str">
        <f>_xlfn.CONCAT("S",Tableau1[[#This Row],[Colonne2]])</f>
        <v>S022</v>
      </c>
      <c r="G222" t="str">
        <f>TEXT(Tableau1[[#This Row],[Date ]],"mmmm")</f>
        <v>mai</v>
      </c>
      <c r="H222" s="2">
        <v>53.5</v>
      </c>
      <c r="I222" s="2">
        <v>145.25</v>
      </c>
      <c r="J222" s="2">
        <v>457.75</v>
      </c>
      <c r="K222" s="17">
        <f t="shared" si="3"/>
        <v>801</v>
      </c>
      <c r="L222" t="str">
        <f>CONCATENATE(Tableau1[[#This Row],[Usine]],"-",Tableau1[[#This Row],[Semaine ]])</f>
        <v>P2O5-S022</v>
      </c>
    </row>
    <row r="223" spans="1:12" x14ac:dyDescent="0.3">
      <c r="A223" s="1" t="s">
        <v>11</v>
      </c>
      <c r="B223" s="15">
        <v>44711</v>
      </c>
      <c r="C223" s="14">
        <f>WEEKNUM(Tableau1[[#This Row],[Date ]])</f>
        <v>23</v>
      </c>
      <c r="D223" s="14">
        <f>Tableau1[[#This Row],[Colonne1]]-1</f>
        <v>22</v>
      </c>
      <c r="E223" s="14" t="str">
        <f>_xlfn.CONCAT("0",Tableau1[[#This Row],[N° Semaine]])</f>
        <v>022</v>
      </c>
      <c r="F223" s="14" t="str">
        <f>_xlfn.CONCAT("S",Tableau1[[#This Row],[Colonne2]])</f>
        <v>S022</v>
      </c>
      <c r="G223" t="str">
        <f>TEXT(Tableau1[[#This Row],[Date ]],"mmmm")</f>
        <v>mai</v>
      </c>
      <c r="H223" s="2">
        <v>8</v>
      </c>
      <c r="I223" s="2">
        <v>102</v>
      </c>
      <c r="J223" s="2">
        <v>34.5</v>
      </c>
      <c r="K223" s="17">
        <f t="shared" si="3"/>
        <v>365</v>
      </c>
      <c r="L223" t="str">
        <f>CONCATENATE(Tableau1[[#This Row],[Usine]],"-",Tableau1[[#This Row],[Semaine ]])</f>
        <v>PTA-S022</v>
      </c>
    </row>
    <row r="224" spans="1:12" x14ac:dyDescent="0.3">
      <c r="A224" s="1" t="s">
        <v>12</v>
      </c>
      <c r="B224" s="15">
        <v>44711</v>
      </c>
      <c r="C224" s="14">
        <f>WEEKNUM(Tableau1[[#This Row],[Date ]])</f>
        <v>23</v>
      </c>
      <c r="D224" s="14">
        <f>Tableau1[[#This Row],[Colonne1]]-1</f>
        <v>22</v>
      </c>
      <c r="E224" s="14" t="str">
        <f>_xlfn.CONCAT("0",Tableau1[[#This Row],[N° Semaine]])</f>
        <v>022</v>
      </c>
      <c r="F224" s="14" t="str">
        <f>_xlfn.CONCAT("S",Tableau1[[#This Row],[Colonne2]])</f>
        <v>S022</v>
      </c>
      <c r="G224" t="str">
        <f>TEXT(Tableau1[[#This Row],[Date ]],"mmmm")</f>
        <v>mai</v>
      </c>
      <c r="H224" s="2">
        <v>31</v>
      </c>
      <c r="I224" s="2">
        <v>137</v>
      </c>
      <c r="J224" s="2">
        <v>52.5</v>
      </c>
      <c r="K224" s="17">
        <f t="shared" si="3"/>
        <v>223.5</v>
      </c>
      <c r="L224" t="str">
        <f>CONCATENATE(Tableau1[[#This Row],[Usine]],"-",Tableau1[[#This Row],[Semaine ]])</f>
        <v>Soufre &amp; Energie - Sulfine-S022</v>
      </c>
    </row>
    <row r="225" spans="1:12" x14ac:dyDescent="0.3">
      <c r="A225" s="1" t="s">
        <v>13</v>
      </c>
      <c r="B225" s="15">
        <v>44711</v>
      </c>
      <c r="C225" s="14">
        <f>WEEKNUM(Tableau1[[#This Row],[Date ]])</f>
        <v>23</v>
      </c>
      <c r="D225" s="14">
        <f>Tableau1[[#This Row],[Colonne1]]-1</f>
        <v>22</v>
      </c>
      <c r="E225" s="14" t="str">
        <f>_xlfn.CONCAT("0",Tableau1[[#This Row],[N° Semaine]])</f>
        <v>022</v>
      </c>
      <c r="F225" s="14" t="str">
        <f>_xlfn.CONCAT("S",Tableau1[[#This Row],[Colonne2]])</f>
        <v>S022</v>
      </c>
      <c r="G225" t="str">
        <f>TEXT(Tableau1[[#This Row],[Date ]],"mmmm")</f>
        <v>mai</v>
      </c>
      <c r="H225" s="2">
        <v>3</v>
      </c>
      <c r="I225" s="2"/>
      <c r="J225" s="2"/>
      <c r="K225" s="17">
        <f t="shared" si="3"/>
        <v>133.5</v>
      </c>
      <c r="L225" t="str">
        <f>CONCATENATE(Tableau1[[#This Row],[Usine]],"-",Tableau1[[#This Row],[Semaine ]])</f>
        <v>Zéoline-S022</v>
      </c>
    </row>
    <row r="226" spans="1:12" x14ac:dyDescent="0.3">
      <c r="A226" s="1" t="s">
        <v>14</v>
      </c>
      <c r="B226" s="15">
        <v>44711</v>
      </c>
      <c r="C226" s="14">
        <f>WEEKNUM(Tableau1[[#This Row],[Date ]])</f>
        <v>23</v>
      </c>
      <c r="D226" s="14">
        <f>Tableau1[[#This Row],[Colonne1]]-1</f>
        <v>22</v>
      </c>
      <c r="E226" s="14" t="str">
        <f>_xlfn.CONCAT("0",Tableau1[[#This Row],[N° Semaine]])</f>
        <v>022</v>
      </c>
      <c r="F226" s="14" t="str">
        <f>_xlfn.CONCAT("S",Tableau1[[#This Row],[Colonne2]])</f>
        <v>S022</v>
      </c>
      <c r="G226" t="str">
        <f>TEXT(Tableau1[[#This Row],[Date ]],"mmmm")</f>
        <v>mai</v>
      </c>
      <c r="H226" s="2">
        <v>29</v>
      </c>
      <c r="I226" s="2">
        <v>9</v>
      </c>
      <c r="J226" s="2">
        <v>92.5</v>
      </c>
      <c r="K226" s="17">
        <f t="shared" si="3"/>
        <v>170</v>
      </c>
      <c r="L226" t="str">
        <f>CONCATENATE(Tableau1[[#This Row],[Usine]],"-",Tableau1[[#This Row],[Semaine ]])</f>
        <v>#N/A-S022</v>
      </c>
    </row>
    <row r="227" spans="1:12" x14ac:dyDescent="0.3">
      <c r="A227" s="1" t="s">
        <v>5</v>
      </c>
      <c r="B227" s="15">
        <v>44718</v>
      </c>
      <c r="C227" s="14">
        <f>WEEKNUM(Tableau1[[#This Row],[Date ]])</f>
        <v>24</v>
      </c>
      <c r="D227" s="14">
        <f>Tableau1[[#This Row],[Colonne1]]-1</f>
        <v>23</v>
      </c>
      <c r="E227" s="14" t="str">
        <f>_xlfn.CONCAT("0",Tableau1[[#This Row],[N° Semaine]])</f>
        <v>023</v>
      </c>
      <c r="F227" s="14" t="str">
        <f>_xlfn.CONCAT("S",Tableau1[[#This Row],[Colonne2]])</f>
        <v>S023</v>
      </c>
      <c r="G227" t="str">
        <f>TEXT(Tableau1[[#This Row],[Date ]],"mmmm")</f>
        <v>juin</v>
      </c>
      <c r="H227" s="2">
        <v>17</v>
      </c>
      <c r="I227" s="2"/>
      <c r="J227" s="2">
        <v>22.5</v>
      </c>
      <c r="K227" s="17">
        <f t="shared" si="3"/>
        <v>137.5</v>
      </c>
      <c r="L227" t="str">
        <f>CONCATENATE(Tableau1[[#This Row],[Usine]],"-",Tableau1[[#This Row],[Semaine ]])</f>
        <v>Autres-S023</v>
      </c>
    </row>
    <row r="228" spans="1:12" x14ac:dyDescent="0.3">
      <c r="A228" s="1" t="s">
        <v>6</v>
      </c>
      <c r="B228" s="15">
        <v>44718</v>
      </c>
      <c r="C228" s="14">
        <f>WEEKNUM(Tableau1[[#This Row],[Date ]])</f>
        <v>24</v>
      </c>
      <c r="D228" s="14">
        <f>Tableau1[[#This Row],[Colonne1]]-1</f>
        <v>23</v>
      </c>
      <c r="E228" s="14" t="str">
        <f>_xlfn.CONCAT("0",Tableau1[[#This Row],[N° Semaine]])</f>
        <v>023</v>
      </c>
      <c r="F228" s="14" t="str">
        <f>_xlfn.CONCAT("S",Tableau1[[#This Row],[Colonne2]])</f>
        <v>S023</v>
      </c>
      <c r="G228" t="str">
        <f>TEXT(Tableau1[[#This Row],[Date ]],"mmmm")</f>
        <v>juin</v>
      </c>
      <c r="H228" s="2">
        <v>8</v>
      </c>
      <c r="I228" s="2">
        <v>17.5</v>
      </c>
      <c r="J228" s="2">
        <v>72.5</v>
      </c>
      <c r="K228" s="17">
        <f t="shared" si="3"/>
        <v>117</v>
      </c>
      <c r="L228" t="str">
        <f>CONCATENATE(Tableau1[[#This Row],[Usine]],"-",Tableau1[[#This Row],[Semaine ]])</f>
        <v>Biamonique-S023</v>
      </c>
    </row>
    <row r="229" spans="1:12" x14ac:dyDescent="0.3">
      <c r="A229" s="1" t="s">
        <v>7</v>
      </c>
      <c r="B229" s="15">
        <v>44718</v>
      </c>
      <c r="C229" s="14">
        <f>WEEKNUM(Tableau1[[#This Row],[Date ]])</f>
        <v>24</v>
      </c>
      <c r="D229" s="14">
        <f>Tableau1[[#This Row],[Colonne1]]-1</f>
        <v>23</v>
      </c>
      <c r="E229" s="14" t="str">
        <f>_xlfn.CONCAT("0",Tableau1[[#This Row],[N° Semaine]])</f>
        <v>023</v>
      </c>
      <c r="F229" s="14" t="str">
        <f>_xlfn.CONCAT("S",Tableau1[[#This Row],[Colonne2]])</f>
        <v>S023</v>
      </c>
      <c r="G229" t="str">
        <f>TEXT(Tableau1[[#This Row],[Date ]],"mmmm")</f>
        <v>juin</v>
      </c>
      <c r="H229" s="2"/>
      <c r="I229" s="2">
        <v>19</v>
      </c>
      <c r="J229" s="2"/>
      <c r="K229" s="17">
        <f t="shared" si="3"/>
        <v>47.5</v>
      </c>
      <c r="L229" t="str">
        <f>CONCATENATE(Tableau1[[#This Row],[Usine]],"-",Tableau1[[#This Row],[Semaine ]])</f>
        <v>D1-S023</v>
      </c>
    </row>
    <row r="230" spans="1:12" x14ac:dyDescent="0.3">
      <c r="A230" s="1" t="s">
        <v>8</v>
      </c>
      <c r="B230" s="15">
        <v>44718</v>
      </c>
      <c r="C230" s="14">
        <f>WEEKNUM(Tableau1[[#This Row],[Date ]])</f>
        <v>24</v>
      </c>
      <c r="D230" s="14">
        <f>Tableau1[[#This Row],[Colonne1]]-1</f>
        <v>23</v>
      </c>
      <c r="E230" s="14" t="str">
        <f>_xlfn.CONCAT("0",Tableau1[[#This Row],[N° Semaine]])</f>
        <v>023</v>
      </c>
      <c r="F230" s="14" t="str">
        <f>_xlfn.CONCAT("S",Tableau1[[#This Row],[Colonne2]])</f>
        <v>S023</v>
      </c>
      <c r="G230" t="str">
        <f>TEXT(Tableau1[[#This Row],[Date ]],"mmmm")</f>
        <v>juin</v>
      </c>
      <c r="H230" s="2">
        <v>24.5</v>
      </c>
      <c r="I230" s="2">
        <v>4</v>
      </c>
      <c r="J230" s="2"/>
      <c r="K230" s="17">
        <f t="shared" si="3"/>
        <v>39</v>
      </c>
      <c r="L230" t="str">
        <f>CONCATENATE(Tableau1[[#This Row],[Usine]],"-",Tableau1[[#This Row],[Semaine ]])</f>
        <v>Engrais-S023</v>
      </c>
    </row>
    <row r="231" spans="1:12" x14ac:dyDescent="0.3">
      <c r="A231" s="1" t="s">
        <v>9</v>
      </c>
      <c r="B231" s="15">
        <v>44718</v>
      </c>
      <c r="C231" s="14">
        <f>WEEKNUM(Tableau1[[#This Row],[Date ]])</f>
        <v>24</v>
      </c>
      <c r="D231" s="14">
        <f>Tableau1[[#This Row],[Colonne1]]-1</f>
        <v>23</v>
      </c>
      <c r="E231" s="14" t="str">
        <f>_xlfn.CONCAT("0",Tableau1[[#This Row],[N° Semaine]])</f>
        <v>023</v>
      </c>
      <c r="F231" s="14" t="str">
        <f>_xlfn.CONCAT("S",Tableau1[[#This Row],[Colonne2]])</f>
        <v>S023</v>
      </c>
      <c r="G231" t="str">
        <f>TEXT(Tableau1[[#This Row],[Date ]],"mmmm")</f>
        <v>juin</v>
      </c>
      <c r="H231" s="2">
        <v>8.5</v>
      </c>
      <c r="I231" s="2"/>
      <c r="J231" s="2">
        <v>2</v>
      </c>
      <c r="K231" s="17">
        <f t="shared" si="3"/>
        <v>944</v>
      </c>
      <c r="L231" t="str">
        <f>CONCATENATE(Tableau1[[#This Row],[Usine]],"-",Tableau1[[#This Row],[Semaine ]])</f>
        <v>Entretien-S023</v>
      </c>
    </row>
    <row r="232" spans="1:12" x14ac:dyDescent="0.3">
      <c r="A232" s="1" t="s">
        <v>10</v>
      </c>
      <c r="B232" s="15">
        <v>44718</v>
      </c>
      <c r="C232" s="14">
        <f>WEEKNUM(Tableau1[[#This Row],[Date ]])</f>
        <v>24</v>
      </c>
      <c r="D232" s="14">
        <f>Tableau1[[#This Row],[Colonne1]]-1</f>
        <v>23</v>
      </c>
      <c r="E232" s="14" t="str">
        <f>_xlfn.CONCAT("0",Tableau1[[#This Row],[N° Semaine]])</f>
        <v>023</v>
      </c>
      <c r="F232" s="14" t="str">
        <f>_xlfn.CONCAT("S",Tableau1[[#This Row],[Colonne2]])</f>
        <v>S023</v>
      </c>
      <c r="G232" t="str">
        <f>TEXT(Tableau1[[#This Row],[Date ]],"mmmm")</f>
        <v>juin</v>
      </c>
      <c r="H232" s="2">
        <v>23.5</v>
      </c>
      <c r="I232" s="2">
        <v>84</v>
      </c>
      <c r="J232" s="2">
        <v>826</v>
      </c>
      <c r="K232" s="17">
        <f t="shared" si="3"/>
        <v>1038.5</v>
      </c>
      <c r="L232" t="str">
        <f>CONCATENATE(Tableau1[[#This Row],[Usine]],"-",Tableau1[[#This Row],[Semaine ]])</f>
        <v>P2O5-S023</v>
      </c>
    </row>
    <row r="233" spans="1:12" x14ac:dyDescent="0.3">
      <c r="A233" s="1" t="s">
        <v>11</v>
      </c>
      <c r="B233" s="15">
        <v>44718</v>
      </c>
      <c r="C233" s="14">
        <f>WEEKNUM(Tableau1[[#This Row],[Date ]])</f>
        <v>24</v>
      </c>
      <c r="D233" s="14">
        <f>Tableau1[[#This Row],[Colonne1]]-1</f>
        <v>23</v>
      </c>
      <c r="E233" s="14" t="str">
        <f>_xlfn.CONCAT("0",Tableau1[[#This Row],[N° Semaine]])</f>
        <v>023</v>
      </c>
      <c r="F233" s="14" t="str">
        <f>_xlfn.CONCAT("S",Tableau1[[#This Row],[Colonne2]])</f>
        <v>S023</v>
      </c>
      <c r="G233" t="str">
        <f>TEXT(Tableau1[[#This Row],[Date ]],"mmmm")</f>
        <v>juin</v>
      </c>
      <c r="H233" s="2">
        <v>7</v>
      </c>
      <c r="I233" s="2">
        <v>89</v>
      </c>
      <c r="J233" s="2">
        <v>9</v>
      </c>
      <c r="K233" s="17">
        <f t="shared" si="3"/>
        <v>106.5</v>
      </c>
      <c r="L233" t="str">
        <f>CONCATENATE(Tableau1[[#This Row],[Usine]],"-",Tableau1[[#This Row],[Semaine ]])</f>
        <v>PTA-S023</v>
      </c>
    </row>
    <row r="234" spans="1:12" x14ac:dyDescent="0.3">
      <c r="A234" s="1" t="s">
        <v>25</v>
      </c>
      <c r="B234" s="15">
        <v>44718</v>
      </c>
      <c r="C234" s="14">
        <f>WEEKNUM(Tableau1[[#This Row],[Date ]])</f>
        <v>24</v>
      </c>
      <c r="D234" s="14">
        <f>Tableau1[[#This Row],[Colonne1]]-1</f>
        <v>23</v>
      </c>
      <c r="E234" s="14" t="str">
        <f>_xlfn.CONCAT("0",Tableau1[[#This Row],[N° Semaine]])</f>
        <v>023</v>
      </c>
      <c r="F234" s="14" t="str">
        <f>_xlfn.CONCAT("S",Tableau1[[#This Row],[Colonne2]])</f>
        <v>S023</v>
      </c>
      <c r="G234" t="str">
        <f>TEXT(Tableau1[[#This Row],[Date ]],"mmmm")</f>
        <v>juin</v>
      </c>
      <c r="H234" s="2">
        <v>1.5</v>
      </c>
      <c r="I234" s="2"/>
      <c r="J234" s="2"/>
      <c r="K234" s="17">
        <f t="shared" si="3"/>
        <v>192.5</v>
      </c>
      <c r="L234" t="str">
        <f>CONCATENATE(Tableau1[[#This Row],[Usine]],"-",Tableau1[[#This Row],[Semaine ]])</f>
        <v>Silox-S023</v>
      </c>
    </row>
    <row r="235" spans="1:12" x14ac:dyDescent="0.3">
      <c r="A235" s="1" t="s">
        <v>12</v>
      </c>
      <c r="B235" s="15">
        <v>44718</v>
      </c>
      <c r="C235" s="14">
        <f>WEEKNUM(Tableau1[[#This Row],[Date ]])</f>
        <v>24</v>
      </c>
      <c r="D235" s="14">
        <f>Tableau1[[#This Row],[Colonne1]]-1</f>
        <v>23</v>
      </c>
      <c r="E235" s="14" t="str">
        <f>_xlfn.CONCAT("0",Tableau1[[#This Row],[N° Semaine]])</f>
        <v>023</v>
      </c>
      <c r="F235" s="14" t="str">
        <f>_xlfn.CONCAT("S",Tableau1[[#This Row],[Colonne2]])</f>
        <v>S023</v>
      </c>
      <c r="G235" t="str">
        <f>TEXT(Tableau1[[#This Row],[Date ]],"mmmm")</f>
        <v>juin</v>
      </c>
      <c r="H235" s="2">
        <v>6.5</v>
      </c>
      <c r="I235" s="2">
        <v>180</v>
      </c>
      <c r="J235" s="2">
        <v>4.5</v>
      </c>
      <c r="K235" s="17">
        <f t="shared" si="3"/>
        <v>256.5</v>
      </c>
      <c r="L235" t="str">
        <f>CONCATENATE(Tableau1[[#This Row],[Usine]],"-",Tableau1[[#This Row],[Semaine ]])</f>
        <v>Soufre &amp; Energie - Sulfine-S023</v>
      </c>
    </row>
    <row r="236" spans="1:12" x14ac:dyDescent="0.3">
      <c r="A236" s="1" t="s">
        <v>13</v>
      </c>
      <c r="B236" s="15">
        <v>44718</v>
      </c>
      <c r="C236" s="14">
        <f>WEEKNUM(Tableau1[[#This Row],[Date ]])</f>
        <v>24</v>
      </c>
      <c r="D236" s="14">
        <f>Tableau1[[#This Row],[Colonne1]]-1</f>
        <v>23</v>
      </c>
      <c r="E236" s="14" t="str">
        <f>_xlfn.CONCAT("0",Tableau1[[#This Row],[N° Semaine]])</f>
        <v>023</v>
      </c>
      <c r="F236" s="14" t="str">
        <f>_xlfn.CONCAT("S",Tableau1[[#This Row],[Colonne2]])</f>
        <v>S023</v>
      </c>
      <c r="G236" t="str">
        <f>TEXT(Tableau1[[#This Row],[Date ]],"mmmm")</f>
        <v>juin</v>
      </c>
      <c r="H236" s="2">
        <v>41.5</v>
      </c>
      <c r="I236" s="2">
        <v>22</v>
      </c>
      <c r="J236" s="2">
        <v>2</v>
      </c>
      <c r="K236" s="17">
        <f t="shared" si="3"/>
        <v>124.5</v>
      </c>
      <c r="L236" t="str">
        <f>CONCATENATE(Tableau1[[#This Row],[Usine]],"-",Tableau1[[#This Row],[Semaine ]])</f>
        <v>Zéoline-S023</v>
      </c>
    </row>
    <row r="237" spans="1:12" x14ac:dyDescent="0.3">
      <c r="A237" s="1" t="s">
        <v>14</v>
      </c>
      <c r="B237" s="15">
        <v>44718</v>
      </c>
      <c r="C237" s="14">
        <f>WEEKNUM(Tableau1[[#This Row],[Date ]])</f>
        <v>24</v>
      </c>
      <c r="D237" s="14">
        <f>Tableau1[[#This Row],[Colonne1]]-1</f>
        <v>23</v>
      </c>
      <c r="E237" s="14" t="str">
        <f>_xlfn.CONCAT("0",Tableau1[[#This Row],[N° Semaine]])</f>
        <v>023</v>
      </c>
      <c r="F237" s="14" t="str">
        <f>_xlfn.CONCAT("S",Tableau1[[#This Row],[Colonne2]])</f>
        <v>S023</v>
      </c>
      <c r="G237" t="str">
        <f>TEXT(Tableau1[[#This Row],[Date ]],"mmmm")</f>
        <v>juin</v>
      </c>
      <c r="H237" s="2"/>
      <c r="I237" s="2">
        <v>42</v>
      </c>
      <c r="J237" s="2">
        <v>17</v>
      </c>
      <c r="K237" s="17">
        <f t="shared" si="3"/>
        <v>90.5</v>
      </c>
      <c r="L237" t="str">
        <f>CONCATENATE(Tableau1[[#This Row],[Usine]],"-",Tableau1[[#This Row],[Semaine ]])</f>
        <v>#N/A-S023</v>
      </c>
    </row>
    <row r="238" spans="1:12" x14ac:dyDescent="0.3">
      <c r="A238" s="1" t="s">
        <v>5</v>
      </c>
      <c r="B238" s="15">
        <v>44725</v>
      </c>
      <c r="C238" s="14">
        <f>WEEKNUM(Tableau1[[#This Row],[Date ]])</f>
        <v>25</v>
      </c>
      <c r="D238" s="14">
        <f>Tableau1[[#This Row],[Colonne1]]-1</f>
        <v>24</v>
      </c>
      <c r="E238" s="14" t="str">
        <f>_xlfn.CONCAT("0",Tableau1[[#This Row],[N° Semaine]])</f>
        <v>024</v>
      </c>
      <c r="F238" s="14" t="str">
        <f>_xlfn.CONCAT("S",Tableau1[[#This Row],[Colonne2]])</f>
        <v>S024</v>
      </c>
      <c r="G238" t="str">
        <f>TEXT(Tableau1[[#This Row],[Date ]],"mmmm")</f>
        <v>juin</v>
      </c>
      <c r="H238" s="2"/>
      <c r="I238" s="2">
        <v>15</v>
      </c>
      <c r="J238" s="2">
        <v>16.5</v>
      </c>
      <c r="K238" s="17">
        <f t="shared" si="3"/>
        <v>39</v>
      </c>
      <c r="L238" t="str">
        <f>CONCATENATE(Tableau1[[#This Row],[Usine]],"-",Tableau1[[#This Row],[Semaine ]])</f>
        <v>Autres-S024</v>
      </c>
    </row>
    <row r="239" spans="1:12" x14ac:dyDescent="0.3">
      <c r="A239" s="1" t="s">
        <v>6</v>
      </c>
      <c r="B239" s="15">
        <v>44725</v>
      </c>
      <c r="C239" s="14">
        <f>WEEKNUM(Tableau1[[#This Row],[Date ]])</f>
        <v>25</v>
      </c>
      <c r="D239" s="14">
        <f>Tableau1[[#This Row],[Colonne1]]-1</f>
        <v>24</v>
      </c>
      <c r="E239" s="14" t="str">
        <f>_xlfn.CONCAT("0",Tableau1[[#This Row],[N° Semaine]])</f>
        <v>024</v>
      </c>
      <c r="F239" s="14" t="str">
        <f>_xlfn.CONCAT("S",Tableau1[[#This Row],[Colonne2]])</f>
        <v>S024</v>
      </c>
      <c r="G239" t="str">
        <f>TEXT(Tableau1[[#This Row],[Date ]],"mmmm")</f>
        <v>juin</v>
      </c>
      <c r="H239" s="2"/>
      <c r="I239" s="2">
        <v>7.5</v>
      </c>
      <c r="J239" s="2"/>
      <c r="K239" s="17">
        <f t="shared" si="3"/>
        <v>9.5</v>
      </c>
      <c r="L239" t="str">
        <f>CONCATENATE(Tableau1[[#This Row],[Usine]],"-",Tableau1[[#This Row],[Semaine ]])</f>
        <v>Biamonique-S024</v>
      </c>
    </row>
    <row r="240" spans="1:12" x14ac:dyDescent="0.3">
      <c r="A240" s="1" t="s">
        <v>7</v>
      </c>
      <c r="B240" s="15">
        <v>44725</v>
      </c>
      <c r="C240" s="14">
        <f>WEEKNUM(Tableau1[[#This Row],[Date ]])</f>
        <v>25</v>
      </c>
      <c r="D240" s="14">
        <f>Tableau1[[#This Row],[Colonne1]]-1</f>
        <v>24</v>
      </c>
      <c r="E240" s="14" t="str">
        <f>_xlfn.CONCAT("0",Tableau1[[#This Row],[N° Semaine]])</f>
        <v>024</v>
      </c>
      <c r="F240" s="14" t="str">
        <f>_xlfn.CONCAT("S",Tableau1[[#This Row],[Colonne2]])</f>
        <v>S024</v>
      </c>
      <c r="G240" t="str">
        <f>TEXT(Tableau1[[#This Row],[Date ]],"mmmm")</f>
        <v>juin</v>
      </c>
      <c r="H240" s="2"/>
      <c r="I240" s="2">
        <v>2</v>
      </c>
      <c r="J240" s="2"/>
      <c r="K240" s="17">
        <f t="shared" si="3"/>
        <v>183.75</v>
      </c>
      <c r="L240" t="str">
        <f>CONCATENATE(Tableau1[[#This Row],[Usine]],"-",Tableau1[[#This Row],[Semaine ]])</f>
        <v>D1-S024</v>
      </c>
    </row>
    <row r="241" spans="1:12" x14ac:dyDescent="0.3">
      <c r="A241" s="1" t="s">
        <v>8</v>
      </c>
      <c r="B241" s="15">
        <v>44725</v>
      </c>
      <c r="C241" s="14">
        <f>WEEKNUM(Tableau1[[#This Row],[Date ]])</f>
        <v>25</v>
      </c>
      <c r="D241" s="14">
        <f>Tableau1[[#This Row],[Colonne1]]-1</f>
        <v>24</v>
      </c>
      <c r="E241" s="14" t="str">
        <f>_xlfn.CONCAT("0",Tableau1[[#This Row],[N° Semaine]])</f>
        <v>024</v>
      </c>
      <c r="F241" s="14" t="str">
        <f>_xlfn.CONCAT("S",Tableau1[[#This Row],[Colonne2]])</f>
        <v>S024</v>
      </c>
      <c r="G241" t="str">
        <f>TEXT(Tableau1[[#This Row],[Date ]],"mmmm")</f>
        <v>juin</v>
      </c>
      <c r="H241" s="2">
        <v>54.5</v>
      </c>
      <c r="I241" s="2">
        <v>62.25</v>
      </c>
      <c r="J241" s="2">
        <v>65</v>
      </c>
      <c r="K241" s="17">
        <f t="shared" si="3"/>
        <v>192.25</v>
      </c>
      <c r="L241" t="str">
        <f>CONCATENATE(Tableau1[[#This Row],[Usine]],"-",Tableau1[[#This Row],[Semaine ]])</f>
        <v>Engrais-S024</v>
      </c>
    </row>
    <row r="242" spans="1:12" x14ac:dyDescent="0.3">
      <c r="A242" s="1" t="s">
        <v>9</v>
      </c>
      <c r="B242" s="15">
        <v>44725</v>
      </c>
      <c r="C242" s="14">
        <f>WEEKNUM(Tableau1[[#This Row],[Date ]])</f>
        <v>25</v>
      </c>
      <c r="D242" s="14">
        <f>Tableau1[[#This Row],[Colonne1]]-1</f>
        <v>24</v>
      </c>
      <c r="E242" s="14" t="str">
        <f>_xlfn.CONCAT("0",Tableau1[[#This Row],[N° Semaine]])</f>
        <v>024</v>
      </c>
      <c r="F242" s="14" t="str">
        <f>_xlfn.CONCAT("S",Tableau1[[#This Row],[Colonne2]])</f>
        <v>S024</v>
      </c>
      <c r="G242" t="str">
        <f>TEXT(Tableau1[[#This Row],[Date ]],"mmmm")</f>
        <v>juin</v>
      </c>
      <c r="H242" s="2">
        <v>7.5</v>
      </c>
      <c r="I242" s="2"/>
      <c r="J242" s="2">
        <v>3</v>
      </c>
      <c r="K242" s="17">
        <f t="shared" si="3"/>
        <v>457.75</v>
      </c>
      <c r="L242" t="str">
        <f>CONCATENATE(Tableau1[[#This Row],[Usine]],"-",Tableau1[[#This Row],[Semaine ]])</f>
        <v>Entretien-S024</v>
      </c>
    </row>
    <row r="243" spans="1:12" x14ac:dyDescent="0.3">
      <c r="A243" s="1" t="s">
        <v>10</v>
      </c>
      <c r="B243" s="15">
        <v>44725</v>
      </c>
      <c r="C243" s="14">
        <f>WEEKNUM(Tableau1[[#This Row],[Date ]])</f>
        <v>25</v>
      </c>
      <c r="D243" s="14">
        <f>Tableau1[[#This Row],[Colonne1]]-1</f>
        <v>24</v>
      </c>
      <c r="E243" s="14" t="str">
        <f>_xlfn.CONCAT("0",Tableau1[[#This Row],[N° Semaine]])</f>
        <v>024</v>
      </c>
      <c r="F243" s="14" t="str">
        <f>_xlfn.CONCAT("S",Tableau1[[#This Row],[Colonne2]])</f>
        <v>S024</v>
      </c>
      <c r="G243" t="str">
        <f>TEXT(Tableau1[[#This Row],[Date ]],"mmmm")</f>
        <v>juin</v>
      </c>
      <c r="H243" s="2">
        <v>20</v>
      </c>
      <c r="I243" s="2">
        <v>198.5</v>
      </c>
      <c r="J243" s="2">
        <v>228.75</v>
      </c>
      <c r="K243" s="17">
        <f t="shared" si="3"/>
        <v>640.75</v>
      </c>
      <c r="L243" t="str">
        <f>CONCATENATE(Tableau1[[#This Row],[Usine]],"-",Tableau1[[#This Row],[Semaine ]])</f>
        <v>P2O5-S024</v>
      </c>
    </row>
    <row r="244" spans="1:12" x14ac:dyDescent="0.3">
      <c r="A244" s="1" t="s">
        <v>11</v>
      </c>
      <c r="B244" s="15">
        <v>44725</v>
      </c>
      <c r="C244" s="14">
        <f>WEEKNUM(Tableau1[[#This Row],[Date ]])</f>
        <v>25</v>
      </c>
      <c r="D244" s="14">
        <f>Tableau1[[#This Row],[Colonne1]]-1</f>
        <v>24</v>
      </c>
      <c r="E244" s="14" t="str">
        <f>_xlfn.CONCAT("0",Tableau1[[#This Row],[N° Semaine]])</f>
        <v>024</v>
      </c>
      <c r="F244" s="14" t="str">
        <f>_xlfn.CONCAT("S",Tableau1[[#This Row],[Colonne2]])</f>
        <v>S024</v>
      </c>
      <c r="G244" t="str">
        <f>TEXT(Tableau1[[#This Row],[Date ]],"mmmm")</f>
        <v>juin</v>
      </c>
      <c r="H244" s="2">
        <v>45</v>
      </c>
      <c r="I244" s="2">
        <v>126</v>
      </c>
      <c r="J244" s="2">
        <v>22.5</v>
      </c>
      <c r="K244" s="17">
        <f t="shared" si="3"/>
        <v>470.5</v>
      </c>
      <c r="L244" t="str">
        <f>CONCATENATE(Tableau1[[#This Row],[Usine]],"-",Tableau1[[#This Row],[Semaine ]])</f>
        <v>PTA-S024</v>
      </c>
    </row>
    <row r="245" spans="1:12" x14ac:dyDescent="0.3">
      <c r="A245" s="1" t="s">
        <v>12</v>
      </c>
      <c r="B245" s="15">
        <v>44725</v>
      </c>
      <c r="C245" s="14">
        <f>WEEKNUM(Tableau1[[#This Row],[Date ]])</f>
        <v>25</v>
      </c>
      <c r="D245" s="14">
        <f>Tableau1[[#This Row],[Colonne1]]-1</f>
        <v>24</v>
      </c>
      <c r="E245" s="14" t="str">
        <f>_xlfn.CONCAT("0",Tableau1[[#This Row],[N° Semaine]])</f>
        <v>024</v>
      </c>
      <c r="F245" s="14" t="str">
        <f>_xlfn.CONCAT("S",Tableau1[[#This Row],[Colonne2]])</f>
        <v>S024</v>
      </c>
      <c r="G245" t="str">
        <f>TEXT(Tableau1[[#This Row],[Date ]],"mmmm")</f>
        <v>juin</v>
      </c>
      <c r="H245" s="2">
        <v>118</v>
      </c>
      <c r="I245" s="2">
        <v>118</v>
      </c>
      <c r="J245" s="2">
        <v>41</v>
      </c>
      <c r="K245" s="17">
        <f t="shared" si="3"/>
        <v>287</v>
      </c>
      <c r="L245" t="str">
        <f>CONCATENATE(Tableau1[[#This Row],[Usine]],"-",Tableau1[[#This Row],[Semaine ]])</f>
        <v>Soufre &amp; Energie - Sulfine-S024</v>
      </c>
    </row>
    <row r="246" spans="1:12" x14ac:dyDescent="0.3">
      <c r="A246" s="1" t="s">
        <v>13</v>
      </c>
      <c r="B246" s="15">
        <v>44725</v>
      </c>
      <c r="C246" s="14">
        <f>WEEKNUM(Tableau1[[#This Row],[Date ]])</f>
        <v>25</v>
      </c>
      <c r="D246" s="14">
        <f>Tableau1[[#This Row],[Colonne1]]-1</f>
        <v>24</v>
      </c>
      <c r="E246" s="14" t="str">
        <f>_xlfn.CONCAT("0",Tableau1[[#This Row],[N° Semaine]])</f>
        <v>024</v>
      </c>
      <c r="F246" s="14" t="str">
        <f>_xlfn.CONCAT("S",Tableau1[[#This Row],[Colonne2]])</f>
        <v>S024</v>
      </c>
      <c r="G246" t="str">
        <f>TEXT(Tableau1[[#This Row],[Date ]],"mmmm")</f>
        <v>juin</v>
      </c>
      <c r="H246" s="2"/>
      <c r="I246" s="2">
        <v>10</v>
      </c>
      <c r="J246" s="2"/>
      <c r="K246" s="17">
        <f t="shared" si="3"/>
        <v>123</v>
      </c>
      <c r="L246" t="str">
        <f>CONCATENATE(Tableau1[[#This Row],[Usine]],"-",Tableau1[[#This Row],[Semaine ]])</f>
        <v>Zéoline-S024</v>
      </c>
    </row>
    <row r="247" spans="1:12" x14ac:dyDescent="0.3">
      <c r="A247" s="1" t="s">
        <v>14</v>
      </c>
      <c r="B247" s="15">
        <v>44725</v>
      </c>
      <c r="C247" s="14">
        <f>WEEKNUM(Tableau1[[#This Row],[Date ]])</f>
        <v>25</v>
      </c>
      <c r="D247" s="14">
        <f>Tableau1[[#This Row],[Colonne1]]-1</f>
        <v>24</v>
      </c>
      <c r="E247" s="14" t="str">
        <f>_xlfn.CONCAT("0",Tableau1[[#This Row],[N° Semaine]])</f>
        <v>024</v>
      </c>
      <c r="F247" s="14" t="str">
        <f>_xlfn.CONCAT("S",Tableau1[[#This Row],[Colonne2]])</f>
        <v>S024</v>
      </c>
      <c r="G247" t="str">
        <f>TEXT(Tableau1[[#This Row],[Date ]],"mmmm")</f>
        <v>juin</v>
      </c>
      <c r="H247" s="2">
        <v>42.5</v>
      </c>
      <c r="I247" s="2">
        <v>70.5</v>
      </c>
      <c r="J247" s="2"/>
      <c r="K247" s="17">
        <f t="shared" si="3"/>
        <v>113</v>
      </c>
      <c r="L247" t="str">
        <f>CONCATENATE(Tableau1[[#This Row],[Usine]],"-",Tableau1[[#This Row],[Semaine ]])</f>
        <v>#N/A-S024</v>
      </c>
    </row>
    <row r="248" spans="1:12" x14ac:dyDescent="0.3">
      <c r="A248" s="1"/>
      <c r="B248" s="15"/>
      <c r="C248" s="14">
        <f>WEEKNUM(Tableau1[[#This Row],[Date ]])</f>
        <v>0</v>
      </c>
      <c r="D248" s="14">
        <f>Tableau1[[#This Row],[Colonne1]]-1</f>
        <v>-1</v>
      </c>
      <c r="E248" s="14" t="str">
        <f>_xlfn.CONCAT("0",Tableau1[[#This Row],[N° Semaine]])</f>
        <v>0-1</v>
      </c>
      <c r="F248" s="14" t="str">
        <f>_xlfn.CONCAT("S",Tableau1[[#This Row],[Colonne2]])</f>
        <v>S0-1</v>
      </c>
      <c r="G248" t="str">
        <f>TEXT(Tableau1[[#This Row],[Date ]],"mmmm")</f>
        <v>janvier</v>
      </c>
      <c r="H248" s="2"/>
      <c r="I248" s="2"/>
      <c r="J248" s="2"/>
      <c r="K248" s="17">
        <f t="shared" si="3"/>
        <v>0</v>
      </c>
      <c r="L248" t="str">
        <f>CONCATENATE(Tableau1[[#This Row],[Usine]],"-",Tableau1[[#This Row],[Semaine ]])</f>
        <v>-S0-1</v>
      </c>
    </row>
    <row r="249" spans="1:12" x14ac:dyDescent="0.3">
      <c r="A249" s="1"/>
      <c r="B249" s="15"/>
      <c r="C249" s="14">
        <f>WEEKNUM(Tableau1[[#This Row],[Date ]])</f>
        <v>0</v>
      </c>
      <c r="D249" s="14">
        <f>Tableau1[[#This Row],[Colonne1]]-1</f>
        <v>-1</v>
      </c>
      <c r="E249" s="14" t="str">
        <f>_xlfn.CONCAT("0",Tableau1[[#This Row],[N° Semaine]])</f>
        <v>0-1</v>
      </c>
      <c r="F249" s="14" t="str">
        <f>_xlfn.CONCAT("S",Tableau1[[#This Row],[Colonne2]])</f>
        <v>S0-1</v>
      </c>
      <c r="G249" t="str">
        <f>TEXT(Tableau1[[#This Row],[Date ]],"mmmm")</f>
        <v>janvier</v>
      </c>
      <c r="H249" s="2"/>
      <c r="I249" s="2"/>
      <c r="J249" s="2"/>
      <c r="K249" s="17">
        <f t="shared" si="3"/>
        <v>0</v>
      </c>
      <c r="L249" t="str">
        <f>CONCATENATE(Tableau1[[#This Row],[Usine]],"-",Tableau1[[#This Row],[Semaine ]])</f>
        <v>-S0-1</v>
      </c>
    </row>
    <row r="250" spans="1:12" x14ac:dyDescent="0.3">
      <c r="A250" s="1"/>
      <c r="B250" s="15"/>
      <c r="C250" s="14">
        <f>WEEKNUM(Tableau1[[#This Row],[Date ]])</f>
        <v>0</v>
      </c>
      <c r="D250" s="14">
        <f>Tableau1[[#This Row],[Colonne1]]-1</f>
        <v>-1</v>
      </c>
      <c r="E250" s="14" t="str">
        <f>_xlfn.CONCAT("0",Tableau1[[#This Row],[N° Semaine]])</f>
        <v>0-1</v>
      </c>
      <c r="F250" s="14" t="str">
        <f>_xlfn.CONCAT("S",Tableau1[[#This Row],[Colonne2]])</f>
        <v>S0-1</v>
      </c>
      <c r="G250" t="str">
        <f>TEXT(Tableau1[[#This Row],[Date ]],"mmmm")</f>
        <v>janvier</v>
      </c>
      <c r="H250" s="2"/>
      <c r="I250" s="2"/>
      <c r="J250" s="2"/>
      <c r="K250" s="17">
        <f t="shared" si="3"/>
        <v>0</v>
      </c>
      <c r="L250" t="str">
        <f>CONCATENATE(Tableau1[[#This Row],[Usine]],"-",Tableau1[[#This Row],[Semaine ]])</f>
        <v>-S0-1</v>
      </c>
    </row>
    <row r="251" spans="1:12" x14ac:dyDescent="0.3">
      <c r="A251" s="1"/>
      <c r="B251" s="15"/>
      <c r="C251" s="14">
        <f>WEEKNUM(Tableau1[[#This Row],[Date ]])</f>
        <v>0</v>
      </c>
      <c r="D251" s="14">
        <f>Tableau1[[#This Row],[Colonne1]]-1</f>
        <v>-1</v>
      </c>
      <c r="E251" s="14" t="str">
        <f>_xlfn.CONCAT("0",Tableau1[[#This Row],[N° Semaine]])</f>
        <v>0-1</v>
      </c>
      <c r="F251" s="14" t="str">
        <f>_xlfn.CONCAT("S",Tableau1[[#This Row],[Colonne2]])</f>
        <v>S0-1</v>
      </c>
      <c r="G251" t="str">
        <f>TEXT(Tableau1[[#This Row],[Date ]],"mmmm")</f>
        <v>janvier</v>
      </c>
      <c r="H251" s="2"/>
      <c r="I251" s="2"/>
      <c r="J251" s="2"/>
      <c r="K251" s="17">
        <f t="shared" si="3"/>
        <v>0</v>
      </c>
      <c r="L251" t="str">
        <f>CONCATENATE(Tableau1[[#This Row],[Usine]],"-",Tableau1[[#This Row],[Semaine ]])</f>
        <v>-S0-1</v>
      </c>
    </row>
    <row r="252" spans="1:12" x14ac:dyDescent="0.3">
      <c r="A252" s="1"/>
      <c r="B252" s="15"/>
      <c r="C252" s="14">
        <f>WEEKNUM(Tableau1[[#This Row],[Date ]])</f>
        <v>0</v>
      </c>
      <c r="D252" s="14">
        <f>Tableau1[[#This Row],[Colonne1]]-1</f>
        <v>-1</v>
      </c>
      <c r="E252" s="14" t="str">
        <f>_xlfn.CONCAT("0",Tableau1[[#This Row],[N° Semaine]])</f>
        <v>0-1</v>
      </c>
      <c r="F252" s="14" t="str">
        <f>_xlfn.CONCAT("S",Tableau1[[#This Row],[Colonne2]])</f>
        <v>S0-1</v>
      </c>
      <c r="G252" t="str">
        <f>TEXT(Tableau1[[#This Row],[Date ]],"mmmm")</f>
        <v>janvier</v>
      </c>
      <c r="H252" s="2"/>
      <c r="I252" s="2"/>
      <c r="J252" s="2"/>
      <c r="K252" s="17">
        <f t="shared" si="3"/>
        <v>0</v>
      </c>
      <c r="L252" t="str">
        <f>CONCATENATE(Tableau1[[#This Row],[Usine]],"-",Tableau1[[#This Row],[Semaine ]])</f>
        <v>-S0-1</v>
      </c>
    </row>
    <row r="253" spans="1:12" x14ac:dyDescent="0.3">
      <c r="A253" s="1"/>
      <c r="B253" s="15"/>
      <c r="C253" s="14">
        <f>WEEKNUM(Tableau1[[#This Row],[Date ]])</f>
        <v>0</v>
      </c>
      <c r="D253" s="14">
        <f>Tableau1[[#This Row],[Colonne1]]-1</f>
        <v>-1</v>
      </c>
      <c r="E253" s="14" t="str">
        <f>_xlfn.CONCAT("0",Tableau1[[#This Row],[N° Semaine]])</f>
        <v>0-1</v>
      </c>
      <c r="F253" s="14" t="str">
        <f>_xlfn.CONCAT("S",Tableau1[[#This Row],[Colonne2]])</f>
        <v>S0-1</v>
      </c>
      <c r="G253" t="str">
        <f>TEXT(Tableau1[[#This Row],[Date ]],"mmmm")</f>
        <v>janvier</v>
      </c>
      <c r="H253" s="2"/>
      <c r="I253" s="2"/>
      <c r="J253" s="2"/>
      <c r="K253" s="17">
        <f t="shared" si="3"/>
        <v>0</v>
      </c>
      <c r="L253" t="str">
        <f>CONCATENATE(Tableau1[[#This Row],[Usine]],"-",Tableau1[[#This Row],[Semaine ]])</f>
        <v>-S0-1</v>
      </c>
    </row>
    <row r="254" spans="1:12" x14ac:dyDescent="0.3">
      <c r="A254" s="1"/>
      <c r="B254" s="15"/>
      <c r="C254" s="14">
        <f>WEEKNUM(Tableau1[[#This Row],[Date ]])</f>
        <v>0</v>
      </c>
      <c r="D254" s="14">
        <f>Tableau1[[#This Row],[Colonne1]]-1</f>
        <v>-1</v>
      </c>
      <c r="E254" s="14" t="str">
        <f>_xlfn.CONCAT("0",Tableau1[[#This Row],[N° Semaine]])</f>
        <v>0-1</v>
      </c>
      <c r="F254" s="14" t="str">
        <f>_xlfn.CONCAT("S",Tableau1[[#This Row],[Colonne2]])</f>
        <v>S0-1</v>
      </c>
      <c r="G254" t="str">
        <f>TEXT(Tableau1[[#This Row],[Date ]],"mmmm")</f>
        <v>janvier</v>
      </c>
      <c r="H254" s="2"/>
      <c r="I254" s="2"/>
      <c r="J254" s="2"/>
      <c r="K254" s="17">
        <f t="shared" si="3"/>
        <v>0</v>
      </c>
      <c r="L254" t="str">
        <f>CONCATENATE(Tableau1[[#This Row],[Usine]],"-",Tableau1[[#This Row],[Semaine ]])</f>
        <v>-S0-1</v>
      </c>
    </row>
    <row r="255" spans="1:12" x14ac:dyDescent="0.3">
      <c r="A255" s="1"/>
      <c r="B255" s="15"/>
      <c r="C255" s="14">
        <f>WEEKNUM(Tableau1[[#This Row],[Date ]])</f>
        <v>0</v>
      </c>
      <c r="D255" s="14">
        <f>Tableau1[[#This Row],[Colonne1]]-1</f>
        <v>-1</v>
      </c>
      <c r="E255" s="14" t="str">
        <f>_xlfn.CONCAT("0",Tableau1[[#This Row],[N° Semaine]])</f>
        <v>0-1</v>
      </c>
      <c r="F255" s="14" t="str">
        <f>_xlfn.CONCAT("S",Tableau1[[#This Row],[Colonne2]])</f>
        <v>S0-1</v>
      </c>
      <c r="G255" t="str">
        <f>TEXT(Tableau1[[#This Row],[Date ]],"mmmm")</f>
        <v>janvier</v>
      </c>
      <c r="H255" s="2"/>
      <c r="I255" s="2"/>
      <c r="J255" s="2"/>
      <c r="K255" s="17">
        <f t="shared" si="3"/>
        <v>0</v>
      </c>
      <c r="L255" t="str">
        <f>CONCATENATE(Tableau1[[#This Row],[Usine]],"-",Tableau1[[#This Row],[Semaine ]])</f>
        <v>-S0-1</v>
      </c>
    </row>
    <row r="256" spans="1:12" x14ac:dyDescent="0.3">
      <c r="A256" s="1"/>
      <c r="B256" s="15"/>
      <c r="C256" s="14">
        <f>WEEKNUM(Tableau1[[#This Row],[Date ]])</f>
        <v>0</v>
      </c>
      <c r="D256" s="14">
        <f>Tableau1[[#This Row],[Colonne1]]-1</f>
        <v>-1</v>
      </c>
      <c r="E256" s="14" t="str">
        <f>_xlfn.CONCAT("0",Tableau1[[#This Row],[N° Semaine]])</f>
        <v>0-1</v>
      </c>
      <c r="F256" s="14" t="str">
        <f>_xlfn.CONCAT("S",Tableau1[[#This Row],[Colonne2]])</f>
        <v>S0-1</v>
      </c>
      <c r="G256" t="str">
        <f>TEXT(Tableau1[[#This Row],[Date ]],"mmmm")</f>
        <v>janvier</v>
      </c>
      <c r="H256" s="2"/>
      <c r="I256" s="2"/>
      <c r="J256" s="2"/>
      <c r="K256" s="17">
        <f t="shared" si="3"/>
        <v>0</v>
      </c>
      <c r="L256" t="str">
        <f>CONCATENATE(Tableau1[[#This Row],[Usine]],"-",Tableau1[[#This Row],[Semaine ]])</f>
        <v>-S0-1</v>
      </c>
    </row>
    <row r="257" spans="1:12" x14ac:dyDescent="0.3">
      <c r="A257" s="1"/>
      <c r="B257" s="15"/>
      <c r="C257" s="14">
        <f>WEEKNUM(Tableau1[[#This Row],[Date ]])</f>
        <v>0</v>
      </c>
      <c r="D257" s="14">
        <f>Tableau1[[#This Row],[Colonne1]]-1</f>
        <v>-1</v>
      </c>
      <c r="E257" s="14" t="str">
        <f>_xlfn.CONCAT("0",Tableau1[[#This Row],[N° Semaine]])</f>
        <v>0-1</v>
      </c>
      <c r="F257" s="14" t="str">
        <f>_xlfn.CONCAT("S",Tableau1[[#This Row],[Colonne2]])</f>
        <v>S0-1</v>
      </c>
      <c r="G257" t="str">
        <f>TEXT(Tableau1[[#This Row],[Date ]],"mmmm")</f>
        <v>janvier</v>
      </c>
      <c r="H257" s="2"/>
      <c r="I257" s="2"/>
      <c r="J257" s="2"/>
      <c r="K257" s="17">
        <f t="shared" si="3"/>
        <v>0</v>
      </c>
      <c r="L257" t="str">
        <f>CONCATENATE(Tableau1[[#This Row],[Usine]],"-",Tableau1[[#This Row],[Semaine ]])</f>
        <v>-S0-1</v>
      </c>
    </row>
    <row r="258" spans="1:12" x14ac:dyDescent="0.3">
      <c r="A258" s="1"/>
      <c r="B258" s="15"/>
      <c r="C258" s="14">
        <f>WEEKNUM(Tableau1[[#This Row],[Date ]])</f>
        <v>0</v>
      </c>
      <c r="D258" s="14">
        <f>Tableau1[[#This Row],[Colonne1]]-1</f>
        <v>-1</v>
      </c>
      <c r="E258" s="14" t="str">
        <f>_xlfn.CONCAT("0",Tableau1[[#This Row],[N° Semaine]])</f>
        <v>0-1</v>
      </c>
      <c r="F258" s="14" t="str">
        <f>_xlfn.CONCAT("S",Tableau1[[#This Row],[Colonne2]])</f>
        <v>S0-1</v>
      </c>
      <c r="G258" t="str">
        <f>TEXT(Tableau1[[#This Row],[Date ]],"mmmm")</f>
        <v>janvier</v>
      </c>
      <c r="H258" s="2"/>
      <c r="I258" s="2"/>
      <c r="J258" s="2"/>
      <c r="K258" s="17">
        <f t="shared" ref="K258:K321" si="4">SUM(H258:J259)</f>
        <v>0</v>
      </c>
      <c r="L258" t="str">
        <f>CONCATENATE(Tableau1[[#This Row],[Usine]],"-",Tableau1[[#This Row],[Semaine ]])</f>
        <v>-S0-1</v>
      </c>
    </row>
    <row r="259" spans="1:12" x14ac:dyDescent="0.3">
      <c r="A259" s="1"/>
      <c r="B259" s="15"/>
      <c r="C259" s="14">
        <f>WEEKNUM(Tableau1[[#This Row],[Date ]])</f>
        <v>0</v>
      </c>
      <c r="D259" s="14">
        <f>Tableau1[[#This Row],[Colonne1]]-1</f>
        <v>-1</v>
      </c>
      <c r="E259" s="14" t="str">
        <f>_xlfn.CONCAT("0",Tableau1[[#This Row],[N° Semaine]])</f>
        <v>0-1</v>
      </c>
      <c r="F259" s="14" t="str">
        <f>_xlfn.CONCAT("S",Tableau1[[#This Row],[Colonne2]])</f>
        <v>S0-1</v>
      </c>
      <c r="G259" t="str">
        <f>TEXT(Tableau1[[#This Row],[Date ]],"mmmm")</f>
        <v>janvier</v>
      </c>
      <c r="H259" s="2"/>
      <c r="I259" s="2"/>
      <c r="J259" s="2"/>
      <c r="K259" s="17">
        <f t="shared" si="4"/>
        <v>0</v>
      </c>
      <c r="L259" t="str">
        <f>CONCATENATE(Tableau1[[#This Row],[Usine]],"-",Tableau1[[#This Row],[Semaine ]])</f>
        <v>-S0-1</v>
      </c>
    </row>
    <row r="260" spans="1:12" x14ac:dyDescent="0.3">
      <c r="A260" s="1"/>
      <c r="B260" s="15"/>
      <c r="C260" s="14">
        <f>WEEKNUM(Tableau1[[#This Row],[Date ]])</f>
        <v>0</v>
      </c>
      <c r="D260" s="14">
        <f>Tableau1[[#This Row],[Colonne1]]-1</f>
        <v>-1</v>
      </c>
      <c r="E260" s="14" t="str">
        <f>_xlfn.CONCAT("0",Tableau1[[#This Row],[N° Semaine]])</f>
        <v>0-1</v>
      </c>
      <c r="F260" s="14" t="str">
        <f>_xlfn.CONCAT("S",Tableau1[[#This Row],[Colonne2]])</f>
        <v>S0-1</v>
      </c>
      <c r="G260" t="str">
        <f>TEXT(Tableau1[[#This Row],[Date ]],"mmmm")</f>
        <v>janvier</v>
      </c>
      <c r="H260" s="2"/>
      <c r="I260" s="2"/>
      <c r="J260" s="2"/>
      <c r="K260" s="17">
        <f t="shared" si="4"/>
        <v>0</v>
      </c>
      <c r="L260" t="str">
        <f>CONCATENATE(Tableau1[[#This Row],[Usine]],"-",Tableau1[[#This Row],[Semaine ]])</f>
        <v>-S0-1</v>
      </c>
    </row>
    <row r="261" spans="1:12" x14ac:dyDescent="0.3">
      <c r="A261" s="1"/>
      <c r="B261" s="15"/>
      <c r="C261" s="14">
        <f>WEEKNUM(Tableau1[[#This Row],[Date ]])</f>
        <v>0</v>
      </c>
      <c r="D261" s="14">
        <f>Tableau1[[#This Row],[Colonne1]]-1</f>
        <v>-1</v>
      </c>
      <c r="E261" s="14" t="str">
        <f>_xlfn.CONCAT("0",Tableau1[[#This Row],[N° Semaine]])</f>
        <v>0-1</v>
      </c>
      <c r="F261" s="14" t="str">
        <f>_xlfn.CONCAT("S",Tableau1[[#This Row],[Colonne2]])</f>
        <v>S0-1</v>
      </c>
      <c r="G261" t="str">
        <f>TEXT(Tableau1[[#This Row],[Date ]],"mmmm")</f>
        <v>janvier</v>
      </c>
      <c r="H261" s="2"/>
      <c r="I261" s="2"/>
      <c r="J261" s="2"/>
      <c r="K261" s="17">
        <f t="shared" si="4"/>
        <v>0</v>
      </c>
      <c r="L261" t="str">
        <f>CONCATENATE(Tableau1[[#This Row],[Usine]],"-",Tableau1[[#This Row],[Semaine ]])</f>
        <v>-S0-1</v>
      </c>
    </row>
    <row r="262" spans="1:12" x14ac:dyDescent="0.3">
      <c r="A262" s="1"/>
      <c r="B262" s="15"/>
      <c r="C262" s="14">
        <f>WEEKNUM(Tableau1[[#This Row],[Date ]])</f>
        <v>0</v>
      </c>
      <c r="D262" s="14">
        <f>Tableau1[[#This Row],[Colonne1]]-1</f>
        <v>-1</v>
      </c>
      <c r="E262" s="14" t="str">
        <f>_xlfn.CONCAT("0",Tableau1[[#This Row],[N° Semaine]])</f>
        <v>0-1</v>
      </c>
      <c r="F262" s="14" t="str">
        <f>_xlfn.CONCAT("S",Tableau1[[#This Row],[Colonne2]])</f>
        <v>S0-1</v>
      </c>
      <c r="G262" t="str">
        <f>TEXT(Tableau1[[#This Row],[Date ]],"mmmm")</f>
        <v>janvier</v>
      </c>
      <c r="H262" s="2"/>
      <c r="I262" s="2"/>
      <c r="J262" s="2"/>
      <c r="K262" s="17">
        <f t="shared" si="4"/>
        <v>0</v>
      </c>
      <c r="L262" t="str">
        <f>CONCATENATE(Tableau1[[#This Row],[Usine]],"-",Tableau1[[#This Row],[Semaine ]])</f>
        <v>-S0-1</v>
      </c>
    </row>
    <row r="263" spans="1:12" x14ac:dyDescent="0.3">
      <c r="A263" s="1"/>
      <c r="B263" s="15"/>
      <c r="C263" s="14">
        <f>WEEKNUM(Tableau1[[#This Row],[Date ]])</f>
        <v>0</v>
      </c>
      <c r="D263" s="14">
        <f>Tableau1[[#This Row],[Colonne1]]-1</f>
        <v>-1</v>
      </c>
      <c r="E263" s="14" t="str">
        <f>_xlfn.CONCAT("0",Tableau1[[#This Row],[N° Semaine]])</f>
        <v>0-1</v>
      </c>
      <c r="F263" s="14" t="str">
        <f>_xlfn.CONCAT("S",Tableau1[[#This Row],[Colonne2]])</f>
        <v>S0-1</v>
      </c>
      <c r="G263" t="str">
        <f>TEXT(Tableau1[[#This Row],[Date ]],"mmmm")</f>
        <v>janvier</v>
      </c>
      <c r="H263" s="2"/>
      <c r="I263" s="2"/>
      <c r="J263" s="2"/>
      <c r="K263" s="17">
        <f t="shared" si="4"/>
        <v>0</v>
      </c>
      <c r="L263" t="str">
        <f>CONCATENATE(Tableau1[[#This Row],[Usine]],"-",Tableau1[[#This Row],[Semaine ]])</f>
        <v>-S0-1</v>
      </c>
    </row>
    <row r="264" spans="1:12" x14ac:dyDescent="0.3">
      <c r="A264" s="1"/>
      <c r="B264" s="15"/>
      <c r="C264" s="14">
        <f>WEEKNUM(Tableau1[[#This Row],[Date ]])</f>
        <v>0</v>
      </c>
      <c r="D264" s="14">
        <f>Tableau1[[#This Row],[Colonne1]]-1</f>
        <v>-1</v>
      </c>
      <c r="E264" s="14" t="str">
        <f>_xlfn.CONCAT("0",Tableau1[[#This Row],[N° Semaine]])</f>
        <v>0-1</v>
      </c>
      <c r="F264" s="14" t="str">
        <f>_xlfn.CONCAT("S",Tableau1[[#This Row],[Colonne2]])</f>
        <v>S0-1</v>
      </c>
      <c r="G264" t="str">
        <f>TEXT(Tableau1[[#This Row],[Date ]],"mmmm")</f>
        <v>janvier</v>
      </c>
      <c r="H264" s="2"/>
      <c r="I264" s="2"/>
      <c r="J264" s="2"/>
      <c r="K264" s="17">
        <f t="shared" si="4"/>
        <v>0</v>
      </c>
      <c r="L264" t="str">
        <f>CONCATENATE(Tableau1[[#This Row],[Usine]],"-",Tableau1[[#This Row],[Semaine ]])</f>
        <v>-S0-1</v>
      </c>
    </row>
    <row r="265" spans="1:12" x14ac:dyDescent="0.3">
      <c r="A265" s="1"/>
      <c r="B265" s="15"/>
      <c r="C265" s="14">
        <f>WEEKNUM(Tableau1[[#This Row],[Date ]])</f>
        <v>0</v>
      </c>
      <c r="D265" s="14">
        <f>Tableau1[[#This Row],[Colonne1]]-1</f>
        <v>-1</v>
      </c>
      <c r="E265" s="14" t="str">
        <f>_xlfn.CONCAT("0",Tableau1[[#This Row],[N° Semaine]])</f>
        <v>0-1</v>
      </c>
      <c r="F265" s="14" t="str">
        <f>_xlfn.CONCAT("S",Tableau1[[#This Row],[Colonne2]])</f>
        <v>S0-1</v>
      </c>
      <c r="G265" t="str">
        <f>TEXT(Tableau1[[#This Row],[Date ]],"mmmm")</f>
        <v>janvier</v>
      </c>
      <c r="H265" s="2"/>
      <c r="I265" s="2"/>
      <c r="J265" s="2"/>
      <c r="K265" s="17">
        <f t="shared" si="4"/>
        <v>0</v>
      </c>
      <c r="L265" t="str">
        <f>CONCATENATE(Tableau1[[#This Row],[Usine]],"-",Tableau1[[#This Row],[Semaine ]])</f>
        <v>-S0-1</v>
      </c>
    </row>
    <row r="266" spans="1:12" x14ac:dyDescent="0.3">
      <c r="A266" s="1"/>
      <c r="B266" s="15"/>
      <c r="C266" s="14">
        <f>WEEKNUM(Tableau1[[#This Row],[Date ]])</f>
        <v>0</v>
      </c>
      <c r="D266" s="14">
        <f>Tableau1[[#This Row],[Colonne1]]-1</f>
        <v>-1</v>
      </c>
      <c r="E266" s="14" t="str">
        <f>_xlfn.CONCAT("0",Tableau1[[#This Row],[N° Semaine]])</f>
        <v>0-1</v>
      </c>
      <c r="F266" s="14" t="str">
        <f>_xlfn.CONCAT("S",Tableau1[[#This Row],[Colonne2]])</f>
        <v>S0-1</v>
      </c>
      <c r="G266" t="str">
        <f>TEXT(Tableau1[[#This Row],[Date ]],"mmmm")</f>
        <v>janvier</v>
      </c>
      <c r="H266" s="2"/>
      <c r="I266" s="2"/>
      <c r="J266" s="2"/>
      <c r="K266" s="17">
        <f t="shared" si="4"/>
        <v>0</v>
      </c>
      <c r="L266" t="str">
        <f>CONCATENATE(Tableau1[[#This Row],[Usine]],"-",Tableau1[[#This Row],[Semaine ]])</f>
        <v>-S0-1</v>
      </c>
    </row>
    <row r="267" spans="1:12" x14ac:dyDescent="0.3">
      <c r="A267" s="1"/>
      <c r="B267" s="15"/>
      <c r="C267" s="14">
        <f>WEEKNUM(Tableau1[[#This Row],[Date ]])</f>
        <v>0</v>
      </c>
      <c r="D267" s="14">
        <f>Tableau1[[#This Row],[Colonne1]]-1</f>
        <v>-1</v>
      </c>
      <c r="E267" s="14" t="str">
        <f>_xlfn.CONCAT("0",Tableau1[[#This Row],[N° Semaine]])</f>
        <v>0-1</v>
      </c>
      <c r="F267" s="14" t="str">
        <f>_xlfn.CONCAT("S",Tableau1[[#This Row],[Colonne2]])</f>
        <v>S0-1</v>
      </c>
      <c r="G267" t="str">
        <f>TEXT(Tableau1[[#This Row],[Date ]],"mmmm")</f>
        <v>janvier</v>
      </c>
      <c r="H267" s="2"/>
      <c r="I267" s="2"/>
      <c r="J267" s="2"/>
      <c r="K267" s="17">
        <f t="shared" si="4"/>
        <v>0</v>
      </c>
      <c r="L267" t="str">
        <f>CONCATENATE(Tableau1[[#This Row],[Usine]],"-",Tableau1[[#This Row],[Semaine ]])</f>
        <v>-S0-1</v>
      </c>
    </row>
    <row r="268" spans="1:12" x14ac:dyDescent="0.3">
      <c r="A268" s="1"/>
      <c r="B268" s="15"/>
      <c r="C268" s="14">
        <f>WEEKNUM(Tableau1[[#This Row],[Date ]])</f>
        <v>0</v>
      </c>
      <c r="D268" s="14">
        <f>Tableau1[[#This Row],[Colonne1]]-1</f>
        <v>-1</v>
      </c>
      <c r="E268" s="14" t="str">
        <f>_xlfn.CONCAT("0",Tableau1[[#This Row],[N° Semaine]])</f>
        <v>0-1</v>
      </c>
      <c r="F268" s="14" t="str">
        <f>_xlfn.CONCAT("S",Tableau1[[#This Row],[Colonne2]])</f>
        <v>S0-1</v>
      </c>
      <c r="G268" t="str">
        <f>TEXT(Tableau1[[#This Row],[Date ]],"mmmm")</f>
        <v>janvier</v>
      </c>
      <c r="H268" s="2"/>
      <c r="I268" s="2"/>
      <c r="J268" s="2"/>
      <c r="K268" s="17">
        <f t="shared" si="4"/>
        <v>0</v>
      </c>
      <c r="L268" t="str">
        <f>CONCATENATE(Tableau1[[#This Row],[Usine]],"-",Tableau1[[#This Row],[Semaine ]])</f>
        <v>-S0-1</v>
      </c>
    </row>
    <row r="269" spans="1:12" x14ac:dyDescent="0.3">
      <c r="A269" s="1"/>
      <c r="B269" s="15"/>
      <c r="C269" s="14">
        <f>WEEKNUM(Tableau1[[#This Row],[Date ]])</f>
        <v>0</v>
      </c>
      <c r="D269" s="14">
        <f>Tableau1[[#This Row],[Colonne1]]-1</f>
        <v>-1</v>
      </c>
      <c r="E269" s="14" t="str">
        <f>_xlfn.CONCAT("0",Tableau1[[#This Row],[N° Semaine]])</f>
        <v>0-1</v>
      </c>
      <c r="F269" s="14" t="str">
        <f>_xlfn.CONCAT("S",Tableau1[[#This Row],[Colonne2]])</f>
        <v>S0-1</v>
      </c>
      <c r="G269" t="str">
        <f>TEXT(Tableau1[[#This Row],[Date ]],"mmmm")</f>
        <v>janvier</v>
      </c>
      <c r="H269" s="2"/>
      <c r="I269" s="2"/>
      <c r="J269" s="2"/>
      <c r="K269" s="17">
        <f t="shared" si="4"/>
        <v>0</v>
      </c>
      <c r="L269" t="str">
        <f>CONCATENATE(Tableau1[[#This Row],[Usine]],"-",Tableau1[[#This Row],[Semaine ]])</f>
        <v>-S0-1</v>
      </c>
    </row>
    <row r="270" spans="1:12" x14ac:dyDescent="0.3">
      <c r="A270" s="1"/>
      <c r="B270" s="15"/>
      <c r="C270" s="14">
        <f>WEEKNUM(Tableau1[[#This Row],[Date ]])</f>
        <v>0</v>
      </c>
      <c r="D270" s="14">
        <f>Tableau1[[#This Row],[Colonne1]]-1</f>
        <v>-1</v>
      </c>
      <c r="E270" s="14" t="str">
        <f>_xlfn.CONCAT("0",Tableau1[[#This Row],[N° Semaine]])</f>
        <v>0-1</v>
      </c>
      <c r="F270" s="14" t="str">
        <f>_xlfn.CONCAT("S",Tableau1[[#This Row],[Colonne2]])</f>
        <v>S0-1</v>
      </c>
      <c r="G270" t="str">
        <f>TEXT(Tableau1[[#This Row],[Date ]],"mmmm")</f>
        <v>janvier</v>
      </c>
      <c r="H270" s="2"/>
      <c r="I270" s="2"/>
      <c r="J270" s="2"/>
      <c r="K270" s="17">
        <f t="shared" si="4"/>
        <v>0</v>
      </c>
      <c r="L270" t="str">
        <f>CONCATENATE(Tableau1[[#This Row],[Usine]],"-",Tableau1[[#This Row],[Semaine ]])</f>
        <v>-S0-1</v>
      </c>
    </row>
    <row r="271" spans="1:12" x14ac:dyDescent="0.3">
      <c r="A271" s="1"/>
      <c r="B271" s="15"/>
      <c r="C271" s="14">
        <f>WEEKNUM(Tableau1[[#This Row],[Date ]])</f>
        <v>0</v>
      </c>
      <c r="D271" s="14">
        <f>Tableau1[[#This Row],[Colonne1]]-1</f>
        <v>-1</v>
      </c>
      <c r="E271" s="14" t="str">
        <f>_xlfn.CONCAT("0",Tableau1[[#This Row],[N° Semaine]])</f>
        <v>0-1</v>
      </c>
      <c r="F271" s="14" t="str">
        <f>_xlfn.CONCAT("S",Tableau1[[#This Row],[Colonne2]])</f>
        <v>S0-1</v>
      </c>
      <c r="G271" t="str">
        <f>TEXT(Tableau1[[#This Row],[Date ]],"mmmm")</f>
        <v>janvier</v>
      </c>
      <c r="H271" s="2"/>
      <c r="I271" s="2"/>
      <c r="J271" s="2"/>
      <c r="K271" s="17">
        <f t="shared" si="4"/>
        <v>0</v>
      </c>
      <c r="L271" t="str">
        <f>CONCATENATE(Tableau1[[#This Row],[Usine]],"-",Tableau1[[#This Row],[Semaine ]])</f>
        <v>-S0-1</v>
      </c>
    </row>
    <row r="272" spans="1:12" x14ac:dyDescent="0.3">
      <c r="A272" s="1"/>
      <c r="B272" s="15"/>
      <c r="C272" s="14">
        <f>WEEKNUM(Tableau1[[#This Row],[Date ]])</f>
        <v>0</v>
      </c>
      <c r="D272" s="14">
        <f>Tableau1[[#This Row],[Colonne1]]-1</f>
        <v>-1</v>
      </c>
      <c r="E272" s="14" t="str">
        <f>_xlfn.CONCAT("0",Tableau1[[#This Row],[N° Semaine]])</f>
        <v>0-1</v>
      </c>
      <c r="F272" s="14" t="str">
        <f>_xlfn.CONCAT("S",Tableau1[[#This Row],[Colonne2]])</f>
        <v>S0-1</v>
      </c>
      <c r="G272" t="str">
        <f>TEXT(Tableau1[[#This Row],[Date ]],"mmmm")</f>
        <v>janvier</v>
      </c>
      <c r="H272" s="2"/>
      <c r="I272" s="2"/>
      <c r="J272" s="2"/>
      <c r="K272" s="17">
        <f t="shared" si="4"/>
        <v>0</v>
      </c>
      <c r="L272" t="str">
        <f>CONCATENATE(Tableau1[[#This Row],[Usine]],"-",Tableau1[[#This Row],[Semaine ]])</f>
        <v>-S0-1</v>
      </c>
    </row>
    <row r="273" spans="1:12" x14ac:dyDescent="0.3">
      <c r="A273" s="1"/>
      <c r="B273" s="15"/>
      <c r="C273" s="14">
        <f>WEEKNUM(Tableau1[[#This Row],[Date ]])</f>
        <v>0</v>
      </c>
      <c r="D273" s="14">
        <f>Tableau1[[#This Row],[Colonne1]]-1</f>
        <v>-1</v>
      </c>
      <c r="E273" s="14" t="str">
        <f>_xlfn.CONCAT("0",Tableau1[[#This Row],[N° Semaine]])</f>
        <v>0-1</v>
      </c>
      <c r="F273" s="14" t="str">
        <f>_xlfn.CONCAT("S",Tableau1[[#This Row],[Colonne2]])</f>
        <v>S0-1</v>
      </c>
      <c r="G273" t="str">
        <f>TEXT(Tableau1[[#This Row],[Date ]],"mmmm")</f>
        <v>janvier</v>
      </c>
      <c r="H273" s="2"/>
      <c r="I273" s="2"/>
      <c r="J273" s="2"/>
      <c r="K273" s="17">
        <f t="shared" si="4"/>
        <v>0</v>
      </c>
      <c r="L273" t="str">
        <f>CONCATENATE(Tableau1[[#This Row],[Usine]],"-",Tableau1[[#This Row],[Semaine ]])</f>
        <v>-S0-1</v>
      </c>
    </row>
    <row r="274" spans="1:12" x14ac:dyDescent="0.3">
      <c r="A274" s="1"/>
      <c r="B274" s="15"/>
      <c r="C274" s="14">
        <f>WEEKNUM(Tableau1[[#This Row],[Date ]])</f>
        <v>0</v>
      </c>
      <c r="D274" s="14">
        <f>Tableau1[[#This Row],[Colonne1]]-1</f>
        <v>-1</v>
      </c>
      <c r="E274" s="14" t="str">
        <f>_xlfn.CONCAT("0",Tableau1[[#This Row],[N° Semaine]])</f>
        <v>0-1</v>
      </c>
      <c r="F274" s="14" t="str">
        <f>_xlfn.CONCAT("S",Tableau1[[#This Row],[Colonne2]])</f>
        <v>S0-1</v>
      </c>
      <c r="G274" t="str">
        <f>TEXT(Tableau1[[#This Row],[Date ]],"mmmm")</f>
        <v>janvier</v>
      </c>
      <c r="H274" s="2"/>
      <c r="I274" s="2"/>
      <c r="J274" s="2"/>
      <c r="K274" s="17">
        <f t="shared" si="4"/>
        <v>0</v>
      </c>
      <c r="L274" t="str">
        <f>CONCATENATE(Tableau1[[#This Row],[Usine]],"-",Tableau1[[#This Row],[Semaine ]])</f>
        <v>-S0-1</v>
      </c>
    </row>
    <row r="275" spans="1:12" x14ac:dyDescent="0.3">
      <c r="A275" s="1"/>
      <c r="B275" s="15"/>
      <c r="C275" s="14">
        <f>WEEKNUM(Tableau1[[#This Row],[Date ]])</f>
        <v>0</v>
      </c>
      <c r="D275" s="14">
        <f>Tableau1[[#This Row],[Colonne1]]-1</f>
        <v>-1</v>
      </c>
      <c r="E275" s="14" t="str">
        <f>_xlfn.CONCAT("0",Tableau1[[#This Row],[N° Semaine]])</f>
        <v>0-1</v>
      </c>
      <c r="F275" s="14" t="str">
        <f>_xlfn.CONCAT("S",Tableau1[[#This Row],[Colonne2]])</f>
        <v>S0-1</v>
      </c>
      <c r="G275" t="str">
        <f>TEXT(Tableau1[[#This Row],[Date ]],"mmmm")</f>
        <v>janvier</v>
      </c>
      <c r="H275" s="2"/>
      <c r="I275" s="2"/>
      <c r="J275" s="2"/>
      <c r="K275" s="17">
        <f t="shared" si="4"/>
        <v>0</v>
      </c>
      <c r="L275" t="str">
        <f>CONCATENATE(Tableau1[[#This Row],[Usine]],"-",Tableau1[[#This Row],[Semaine ]])</f>
        <v>-S0-1</v>
      </c>
    </row>
    <row r="276" spans="1:12" x14ac:dyDescent="0.3">
      <c r="A276" s="1"/>
      <c r="B276" s="15"/>
      <c r="C276" s="14">
        <f>WEEKNUM(Tableau1[[#This Row],[Date ]])</f>
        <v>0</v>
      </c>
      <c r="D276" s="14">
        <f>Tableau1[[#This Row],[Colonne1]]-1</f>
        <v>-1</v>
      </c>
      <c r="E276" s="14" t="str">
        <f>_xlfn.CONCAT("0",Tableau1[[#This Row],[N° Semaine]])</f>
        <v>0-1</v>
      </c>
      <c r="F276" s="14" t="str">
        <f>_xlfn.CONCAT("S",Tableau1[[#This Row],[Colonne2]])</f>
        <v>S0-1</v>
      </c>
      <c r="G276" t="str">
        <f>TEXT(Tableau1[[#This Row],[Date ]],"mmmm")</f>
        <v>janvier</v>
      </c>
      <c r="H276" s="2"/>
      <c r="I276" s="2"/>
      <c r="J276" s="2"/>
      <c r="K276" s="17">
        <f t="shared" si="4"/>
        <v>0</v>
      </c>
      <c r="L276" t="str">
        <f>CONCATENATE(Tableau1[[#This Row],[Usine]],"-",Tableau1[[#This Row],[Semaine ]])</f>
        <v>-S0-1</v>
      </c>
    </row>
    <row r="277" spans="1:12" x14ac:dyDescent="0.3">
      <c r="A277" s="1"/>
      <c r="B277" s="15"/>
      <c r="C277" s="14">
        <f>WEEKNUM(Tableau1[[#This Row],[Date ]])</f>
        <v>0</v>
      </c>
      <c r="D277" s="14">
        <f>Tableau1[[#This Row],[Colonne1]]-1</f>
        <v>-1</v>
      </c>
      <c r="E277" s="14" t="str">
        <f>_xlfn.CONCAT("0",Tableau1[[#This Row],[N° Semaine]])</f>
        <v>0-1</v>
      </c>
      <c r="F277" s="14" t="str">
        <f>_xlfn.CONCAT("S",Tableau1[[#This Row],[Colonne2]])</f>
        <v>S0-1</v>
      </c>
      <c r="G277" t="str">
        <f>TEXT(Tableau1[[#This Row],[Date ]],"mmmm")</f>
        <v>janvier</v>
      </c>
      <c r="H277" s="2"/>
      <c r="I277" s="2"/>
      <c r="J277" s="2"/>
      <c r="K277" s="17">
        <f t="shared" si="4"/>
        <v>0</v>
      </c>
      <c r="L277" t="str">
        <f>CONCATENATE(Tableau1[[#This Row],[Usine]],"-",Tableau1[[#This Row],[Semaine ]])</f>
        <v>-S0-1</v>
      </c>
    </row>
    <row r="278" spans="1:12" x14ac:dyDescent="0.3">
      <c r="A278" s="1"/>
      <c r="B278" s="15"/>
      <c r="C278" s="14">
        <f>WEEKNUM(Tableau1[[#This Row],[Date ]])</f>
        <v>0</v>
      </c>
      <c r="D278" s="14">
        <f>Tableau1[[#This Row],[Colonne1]]-1</f>
        <v>-1</v>
      </c>
      <c r="E278" s="14" t="str">
        <f>_xlfn.CONCAT("0",Tableau1[[#This Row],[N° Semaine]])</f>
        <v>0-1</v>
      </c>
      <c r="F278" s="14" t="str">
        <f>_xlfn.CONCAT("S",Tableau1[[#This Row],[Colonne2]])</f>
        <v>S0-1</v>
      </c>
      <c r="G278" t="str">
        <f>TEXT(Tableau1[[#This Row],[Date ]],"mmmm")</f>
        <v>janvier</v>
      </c>
      <c r="H278" s="2"/>
      <c r="I278" s="2"/>
      <c r="J278" s="2"/>
      <c r="K278" s="17">
        <f t="shared" si="4"/>
        <v>0</v>
      </c>
      <c r="L278" t="str">
        <f>CONCATENATE(Tableau1[[#This Row],[Usine]],"-",Tableau1[[#This Row],[Semaine ]])</f>
        <v>-S0-1</v>
      </c>
    </row>
    <row r="279" spans="1:12" x14ac:dyDescent="0.3">
      <c r="A279" s="1"/>
      <c r="B279" s="15"/>
      <c r="C279" s="14">
        <f>WEEKNUM(Tableau1[[#This Row],[Date ]])</f>
        <v>0</v>
      </c>
      <c r="D279" s="14">
        <f>Tableau1[[#This Row],[Colonne1]]-1</f>
        <v>-1</v>
      </c>
      <c r="E279" s="14" t="str">
        <f>_xlfn.CONCAT("0",Tableau1[[#This Row],[N° Semaine]])</f>
        <v>0-1</v>
      </c>
      <c r="F279" s="14" t="str">
        <f>_xlfn.CONCAT("S",Tableau1[[#This Row],[Colonne2]])</f>
        <v>S0-1</v>
      </c>
      <c r="G279" t="str">
        <f>TEXT(Tableau1[[#This Row],[Date ]],"mmmm")</f>
        <v>janvier</v>
      </c>
      <c r="H279" s="2"/>
      <c r="I279" s="2"/>
      <c r="J279" s="2"/>
      <c r="K279" s="17">
        <f t="shared" si="4"/>
        <v>0</v>
      </c>
      <c r="L279" t="str">
        <f>CONCATENATE(Tableau1[[#This Row],[Usine]],"-",Tableau1[[#This Row],[Semaine ]])</f>
        <v>-S0-1</v>
      </c>
    </row>
    <row r="280" spans="1:12" x14ac:dyDescent="0.3">
      <c r="A280" s="1"/>
      <c r="B280" s="15"/>
      <c r="C280" s="14">
        <f>WEEKNUM(Tableau1[[#This Row],[Date ]])</f>
        <v>0</v>
      </c>
      <c r="D280" s="14">
        <f>Tableau1[[#This Row],[Colonne1]]-1</f>
        <v>-1</v>
      </c>
      <c r="E280" s="14" t="str">
        <f>_xlfn.CONCAT("0",Tableau1[[#This Row],[N° Semaine]])</f>
        <v>0-1</v>
      </c>
      <c r="F280" s="14" t="str">
        <f>_xlfn.CONCAT("S",Tableau1[[#This Row],[Colonne2]])</f>
        <v>S0-1</v>
      </c>
      <c r="G280" t="str">
        <f>TEXT(Tableau1[[#This Row],[Date ]],"mmmm")</f>
        <v>janvier</v>
      </c>
      <c r="H280" s="2"/>
      <c r="I280" s="2"/>
      <c r="J280" s="2"/>
      <c r="K280" s="17">
        <f t="shared" si="4"/>
        <v>0</v>
      </c>
      <c r="L280" t="str">
        <f>CONCATENATE(Tableau1[[#This Row],[Usine]],"-",Tableau1[[#This Row],[Semaine ]])</f>
        <v>-S0-1</v>
      </c>
    </row>
    <row r="281" spans="1:12" x14ac:dyDescent="0.3">
      <c r="A281" s="1"/>
      <c r="B281" s="15"/>
      <c r="C281" s="14">
        <f>WEEKNUM(Tableau1[[#This Row],[Date ]])</f>
        <v>0</v>
      </c>
      <c r="D281" s="14">
        <f>Tableau1[[#This Row],[Colonne1]]-1</f>
        <v>-1</v>
      </c>
      <c r="E281" s="14" t="str">
        <f>_xlfn.CONCAT("0",Tableau1[[#This Row],[N° Semaine]])</f>
        <v>0-1</v>
      </c>
      <c r="F281" s="14" t="str">
        <f>_xlfn.CONCAT("S",Tableau1[[#This Row],[Colonne2]])</f>
        <v>S0-1</v>
      </c>
      <c r="G281" t="str">
        <f>TEXT(Tableau1[[#This Row],[Date ]],"mmmm")</f>
        <v>janvier</v>
      </c>
      <c r="H281" s="2"/>
      <c r="I281" s="2"/>
      <c r="J281" s="2"/>
      <c r="K281" s="17">
        <f t="shared" si="4"/>
        <v>0</v>
      </c>
      <c r="L281" t="str">
        <f>CONCATENATE(Tableau1[[#This Row],[Usine]],"-",Tableau1[[#This Row],[Semaine ]])</f>
        <v>-S0-1</v>
      </c>
    </row>
    <row r="282" spans="1:12" x14ac:dyDescent="0.3">
      <c r="A282" s="1"/>
      <c r="B282" s="15"/>
      <c r="C282" s="14">
        <f>WEEKNUM(Tableau1[[#This Row],[Date ]])</f>
        <v>0</v>
      </c>
      <c r="D282" s="14">
        <f>Tableau1[[#This Row],[Colonne1]]-1</f>
        <v>-1</v>
      </c>
      <c r="E282" s="14" t="str">
        <f>_xlfn.CONCAT("0",Tableau1[[#This Row],[N° Semaine]])</f>
        <v>0-1</v>
      </c>
      <c r="F282" s="14" t="str">
        <f>_xlfn.CONCAT("S",Tableau1[[#This Row],[Colonne2]])</f>
        <v>S0-1</v>
      </c>
      <c r="G282" t="str">
        <f>TEXT(Tableau1[[#This Row],[Date ]],"mmmm")</f>
        <v>janvier</v>
      </c>
      <c r="H282" s="2"/>
      <c r="I282" s="2"/>
      <c r="J282" s="2"/>
      <c r="K282" s="17">
        <f t="shared" si="4"/>
        <v>0</v>
      </c>
      <c r="L282" t="str">
        <f>CONCATENATE(Tableau1[[#This Row],[Usine]],"-",Tableau1[[#This Row],[Semaine ]])</f>
        <v>-S0-1</v>
      </c>
    </row>
    <row r="283" spans="1:12" x14ac:dyDescent="0.3">
      <c r="A283" s="1"/>
      <c r="B283" s="15"/>
      <c r="C283" s="14">
        <f>WEEKNUM(Tableau1[[#This Row],[Date ]])</f>
        <v>0</v>
      </c>
      <c r="D283" s="14">
        <f>Tableau1[[#This Row],[Colonne1]]-1</f>
        <v>-1</v>
      </c>
      <c r="E283" s="14" t="str">
        <f>_xlfn.CONCAT("0",Tableau1[[#This Row],[N° Semaine]])</f>
        <v>0-1</v>
      </c>
      <c r="F283" s="14" t="str">
        <f>_xlfn.CONCAT("S",Tableau1[[#This Row],[Colonne2]])</f>
        <v>S0-1</v>
      </c>
      <c r="G283" t="str">
        <f>TEXT(Tableau1[[#This Row],[Date ]],"mmmm")</f>
        <v>janvier</v>
      </c>
      <c r="H283" s="2"/>
      <c r="I283" s="2"/>
      <c r="J283" s="2"/>
      <c r="K283" s="17">
        <f t="shared" si="4"/>
        <v>0</v>
      </c>
      <c r="L283" t="str">
        <f>CONCATENATE(Tableau1[[#This Row],[Usine]],"-",Tableau1[[#This Row],[Semaine ]])</f>
        <v>-S0-1</v>
      </c>
    </row>
    <row r="284" spans="1:12" x14ac:dyDescent="0.3">
      <c r="A284" s="1"/>
      <c r="B284" s="15"/>
      <c r="C284" s="14">
        <f>WEEKNUM(Tableau1[[#This Row],[Date ]])</f>
        <v>0</v>
      </c>
      <c r="D284" s="14">
        <f>Tableau1[[#This Row],[Colonne1]]-1</f>
        <v>-1</v>
      </c>
      <c r="E284" s="14" t="str">
        <f>_xlfn.CONCAT("0",Tableau1[[#This Row],[N° Semaine]])</f>
        <v>0-1</v>
      </c>
      <c r="F284" s="14" t="str">
        <f>_xlfn.CONCAT("S",Tableau1[[#This Row],[Colonne2]])</f>
        <v>S0-1</v>
      </c>
      <c r="G284" t="str">
        <f>TEXT(Tableau1[[#This Row],[Date ]],"mmmm")</f>
        <v>janvier</v>
      </c>
      <c r="H284" s="2"/>
      <c r="I284" s="2"/>
      <c r="J284" s="2"/>
      <c r="K284" s="17">
        <f t="shared" si="4"/>
        <v>0</v>
      </c>
      <c r="L284" t="str">
        <f>CONCATENATE(Tableau1[[#This Row],[Usine]],"-",Tableau1[[#This Row],[Semaine ]])</f>
        <v>-S0-1</v>
      </c>
    </row>
    <row r="285" spans="1:12" x14ac:dyDescent="0.3">
      <c r="A285" s="1"/>
      <c r="B285" s="15"/>
      <c r="C285" s="14">
        <f>WEEKNUM(Tableau1[[#This Row],[Date ]])</f>
        <v>0</v>
      </c>
      <c r="D285" s="14">
        <f>Tableau1[[#This Row],[Colonne1]]-1</f>
        <v>-1</v>
      </c>
      <c r="E285" s="14" t="str">
        <f>_xlfn.CONCAT("0",Tableau1[[#This Row],[N° Semaine]])</f>
        <v>0-1</v>
      </c>
      <c r="F285" s="14" t="str">
        <f>_xlfn.CONCAT("S",Tableau1[[#This Row],[Colonne2]])</f>
        <v>S0-1</v>
      </c>
      <c r="G285" t="str">
        <f>TEXT(Tableau1[[#This Row],[Date ]],"mmmm")</f>
        <v>janvier</v>
      </c>
      <c r="H285" s="2"/>
      <c r="I285" s="2"/>
      <c r="J285" s="2"/>
      <c r="K285" s="17">
        <f t="shared" si="4"/>
        <v>0</v>
      </c>
      <c r="L285" t="str">
        <f>CONCATENATE(Tableau1[[#This Row],[Usine]],"-",Tableau1[[#This Row],[Semaine ]])</f>
        <v>-S0-1</v>
      </c>
    </row>
    <row r="286" spans="1:12" x14ac:dyDescent="0.3">
      <c r="A286" s="1"/>
      <c r="B286" s="15"/>
      <c r="C286" s="14">
        <f>WEEKNUM(Tableau1[[#This Row],[Date ]])</f>
        <v>0</v>
      </c>
      <c r="D286" s="14">
        <f>Tableau1[[#This Row],[Colonne1]]-1</f>
        <v>-1</v>
      </c>
      <c r="E286" s="14" t="str">
        <f>_xlfn.CONCAT("0",Tableau1[[#This Row],[N° Semaine]])</f>
        <v>0-1</v>
      </c>
      <c r="F286" s="14" t="str">
        <f>_xlfn.CONCAT("S",Tableau1[[#This Row],[Colonne2]])</f>
        <v>S0-1</v>
      </c>
      <c r="G286" t="str">
        <f>TEXT(Tableau1[[#This Row],[Date ]],"mmmm")</f>
        <v>janvier</v>
      </c>
      <c r="H286" s="2"/>
      <c r="I286" s="2"/>
      <c r="J286" s="2"/>
      <c r="K286" s="17">
        <f t="shared" si="4"/>
        <v>0</v>
      </c>
      <c r="L286" t="str">
        <f>CONCATENATE(Tableau1[[#This Row],[Usine]],"-",Tableau1[[#This Row],[Semaine ]])</f>
        <v>-S0-1</v>
      </c>
    </row>
    <row r="287" spans="1:12" x14ac:dyDescent="0.3">
      <c r="A287" s="1"/>
      <c r="B287" s="15"/>
      <c r="C287" s="14">
        <f>WEEKNUM(Tableau1[[#This Row],[Date ]])</f>
        <v>0</v>
      </c>
      <c r="D287" s="14">
        <f>Tableau1[[#This Row],[Colonne1]]-1</f>
        <v>-1</v>
      </c>
      <c r="E287" s="14" t="str">
        <f>_xlfn.CONCAT("0",Tableau1[[#This Row],[N° Semaine]])</f>
        <v>0-1</v>
      </c>
      <c r="F287" s="14" t="str">
        <f>_xlfn.CONCAT("S",Tableau1[[#This Row],[Colonne2]])</f>
        <v>S0-1</v>
      </c>
      <c r="G287" t="str">
        <f>TEXT(Tableau1[[#This Row],[Date ]],"mmmm")</f>
        <v>janvier</v>
      </c>
      <c r="H287" s="2"/>
      <c r="I287" s="2"/>
      <c r="J287" s="2"/>
      <c r="K287" s="17">
        <f t="shared" si="4"/>
        <v>0</v>
      </c>
      <c r="L287" t="str">
        <f>CONCATENATE(Tableau1[[#This Row],[Usine]],"-",Tableau1[[#This Row],[Semaine ]])</f>
        <v>-S0-1</v>
      </c>
    </row>
    <row r="288" spans="1:12" x14ac:dyDescent="0.3">
      <c r="A288" s="1"/>
      <c r="B288" s="15"/>
      <c r="C288" s="14">
        <f>WEEKNUM(Tableau1[[#This Row],[Date ]])</f>
        <v>0</v>
      </c>
      <c r="D288" s="14">
        <f>Tableau1[[#This Row],[Colonne1]]-1</f>
        <v>-1</v>
      </c>
      <c r="E288" s="14" t="str">
        <f>_xlfn.CONCAT("0",Tableau1[[#This Row],[N° Semaine]])</f>
        <v>0-1</v>
      </c>
      <c r="F288" s="14" t="str">
        <f>_xlfn.CONCAT("S",Tableau1[[#This Row],[Colonne2]])</f>
        <v>S0-1</v>
      </c>
      <c r="G288" t="str">
        <f>TEXT(Tableau1[[#This Row],[Date ]],"mmmm")</f>
        <v>janvier</v>
      </c>
      <c r="H288" s="2"/>
      <c r="I288" s="2"/>
      <c r="J288" s="2"/>
      <c r="K288" s="17">
        <f t="shared" si="4"/>
        <v>0</v>
      </c>
      <c r="L288" t="str">
        <f>CONCATENATE(Tableau1[[#This Row],[Usine]],"-",Tableau1[[#This Row],[Semaine ]])</f>
        <v>-S0-1</v>
      </c>
    </row>
    <row r="289" spans="1:12" x14ac:dyDescent="0.3">
      <c r="A289" s="1"/>
      <c r="B289" s="15"/>
      <c r="C289" s="14">
        <f>WEEKNUM(Tableau1[[#This Row],[Date ]])</f>
        <v>0</v>
      </c>
      <c r="D289" s="14">
        <f>Tableau1[[#This Row],[Colonne1]]-1</f>
        <v>-1</v>
      </c>
      <c r="E289" s="14" t="str">
        <f>_xlfn.CONCAT("0",Tableau1[[#This Row],[N° Semaine]])</f>
        <v>0-1</v>
      </c>
      <c r="F289" s="14" t="str">
        <f>_xlfn.CONCAT("S",Tableau1[[#This Row],[Colonne2]])</f>
        <v>S0-1</v>
      </c>
      <c r="G289" t="str">
        <f>TEXT(Tableau1[[#This Row],[Date ]],"mmmm")</f>
        <v>janvier</v>
      </c>
      <c r="H289" s="2"/>
      <c r="I289" s="2"/>
      <c r="J289" s="2"/>
      <c r="K289" s="17">
        <f t="shared" si="4"/>
        <v>0</v>
      </c>
      <c r="L289" t="str">
        <f>CONCATENATE(Tableau1[[#This Row],[Usine]],"-",Tableau1[[#This Row],[Semaine ]])</f>
        <v>-S0-1</v>
      </c>
    </row>
    <row r="290" spans="1:12" x14ac:dyDescent="0.3">
      <c r="A290" s="1"/>
      <c r="B290" s="15"/>
      <c r="C290" s="14">
        <f>WEEKNUM(Tableau1[[#This Row],[Date ]])</f>
        <v>0</v>
      </c>
      <c r="D290" s="14">
        <f>Tableau1[[#This Row],[Colonne1]]-1</f>
        <v>-1</v>
      </c>
      <c r="E290" s="14" t="str">
        <f>_xlfn.CONCAT("0",Tableau1[[#This Row],[N° Semaine]])</f>
        <v>0-1</v>
      </c>
      <c r="F290" s="14" t="str">
        <f>_xlfn.CONCAT("S",Tableau1[[#This Row],[Colonne2]])</f>
        <v>S0-1</v>
      </c>
      <c r="G290" t="str">
        <f>TEXT(Tableau1[[#This Row],[Date ]],"mmmm")</f>
        <v>janvier</v>
      </c>
      <c r="H290" s="2"/>
      <c r="I290" s="2"/>
      <c r="J290" s="2"/>
      <c r="K290" s="17">
        <f t="shared" si="4"/>
        <v>0</v>
      </c>
      <c r="L290" t="str">
        <f>CONCATENATE(Tableau1[[#This Row],[Usine]],"-",Tableau1[[#This Row],[Semaine ]])</f>
        <v>-S0-1</v>
      </c>
    </row>
    <row r="291" spans="1:12" x14ac:dyDescent="0.3">
      <c r="A291" s="1"/>
      <c r="B291" s="15"/>
      <c r="C291" s="14">
        <f>WEEKNUM(Tableau1[[#This Row],[Date ]])</f>
        <v>0</v>
      </c>
      <c r="D291" s="14">
        <f>Tableau1[[#This Row],[Colonne1]]-1</f>
        <v>-1</v>
      </c>
      <c r="E291" s="14" t="str">
        <f>_xlfn.CONCAT("0",Tableau1[[#This Row],[N° Semaine]])</f>
        <v>0-1</v>
      </c>
      <c r="F291" s="14" t="str">
        <f>_xlfn.CONCAT("S",Tableau1[[#This Row],[Colonne2]])</f>
        <v>S0-1</v>
      </c>
      <c r="G291" t="str">
        <f>TEXT(Tableau1[[#This Row],[Date ]],"mmmm")</f>
        <v>janvier</v>
      </c>
      <c r="H291" s="2"/>
      <c r="I291" s="2"/>
      <c r="J291" s="2"/>
      <c r="K291" s="17">
        <f t="shared" si="4"/>
        <v>0</v>
      </c>
      <c r="L291" t="str">
        <f>CONCATENATE(Tableau1[[#This Row],[Usine]],"-",Tableau1[[#This Row],[Semaine ]])</f>
        <v>-S0-1</v>
      </c>
    </row>
    <row r="292" spans="1:12" x14ac:dyDescent="0.3">
      <c r="A292" s="1"/>
      <c r="B292" s="15"/>
      <c r="C292" s="14">
        <f>WEEKNUM(Tableau1[[#This Row],[Date ]])</f>
        <v>0</v>
      </c>
      <c r="D292" s="14">
        <f>Tableau1[[#This Row],[Colonne1]]-1</f>
        <v>-1</v>
      </c>
      <c r="E292" s="14" t="str">
        <f>_xlfn.CONCAT("0",Tableau1[[#This Row],[N° Semaine]])</f>
        <v>0-1</v>
      </c>
      <c r="F292" s="14" t="str">
        <f>_xlfn.CONCAT("S",Tableau1[[#This Row],[Colonne2]])</f>
        <v>S0-1</v>
      </c>
      <c r="G292" t="str">
        <f>TEXT(Tableau1[[#This Row],[Date ]],"mmmm")</f>
        <v>janvier</v>
      </c>
      <c r="H292" s="2"/>
      <c r="I292" s="2"/>
      <c r="J292" s="2"/>
      <c r="K292" s="17">
        <f t="shared" si="4"/>
        <v>0</v>
      </c>
      <c r="L292" t="str">
        <f>CONCATENATE(Tableau1[[#This Row],[Usine]],"-",Tableau1[[#This Row],[Semaine ]])</f>
        <v>-S0-1</v>
      </c>
    </row>
    <row r="293" spans="1:12" x14ac:dyDescent="0.3">
      <c r="A293" s="1"/>
      <c r="B293" s="15"/>
      <c r="C293" s="14">
        <f>WEEKNUM(Tableau1[[#This Row],[Date ]])</f>
        <v>0</v>
      </c>
      <c r="D293" s="14">
        <f>Tableau1[[#This Row],[Colonne1]]-1</f>
        <v>-1</v>
      </c>
      <c r="E293" s="14" t="str">
        <f>_xlfn.CONCAT("0",Tableau1[[#This Row],[N° Semaine]])</f>
        <v>0-1</v>
      </c>
      <c r="F293" s="14" t="str">
        <f>_xlfn.CONCAT("S",Tableau1[[#This Row],[Colonne2]])</f>
        <v>S0-1</v>
      </c>
      <c r="G293" t="str">
        <f>TEXT(Tableau1[[#This Row],[Date ]],"mmmm")</f>
        <v>janvier</v>
      </c>
      <c r="H293" s="2"/>
      <c r="I293" s="2"/>
      <c r="J293" s="2"/>
      <c r="K293" s="17">
        <f t="shared" si="4"/>
        <v>0</v>
      </c>
      <c r="L293" t="str">
        <f>CONCATENATE(Tableau1[[#This Row],[Usine]],"-",Tableau1[[#This Row],[Semaine ]])</f>
        <v>-S0-1</v>
      </c>
    </row>
    <row r="294" spans="1:12" x14ac:dyDescent="0.3">
      <c r="A294" s="1"/>
      <c r="B294" s="15"/>
      <c r="C294" s="14">
        <f>WEEKNUM(Tableau1[[#This Row],[Date ]])</f>
        <v>0</v>
      </c>
      <c r="D294" s="14">
        <f>Tableau1[[#This Row],[Colonne1]]-1</f>
        <v>-1</v>
      </c>
      <c r="E294" s="14" t="str">
        <f>_xlfn.CONCAT("0",Tableau1[[#This Row],[N° Semaine]])</f>
        <v>0-1</v>
      </c>
      <c r="F294" s="14" t="str">
        <f>_xlfn.CONCAT("S",Tableau1[[#This Row],[Colonne2]])</f>
        <v>S0-1</v>
      </c>
      <c r="G294" t="str">
        <f>TEXT(Tableau1[[#This Row],[Date ]],"mmmm")</f>
        <v>janvier</v>
      </c>
      <c r="H294" s="2"/>
      <c r="I294" s="2"/>
      <c r="J294" s="2"/>
      <c r="K294" s="17">
        <f t="shared" si="4"/>
        <v>0</v>
      </c>
      <c r="L294" t="str">
        <f>CONCATENATE(Tableau1[[#This Row],[Usine]],"-",Tableau1[[#This Row],[Semaine ]])</f>
        <v>-S0-1</v>
      </c>
    </row>
    <row r="295" spans="1:12" x14ac:dyDescent="0.3">
      <c r="A295" s="1"/>
      <c r="B295" s="15"/>
      <c r="C295" s="14">
        <f>WEEKNUM(Tableau1[[#This Row],[Date ]])</f>
        <v>0</v>
      </c>
      <c r="D295" s="14">
        <f>Tableau1[[#This Row],[Colonne1]]-1</f>
        <v>-1</v>
      </c>
      <c r="E295" s="14" t="str">
        <f>_xlfn.CONCAT("0",Tableau1[[#This Row],[N° Semaine]])</f>
        <v>0-1</v>
      </c>
      <c r="F295" s="14" t="str">
        <f>_xlfn.CONCAT("S",Tableau1[[#This Row],[Colonne2]])</f>
        <v>S0-1</v>
      </c>
      <c r="G295" t="str">
        <f>TEXT(Tableau1[[#This Row],[Date ]],"mmmm")</f>
        <v>janvier</v>
      </c>
      <c r="H295" s="2"/>
      <c r="I295" s="2"/>
      <c r="J295" s="2"/>
      <c r="K295" s="17">
        <f t="shared" si="4"/>
        <v>0</v>
      </c>
      <c r="L295" t="str">
        <f>CONCATENATE(Tableau1[[#This Row],[Usine]],"-",Tableau1[[#This Row],[Semaine ]])</f>
        <v>-S0-1</v>
      </c>
    </row>
    <row r="296" spans="1:12" x14ac:dyDescent="0.3">
      <c r="A296" s="1"/>
      <c r="B296" s="15"/>
      <c r="C296" s="14">
        <f>WEEKNUM(Tableau1[[#This Row],[Date ]])</f>
        <v>0</v>
      </c>
      <c r="D296" s="14">
        <f>Tableau1[[#This Row],[Colonne1]]-1</f>
        <v>-1</v>
      </c>
      <c r="E296" s="14" t="str">
        <f>_xlfn.CONCAT("0",Tableau1[[#This Row],[N° Semaine]])</f>
        <v>0-1</v>
      </c>
      <c r="F296" s="14" t="str">
        <f>_xlfn.CONCAT("S",Tableau1[[#This Row],[Colonne2]])</f>
        <v>S0-1</v>
      </c>
      <c r="G296" t="str">
        <f>TEXT(Tableau1[[#This Row],[Date ]],"mmmm")</f>
        <v>janvier</v>
      </c>
      <c r="H296" s="2"/>
      <c r="I296" s="2"/>
      <c r="J296" s="2"/>
      <c r="K296" s="17">
        <f t="shared" si="4"/>
        <v>0</v>
      </c>
      <c r="L296" t="str">
        <f>CONCATENATE(Tableau1[[#This Row],[Usine]],"-",Tableau1[[#This Row],[Semaine ]])</f>
        <v>-S0-1</v>
      </c>
    </row>
    <row r="297" spans="1:12" x14ac:dyDescent="0.3">
      <c r="A297" s="1"/>
      <c r="B297" s="15"/>
      <c r="C297" s="14">
        <f>WEEKNUM(Tableau1[[#This Row],[Date ]])</f>
        <v>0</v>
      </c>
      <c r="D297" s="14">
        <f>Tableau1[[#This Row],[Colonne1]]-1</f>
        <v>-1</v>
      </c>
      <c r="E297" s="14" t="str">
        <f>_xlfn.CONCAT("0",Tableau1[[#This Row],[N° Semaine]])</f>
        <v>0-1</v>
      </c>
      <c r="F297" s="14" t="str">
        <f>_xlfn.CONCAT("S",Tableau1[[#This Row],[Colonne2]])</f>
        <v>S0-1</v>
      </c>
      <c r="G297" t="str">
        <f>TEXT(Tableau1[[#This Row],[Date ]],"mmmm")</f>
        <v>janvier</v>
      </c>
      <c r="H297" s="2"/>
      <c r="I297" s="2"/>
      <c r="J297" s="2"/>
      <c r="K297" s="17">
        <f t="shared" si="4"/>
        <v>0</v>
      </c>
      <c r="L297" t="str">
        <f>CONCATENATE(Tableau1[[#This Row],[Usine]],"-",Tableau1[[#This Row],[Semaine ]])</f>
        <v>-S0-1</v>
      </c>
    </row>
    <row r="298" spans="1:12" x14ac:dyDescent="0.3">
      <c r="A298" s="1"/>
      <c r="B298" s="15"/>
      <c r="C298" s="14">
        <f>WEEKNUM(Tableau1[[#This Row],[Date ]])</f>
        <v>0</v>
      </c>
      <c r="D298" s="14">
        <f>Tableau1[[#This Row],[Colonne1]]-1</f>
        <v>-1</v>
      </c>
      <c r="E298" s="14" t="str">
        <f>_xlfn.CONCAT("0",Tableau1[[#This Row],[N° Semaine]])</f>
        <v>0-1</v>
      </c>
      <c r="F298" s="14" t="str">
        <f>_xlfn.CONCAT("S",Tableau1[[#This Row],[Colonne2]])</f>
        <v>S0-1</v>
      </c>
      <c r="G298" t="str">
        <f>TEXT(Tableau1[[#This Row],[Date ]],"mmmm")</f>
        <v>janvier</v>
      </c>
      <c r="H298" s="2"/>
      <c r="I298" s="2"/>
      <c r="J298" s="2"/>
      <c r="K298" s="17">
        <f t="shared" si="4"/>
        <v>0</v>
      </c>
      <c r="L298" t="str">
        <f>CONCATENATE(Tableau1[[#This Row],[Usine]],"-",Tableau1[[#This Row],[Semaine ]])</f>
        <v>-S0-1</v>
      </c>
    </row>
    <row r="299" spans="1:12" x14ac:dyDescent="0.3">
      <c r="A299" s="1"/>
      <c r="B299" s="15"/>
      <c r="C299" s="14">
        <f>WEEKNUM(Tableau1[[#This Row],[Date ]])</f>
        <v>0</v>
      </c>
      <c r="D299" s="14">
        <f>Tableau1[[#This Row],[Colonne1]]-1</f>
        <v>-1</v>
      </c>
      <c r="E299" s="14" t="str">
        <f>_xlfn.CONCAT("0",Tableau1[[#This Row],[N° Semaine]])</f>
        <v>0-1</v>
      </c>
      <c r="F299" s="14" t="str">
        <f>_xlfn.CONCAT("S",Tableau1[[#This Row],[Colonne2]])</f>
        <v>S0-1</v>
      </c>
      <c r="G299" t="str">
        <f>TEXT(Tableau1[[#This Row],[Date ]],"mmmm")</f>
        <v>janvier</v>
      </c>
      <c r="H299" s="2"/>
      <c r="I299" s="2"/>
      <c r="J299" s="2"/>
      <c r="K299" s="17">
        <f t="shared" si="4"/>
        <v>0</v>
      </c>
      <c r="L299" t="str">
        <f>CONCATENATE(Tableau1[[#This Row],[Usine]],"-",Tableau1[[#This Row],[Semaine ]])</f>
        <v>-S0-1</v>
      </c>
    </row>
    <row r="300" spans="1:12" x14ac:dyDescent="0.3">
      <c r="A300" s="1"/>
      <c r="B300" s="15"/>
      <c r="C300" s="14">
        <f>WEEKNUM(Tableau1[[#This Row],[Date ]])</f>
        <v>0</v>
      </c>
      <c r="D300" s="14">
        <f>Tableau1[[#This Row],[Colonne1]]-1</f>
        <v>-1</v>
      </c>
      <c r="E300" s="14" t="str">
        <f>_xlfn.CONCAT("0",Tableau1[[#This Row],[N° Semaine]])</f>
        <v>0-1</v>
      </c>
      <c r="F300" s="14" t="str">
        <f>_xlfn.CONCAT("S",Tableau1[[#This Row],[Colonne2]])</f>
        <v>S0-1</v>
      </c>
      <c r="G300" t="str">
        <f>TEXT(Tableau1[[#This Row],[Date ]],"mmmm")</f>
        <v>janvier</v>
      </c>
      <c r="H300" s="2"/>
      <c r="I300" s="2"/>
      <c r="J300" s="2"/>
      <c r="K300" s="17">
        <f t="shared" si="4"/>
        <v>0</v>
      </c>
      <c r="L300" t="str">
        <f>CONCATENATE(Tableau1[[#This Row],[Usine]],"-",Tableau1[[#This Row],[Semaine ]])</f>
        <v>-S0-1</v>
      </c>
    </row>
    <row r="301" spans="1:12" x14ac:dyDescent="0.3">
      <c r="A301" s="1"/>
      <c r="B301" s="15"/>
      <c r="C301" s="14">
        <f>WEEKNUM(Tableau1[[#This Row],[Date ]])</f>
        <v>0</v>
      </c>
      <c r="D301" s="14">
        <f>Tableau1[[#This Row],[Colonne1]]-1</f>
        <v>-1</v>
      </c>
      <c r="E301" s="14" t="str">
        <f>_xlfn.CONCAT("0",Tableau1[[#This Row],[N° Semaine]])</f>
        <v>0-1</v>
      </c>
      <c r="F301" s="14" t="str">
        <f>_xlfn.CONCAT("S",Tableau1[[#This Row],[Colonne2]])</f>
        <v>S0-1</v>
      </c>
      <c r="G301" t="str">
        <f>TEXT(Tableau1[[#This Row],[Date ]],"mmmm")</f>
        <v>janvier</v>
      </c>
      <c r="H301" s="2"/>
      <c r="I301" s="2"/>
      <c r="J301" s="2"/>
      <c r="K301" s="17">
        <f t="shared" si="4"/>
        <v>0</v>
      </c>
      <c r="L301" t="str">
        <f>CONCATENATE(Tableau1[[#This Row],[Usine]],"-",Tableau1[[#This Row],[Semaine ]])</f>
        <v>-S0-1</v>
      </c>
    </row>
    <row r="302" spans="1:12" x14ac:dyDescent="0.3">
      <c r="A302" s="1"/>
      <c r="B302" s="15"/>
      <c r="C302" s="14">
        <f>WEEKNUM(Tableau1[[#This Row],[Date ]])</f>
        <v>0</v>
      </c>
      <c r="D302" s="14">
        <f>Tableau1[[#This Row],[Colonne1]]-1</f>
        <v>-1</v>
      </c>
      <c r="E302" s="14" t="str">
        <f>_xlfn.CONCAT("0",Tableau1[[#This Row],[N° Semaine]])</f>
        <v>0-1</v>
      </c>
      <c r="F302" s="14" t="str">
        <f>_xlfn.CONCAT("S",Tableau1[[#This Row],[Colonne2]])</f>
        <v>S0-1</v>
      </c>
      <c r="G302" t="str">
        <f>TEXT(Tableau1[[#This Row],[Date ]],"mmmm")</f>
        <v>janvier</v>
      </c>
      <c r="H302" s="2"/>
      <c r="I302" s="2"/>
      <c r="J302" s="2"/>
      <c r="K302" s="17">
        <f t="shared" si="4"/>
        <v>0</v>
      </c>
      <c r="L302" t="str">
        <f>CONCATENATE(Tableau1[[#This Row],[Usine]],"-",Tableau1[[#This Row],[Semaine ]])</f>
        <v>-S0-1</v>
      </c>
    </row>
    <row r="303" spans="1:12" x14ac:dyDescent="0.3">
      <c r="A303" s="1"/>
      <c r="B303" s="15"/>
      <c r="C303" s="14">
        <f>WEEKNUM(Tableau1[[#This Row],[Date ]])</f>
        <v>0</v>
      </c>
      <c r="D303" s="14">
        <f>Tableau1[[#This Row],[Colonne1]]-1</f>
        <v>-1</v>
      </c>
      <c r="E303" s="14" t="str">
        <f>_xlfn.CONCAT("0",Tableau1[[#This Row],[N° Semaine]])</f>
        <v>0-1</v>
      </c>
      <c r="F303" s="14" t="str">
        <f>_xlfn.CONCAT("S",Tableau1[[#This Row],[Colonne2]])</f>
        <v>S0-1</v>
      </c>
      <c r="G303" t="str">
        <f>TEXT(Tableau1[[#This Row],[Date ]],"mmmm")</f>
        <v>janvier</v>
      </c>
      <c r="H303" s="2"/>
      <c r="I303" s="2"/>
      <c r="J303" s="2"/>
      <c r="K303" s="17">
        <f t="shared" si="4"/>
        <v>0</v>
      </c>
      <c r="L303" t="str">
        <f>CONCATENATE(Tableau1[[#This Row],[Usine]],"-",Tableau1[[#This Row],[Semaine ]])</f>
        <v>-S0-1</v>
      </c>
    </row>
    <row r="304" spans="1:12" x14ac:dyDescent="0.3">
      <c r="A304" s="1"/>
      <c r="B304" s="15"/>
      <c r="C304" s="14">
        <f>WEEKNUM(Tableau1[[#This Row],[Date ]])</f>
        <v>0</v>
      </c>
      <c r="D304" s="14">
        <f>Tableau1[[#This Row],[Colonne1]]-1</f>
        <v>-1</v>
      </c>
      <c r="E304" s="14" t="str">
        <f>_xlfn.CONCAT("0",Tableau1[[#This Row],[N° Semaine]])</f>
        <v>0-1</v>
      </c>
      <c r="F304" s="14" t="str">
        <f>_xlfn.CONCAT("S",Tableau1[[#This Row],[Colonne2]])</f>
        <v>S0-1</v>
      </c>
      <c r="G304" t="str">
        <f>TEXT(Tableau1[[#This Row],[Date ]],"mmmm")</f>
        <v>janvier</v>
      </c>
      <c r="H304" s="2"/>
      <c r="I304" s="2"/>
      <c r="J304" s="2"/>
      <c r="K304" s="17">
        <f t="shared" si="4"/>
        <v>0</v>
      </c>
      <c r="L304" t="str">
        <f>CONCATENATE(Tableau1[[#This Row],[Usine]],"-",Tableau1[[#This Row],[Semaine ]])</f>
        <v>-S0-1</v>
      </c>
    </row>
    <row r="305" spans="1:12" x14ac:dyDescent="0.3">
      <c r="A305" s="1"/>
      <c r="B305" s="15"/>
      <c r="C305" s="14">
        <f>WEEKNUM(Tableau1[[#This Row],[Date ]])</f>
        <v>0</v>
      </c>
      <c r="D305" s="14">
        <f>Tableau1[[#This Row],[Colonne1]]-1</f>
        <v>-1</v>
      </c>
      <c r="E305" s="14" t="str">
        <f>_xlfn.CONCAT("0",Tableau1[[#This Row],[N° Semaine]])</f>
        <v>0-1</v>
      </c>
      <c r="F305" s="14" t="str">
        <f>_xlfn.CONCAT("S",Tableau1[[#This Row],[Colonne2]])</f>
        <v>S0-1</v>
      </c>
      <c r="G305" t="str">
        <f>TEXT(Tableau1[[#This Row],[Date ]],"mmmm")</f>
        <v>janvier</v>
      </c>
      <c r="H305" s="2"/>
      <c r="I305" s="2"/>
      <c r="J305" s="2"/>
      <c r="K305" s="17">
        <f t="shared" si="4"/>
        <v>0</v>
      </c>
      <c r="L305" t="str">
        <f>CONCATENATE(Tableau1[[#This Row],[Usine]],"-",Tableau1[[#This Row],[Semaine ]])</f>
        <v>-S0-1</v>
      </c>
    </row>
    <row r="306" spans="1:12" x14ac:dyDescent="0.3">
      <c r="A306" s="1"/>
      <c r="B306" s="15"/>
      <c r="C306" s="14">
        <f>WEEKNUM(Tableau1[[#This Row],[Date ]])</f>
        <v>0</v>
      </c>
      <c r="D306" s="14">
        <f>Tableau1[[#This Row],[Colonne1]]-1</f>
        <v>-1</v>
      </c>
      <c r="E306" s="14" t="str">
        <f>_xlfn.CONCAT("0",Tableau1[[#This Row],[N° Semaine]])</f>
        <v>0-1</v>
      </c>
      <c r="F306" s="14" t="str">
        <f>_xlfn.CONCAT("S",Tableau1[[#This Row],[Colonne2]])</f>
        <v>S0-1</v>
      </c>
      <c r="G306" t="str">
        <f>TEXT(Tableau1[[#This Row],[Date ]],"mmmm")</f>
        <v>janvier</v>
      </c>
      <c r="H306" s="2"/>
      <c r="I306" s="2"/>
      <c r="J306" s="2"/>
      <c r="K306" s="17">
        <f t="shared" si="4"/>
        <v>0</v>
      </c>
      <c r="L306" t="str">
        <f>CONCATENATE(Tableau1[[#This Row],[Usine]],"-",Tableau1[[#This Row],[Semaine ]])</f>
        <v>-S0-1</v>
      </c>
    </row>
    <row r="307" spans="1:12" x14ac:dyDescent="0.3">
      <c r="A307" s="1"/>
      <c r="B307" s="15"/>
      <c r="C307" s="14">
        <f>WEEKNUM(Tableau1[[#This Row],[Date ]])</f>
        <v>0</v>
      </c>
      <c r="D307" s="14">
        <f>Tableau1[[#This Row],[Colonne1]]-1</f>
        <v>-1</v>
      </c>
      <c r="E307" s="14" t="str">
        <f>_xlfn.CONCAT("0",Tableau1[[#This Row],[N° Semaine]])</f>
        <v>0-1</v>
      </c>
      <c r="F307" s="14" t="str">
        <f>_xlfn.CONCAT("S",Tableau1[[#This Row],[Colonne2]])</f>
        <v>S0-1</v>
      </c>
      <c r="G307" t="str">
        <f>TEXT(Tableau1[[#This Row],[Date ]],"mmmm")</f>
        <v>janvier</v>
      </c>
      <c r="H307" s="2"/>
      <c r="I307" s="2"/>
      <c r="J307" s="2"/>
      <c r="K307" s="17">
        <f t="shared" si="4"/>
        <v>0</v>
      </c>
      <c r="L307" t="str">
        <f>CONCATENATE(Tableau1[[#This Row],[Usine]],"-",Tableau1[[#This Row],[Semaine ]])</f>
        <v>-S0-1</v>
      </c>
    </row>
    <row r="308" spans="1:12" x14ac:dyDescent="0.3">
      <c r="A308" s="1"/>
      <c r="B308" s="15"/>
      <c r="C308" s="14">
        <f>WEEKNUM(Tableau1[[#This Row],[Date ]])</f>
        <v>0</v>
      </c>
      <c r="D308" s="14">
        <f>Tableau1[[#This Row],[Colonne1]]-1</f>
        <v>-1</v>
      </c>
      <c r="E308" s="14" t="str">
        <f>_xlfn.CONCAT("0",Tableau1[[#This Row],[N° Semaine]])</f>
        <v>0-1</v>
      </c>
      <c r="F308" s="14" t="str">
        <f>_xlfn.CONCAT("S",Tableau1[[#This Row],[Colonne2]])</f>
        <v>S0-1</v>
      </c>
      <c r="G308" t="str">
        <f>TEXT(Tableau1[[#This Row],[Date ]],"mmmm")</f>
        <v>janvier</v>
      </c>
      <c r="H308" s="2"/>
      <c r="I308" s="2"/>
      <c r="J308" s="2"/>
      <c r="K308" s="17">
        <f t="shared" si="4"/>
        <v>0</v>
      </c>
      <c r="L308" t="str">
        <f>CONCATENATE(Tableau1[[#This Row],[Usine]],"-",Tableau1[[#This Row],[Semaine ]])</f>
        <v>-S0-1</v>
      </c>
    </row>
    <row r="309" spans="1:12" x14ac:dyDescent="0.3">
      <c r="A309" s="1"/>
      <c r="B309" s="15"/>
      <c r="C309" s="14">
        <f>WEEKNUM(Tableau1[[#This Row],[Date ]])</f>
        <v>0</v>
      </c>
      <c r="D309" s="14">
        <f>Tableau1[[#This Row],[Colonne1]]-1</f>
        <v>-1</v>
      </c>
      <c r="E309" s="14" t="str">
        <f>_xlfn.CONCAT("0",Tableau1[[#This Row],[N° Semaine]])</f>
        <v>0-1</v>
      </c>
      <c r="F309" s="14" t="str">
        <f>_xlfn.CONCAT("S",Tableau1[[#This Row],[Colonne2]])</f>
        <v>S0-1</v>
      </c>
      <c r="G309" t="str">
        <f>TEXT(Tableau1[[#This Row],[Date ]],"mmmm")</f>
        <v>janvier</v>
      </c>
      <c r="H309" s="2"/>
      <c r="I309" s="2"/>
      <c r="J309" s="2"/>
      <c r="K309" s="17">
        <f t="shared" si="4"/>
        <v>0</v>
      </c>
      <c r="L309" t="str">
        <f>CONCATENATE(Tableau1[[#This Row],[Usine]],"-",Tableau1[[#This Row],[Semaine ]])</f>
        <v>-S0-1</v>
      </c>
    </row>
    <row r="310" spans="1:12" x14ac:dyDescent="0.3">
      <c r="A310" s="1"/>
      <c r="B310" s="15"/>
      <c r="C310" s="14">
        <f>WEEKNUM(Tableau1[[#This Row],[Date ]])</f>
        <v>0</v>
      </c>
      <c r="D310" s="14">
        <f>Tableau1[[#This Row],[Colonne1]]-1</f>
        <v>-1</v>
      </c>
      <c r="E310" s="14" t="str">
        <f>_xlfn.CONCAT("0",Tableau1[[#This Row],[N° Semaine]])</f>
        <v>0-1</v>
      </c>
      <c r="F310" s="14" t="str">
        <f>_xlfn.CONCAT("S",Tableau1[[#This Row],[Colonne2]])</f>
        <v>S0-1</v>
      </c>
      <c r="G310" t="str">
        <f>TEXT(Tableau1[[#This Row],[Date ]],"mmmm")</f>
        <v>janvier</v>
      </c>
      <c r="H310" s="2"/>
      <c r="I310" s="2"/>
      <c r="J310" s="2"/>
      <c r="K310" s="17">
        <f t="shared" si="4"/>
        <v>0</v>
      </c>
      <c r="L310" t="str">
        <f>CONCATENATE(Tableau1[[#This Row],[Usine]],"-",Tableau1[[#This Row],[Semaine ]])</f>
        <v>-S0-1</v>
      </c>
    </row>
    <row r="311" spans="1:12" x14ac:dyDescent="0.3">
      <c r="A311" s="1"/>
      <c r="B311" s="15"/>
      <c r="C311" s="14">
        <f>WEEKNUM(Tableau1[[#This Row],[Date ]])</f>
        <v>0</v>
      </c>
      <c r="D311" s="14">
        <f>Tableau1[[#This Row],[Colonne1]]-1</f>
        <v>-1</v>
      </c>
      <c r="E311" s="14" t="str">
        <f>_xlfn.CONCAT("0",Tableau1[[#This Row],[N° Semaine]])</f>
        <v>0-1</v>
      </c>
      <c r="F311" s="14" t="str">
        <f>_xlfn.CONCAT("S",Tableau1[[#This Row],[Colonne2]])</f>
        <v>S0-1</v>
      </c>
      <c r="G311" t="str">
        <f>TEXT(Tableau1[[#This Row],[Date ]],"mmmm")</f>
        <v>janvier</v>
      </c>
      <c r="H311" s="2"/>
      <c r="I311" s="2"/>
      <c r="J311" s="2"/>
      <c r="K311" s="17">
        <f t="shared" si="4"/>
        <v>0</v>
      </c>
      <c r="L311" t="str">
        <f>CONCATENATE(Tableau1[[#This Row],[Usine]],"-",Tableau1[[#This Row],[Semaine ]])</f>
        <v>-S0-1</v>
      </c>
    </row>
    <row r="312" spans="1:12" x14ac:dyDescent="0.3">
      <c r="A312" s="1"/>
      <c r="B312" s="15"/>
      <c r="C312" s="14">
        <f>WEEKNUM(Tableau1[[#This Row],[Date ]])</f>
        <v>0</v>
      </c>
      <c r="D312" s="14">
        <f>Tableau1[[#This Row],[Colonne1]]-1</f>
        <v>-1</v>
      </c>
      <c r="E312" s="14" t="str">
        <f>_xlfn.CONCAT("0",Tableau1[[#This Row],[N° Semaine]])</f>
        <v>0-1</v>
      </c>
      <c r="F312" s="14" t="str">
        <f>_xlfn.CONCAT("S",Tableau1[[#This Row],[Colonne2]])</f>
        <v>S0-1</v>
      </c>
      <c r="G312" t="str">
        <f>TEXT(Tableau1[[#This Row],[Date ]],"mmmm")</f>
        <v>janvier</v>
      </c>
      <c r="H312" s="2"/>
      <c r="I312" s="2"/>
      <c r="J312" s="2"/>
      <c r="K312" s="17">
        <f t="shared" si="4"/>
        <v>0</v>
      </c>
      <c r="L312" t="str">
        <f>CONCATENATE(Tableau1[[#This Row],[Usine]],"-",Tableau1[[#This Row],[Semaine ]])</f>
        <v>-S0-1</v>
      </c>
    </row>
    <row r="313" spans="1:12" x14ac:dyDescent="0.3">
      <c r="A313" s="1"/>
      <c r="B313" s="15"/>
      <c r="C313" s="14">
        <f>WEEKNUM(Tableau1[[#This Row],[Date ]])</f>
        <v>0</v>
      </c>
      <c r="D313" s="14">
        <f>Tableau1[[#This Row],[Colonne1]]-1</f>
        <v>-1</v>
      </c>
      <c r="E313" s="14" t="str">
        <f>_xlfn.CONCAT("0",Tableau1[[#This Row],[N° Semaine]])</f>
        <v>0-1</v>
      </c>
      <c r="F313" s="14" t="str">
        <f>_xlfn.CONCAT("S",Tableau1[[#This Row],[Colonne2]])</f>
        <v>S0-1</v>
      </c>
      <c r="G313" t="str">
        <f>TEXT(Tableau1[[#This Row],[Date ]],"mmmm")</f>
        <v>janvier</v>
      </c>
      <c r="H313" s="2"/>
      <c r="I313" s="2"/>
      <c r="J313" s="2"/>
      <c r="K313" s="17">
        <f t="shared" si="4"/>
        <v>0</v>
      </c>
      <c r="L313" t="str">
        <f>CONCATENATE(Tableau1[[#This Row],[Usine]],"-",Tableau1[[#This Row],[Semaine ]])</f>
        <v>-S0-1</v>
      </c>
    </row>
    <row r="314" spans="1:12" x14ac:dyDescent="0.3">
      <c r="A314" s="1"/>
      <c r="B314" s="15"/>
      <c r="C314" s="14">
        <f>WEEKNUM(Tableau1[[#This Row],[Date ]])</f>
        <v>0</v>
      </c>
      <c r="D314" s="14">
        <f>Tableau1[[#This Row],[Colonne1]]-1</f>
        <v>-1</v>
      </c>
      <c r="E314" s="14" t="str">
        <f>_xlfn.CONCAT("0",Tableau1[[#This Row],[N° Semaine]])</f>
        <v>0-1</v>
      </c>
      <c r="F314" s="14" t="str">
        <f>_xlfn.CONCAT("S",Tableau1[[#This Row],[Colonne2]])</f>
        <v>S0-1</v>
      </c>
      <c r="G314" t="str">
        <f>TEXT(Tableau1[[#This Row],[Date ]],"mmmm")</f>
        <v>janvier</v>
      </c>
      <c r="H314" s="2"/>
      <c r="I314" s="2"/>
      <c r="J314" s="2"/>
      <c r="K314" s="17">
        <f t="shared" si="4"/>
        <v>0</v>
      </c>
      <c r="L314" t="str">
        <f>CONCATENATE(Tableau1[[#This Row],[Usine]],"-",Tableau1[[#This Row],[Semaine ]])</f>
        <v>-S0-1</v>
      </c>
    </row>
    <row r="315" spans="1:12" x14ac:dyDescent="0.3">
      <c r="A315" s="1"/>
      <c r="B315" s="15"/>
      <c r="C315" s="14">
        <f>WEEKNUM(Tableau1[[#This Row],[Date ]])</f>
        <v>0</v>
      </c>
      <c r="D315" s="14">
        <f>Tableau1[[#This Row],[Colonne1]]-1</f>
        <v>-1</v>
      </c>
      <c r="E315" s="14" t="str">
        <f>_xlfn.CONCAT("0",Tableau1[[#This Row],[N° Semaine]])</f>
        <v>0-1</v>
      </c>
      <c r="F315" s="14" t="str">
        <f>_xlfn.CONCAT("S",Tableau1[[#This Row],[Colonne2]])</f>
        <v>S0-1</v>
      </c>
      <c r="G315" t="str">
        <f>TEXT(Tableau1[[#This Row],[Date ]],"mmmm")</f>
        <v>janvier</v>
      </c>
      <c r="H315" s="2"/>
      <c r="I315" s="2"/>
      <c r="J315" s="2"/>
      <c r="K315" s="17">
        <f t="shared" si="4"/>
        <v>0</v>
      </c>
      <c r="L315" t="str">
        <f>CONCATENATE(Tableau1[[#This Row],[Usine]],"-",Tableau1[[#This Row],[Semaine ]])</f>
        <v>-S0-1</v>
      </c>
    </row>
    <row r="316" spans="1:12" x14ac:dyDescent="0.3">
      <c r="A316" s="1"/>
      <c r="B316" s="15"/>
      <c r="C316" s="14">
        <f>WEEKNUM(Tableau1[[#This Row],[Date ]])</f>
        <v>0</v>
      </c>
      <c r="D316" s="14">
        <f>Tableau1[[#This Row],[Colonne1]]-1</f>
        <v>-1</v>
      </c>
      <c r="E316" s="14" t="str">
        <f>_xlfn.CONCAT("0",Tableau1[[#This Row],[N° Semaine]])</f>
        <v>0-1</v>
      </c>
      <c r="F316" s="14" t="str">
        <f>_xlfn.CONCAT("S",Tableau1[[#This Row],[Colonne2]])</f>
        <v>S0-1</v>
      </c>
      <c r="G316" t="str">
        <f>TEXT(Tableau1[[#This Row],[Date ]],"mmmm")</f>
        <v>janvier</v>
      </c>
      <c r="H316" s="2"/>
      <c r="I316" s="2"/>
      <c r="J316" s="2"/>
      <c r="K316" s="17">
        <f t="shared" si="4"/>
        <v>0</v>
      </c>
      <c r="L316" t="str">
        <f>CONCATENATE(Tableau1[[#This Row],[Usine]],"-",Tableau1[[#This Row],[Semaine ]])</f>
        <v>-S0-1</v>
      </c>
    </row>
    <row r="317" spans="1:12" x14ac:dyDescent="0.3">
      <c r="A317" s="1"/>
      <c r="B317" s="15"/>
      <c r="C317" s="14">
        <f>WEEKNUM(Tableau1[[#This Row],[Date ]])</f>
        <v>0</v>
      </c>
      <c r="D317" s="14">
        <f>Tableau1[[#This Row],[Colonne1]]-1</f>
        <v>-1</v>
      </c>
      <c r="E317" s="14" t="str">
        <f>_xlfn.CONCAT("0",Tableau1[[#This Row],[N° Semaine]])</f>
        <v>0-1</v>
      </c>
      <c r="F317" s="14" t="str">
        <f>_xlfn.CONCAT("S",Tableau1[[#This Row],[Colonne2]])</f>
        <v>S0-1</v>
      </c>
      <c r="G317" t="str">
        <f>TEXT(Tableau1[[#This Row],[Date ]],"mmmm")</f>
        <v>janvier</v>
      </c>
      <c r="H317" s="2"/>
      <c r="I317" s="2"/>
      <c r="J317" s="2"/>
      <c r="K317" s="17">
        <f t="shared" si="4"/>
        <v>0</v>
      </c>
      <c r="L317" t="str">
        <f>CONCATENATE(Tableau1[[#This Row],[Usine]],"-",Tableau1[[#This Row],[Semaine ]])</f>
        <v>-S0-1</v>
      </c>
    </row>
    <row r="318" spans="1:12" x14ac:dyDescent="0.3">
      <c r="A318" s="1"/>
      <c r="B318" s="15"/>
      <c r="C318" s="14">
        <f>WEEKNUM(Tableau1[[#This Row],[Date ]])</f>
        <v>0</v>
      </c>
      <c r="D318" s="14">
        <f>Tableau1[[#This Row],[Colonne1]]-1</f>
        <v>-1</v>
      </c>
      <c r="E318" s="14" t="str">
        <f>_xlfn.CONCAT("0",Tableau1[[#This Row],[N° Semaine]])</f>
        <v>0-1</v>
      </c>
      <c r="F318" s="14" t="str">
        <f>_xlfn.CONCAT("S",Tableau1[[#This Row],[Colonne2]])</f>
        <v>S0-1</v>
      </c>
      <c r="G318" t="str">
        <f>TEXT(Tableau1[[#This Row],[Date ]],"mmmm")</f>
        <v>janvier</v>
      </c>
      <c r="H318" s="2"/>
      <c r="I318" s="2"/>
      <c r="J318" s="2"/>
      <c r="K318" s="17">
        <f t="shared" si="4"/>
        <v>0</v>
      </c>
      <c r="L318" t="str">
        <f>CONCATENATE(Tableau1[[#This Row],[Usine]],"-",Tableau1[[#This Row],[Semaine ]])</f>
        <v>-S0-1</v>
      </c>
    </row>
    <row r="319" spans="1:12" x14ac:dyDescent="0.3">
      <c r="A319" s="1"/>
      <c r="B319" s="15"/>
      <c r="C319" s="14">
        <f>WEEKNUM(Tableau1[[#This Row],[Date ]])</f>
        <v>0</v>
      </c>
      <c r="D319" s="14">
        <f>Tableau1[[#This Row],[Colonne1]]-1</f>
        <v>-1</v>
      </c>
      <c r="E319" s="14" t="str">
        <f>_xlfn.CONCAT("0",Tableau1[[#This Row],[N° Semaine]])</f>
        <v>0-1</v>
      </c>
      <c r="F319" s="14" t="str">
        <f>_xlfn.CONCAT("S",Tableau1[[#This Row],[Colonne2]])</f>
        <v>S0-1</v>
      </c>
      <c r="G319" t="str">
        <f>TEXT(Tableau1[[#This Row],[Date ]],"mmmm")</f>
        <v>janvier</v>
      </c>
      <c r="H319" s="2"/>
      <c r="I319" s="2"/>
      <c r="J319" s="2"/>
      <c r="K319" s="17">
        <f t="shared" si="4"/>
        <v>0</v>
      </c>
      <c r="L319" t="str">
        <f>CONCATENATE(Tableau1[[#This Row],[Usine]],"-",Tableau1[[#This Row],[Semaine ]])</f>
        <v>-S0-1</v>
      </c>
    </row>
    <row r="320" spans="1:12" x14ac:dyDescent="0.3">
      <c r="A320" s="1"/>
      <c r="B320" s="15"/>
      <c r="C320" s="14">
        <f>WEEKNUM(Tableau1[[#This Row],[Date ]])</f>
        <v>0</v>
      </c>
      <c r="D320" s="14">
        <f>Tableau1[[#This Row],[Colonne1]]-1</f>
        <v>-1</v>
      </c>
      <c r="E320" s="14" t="str">
        <f>_xlfn.CONCAT("0",Tableau1[[#This Row],[N° Semaine]])</f>
        <v>0-1</v>
      </c>
      <c r="F320" s="14" t="str">
        <f>_xlfn.CONCAT("S",Tableau1[[#This Row],[Colonne2]])</f>
        <v>S0-1</v>
      </c>
      <c r="G320" t="str">
        <f>TEXT(Tableau1[[#This Row],[Date ]],"mmmm")</f>
        <v>janvier</v>
      </c>
      <c r="H320" s="2"/>
      <c r="I320" s="2"/>
      <c r="J320" s="2"/>
      <c r="K320" s="17">
        <f t="shared" si="4"/>
        <v>0</v>
      </c>
      <c r="L320" t="str">
        <f>CONCATENATE(Tableau1[[#This Row],[Usine]],"-",Tableau1[[#This Row],[Semaine ]])</f>
        <v>-S0-1</v>
      </c>
    </row>
    <row r="321" spans="1:12" x14ac:dyDescent="0.3">
      <c r="A321" s="1"/>
      <c r="B321" s="15"/>
      <c r="C321" s="14">
        <f>WEEKNUM(Tableau1[[#This Row],[Date ]])</f>
        <v>0</v>
      </c>
      <c r="D321" s="14">
        <f>Tableau1[[#This Row],[Colonne1]]-1</f>
        <v>-1</v>
      </c>
      <c r="E321" s="14" t="str">
        <f>_xlfn.CONCAT("0",Tableau1[[#This Row],[N° Semaine]])</f>
        <v>0-1</v>
      </c>
      <c r="F321" s="14" t="str">
        <f>_xlfn.CONCAT("S",Tableau1[[#This Row],[Colonne2]])</f>
        <v>S0-1</v>
      </c>
      <c r="G321" t="str">
        <f>TEXT(Tableau1[[#This Row],[Date ]],"mmmm")</f>
        <v>janvier</v>
      </c>
      <c r="H321" s="2"/>
      <c r="I321" s="2"/>
      <c r="J321" s="2"/>
      <c r="K321" s="17">
        <f t="shared" si="4"/>
        <v>0</v>
      </c>
      <c r="L321" t="str">
        <f>CONCATENATE(Tableau1[[#This Row],[Usine]],"-",Tableau1[[#This Row],[Semaine ]])</f>
        <v>-S0-1</v>
      </c>
    </row>
    <row r="322" spans="1:12" x14ac:dyDescent="0.3">
      <c r="A322" s="1"/>
      <c r="B322" s="15"/>
      <c r="C322" s="14">
        <f>WEEKNUM(Tableau1[[#This Row],[Date ]])</f>
        <v>0</v>
      </c>
      <c r="D322" s="14">
        <f>Tableau1[[#This Row],[Colonne1]]-1</f>
        <v>-1</v>
      </c>
      <c r="E322" s="14" t="str">
        <f>_xlfn.CONCAT("0",Tableau1[[#This Row],[N° Semaine]])</f>
        <v>0-1</v>
      </c>
      <c r="F322" s="14" t="str">
        <f>_xlfn.CONCAT("S",Tableau1[[#This Row],[Colonne2]])</f>
        <v>S0-1</v>
      </c>
      <c r="G322" t="str">
        <f>TEXT(Tableau1[[#This Row],[Date ]],"mmmm")</f>
        <v>janvier</v>
      </c>
      <c r="H322" s="2"/>
      <c r="I322" s="2"/>
      <c r="J322" s="2"/>
      <c r="K322" s="17">
        <f t="shared" ref="K322:K385" si="5">SUM(H322:J323)</f>
        <v>0</v>
      </c>
      <c r="L322" t="str">
        <f>CONCATENATE(Tableau1[[#This Row],[Usine]],"-",Tableau1[[#This Row],[Semaine ]])</f>
        <v>-S0-1</v>
      </c>
    </row>
    <row r="323" spans="1:12" x14ac:dyDescent="0.3">
      <c r="A323" s="1"/>
      <c r="B323" s="15"/>
      <c r="C323" s="14">
        <f>WEEKNUM(Tableau1[[#This Row],[Date ]])</f>
        <v>0</v>
      </c>
      <c r="D323" s="14">
        <f>Tableau1[[#This Row],[Colonne1]]-1</f>
        <v>-1</v>
      </c>
      <c r="E323" s="14" t="str">
        <f>_xlfn.CONCAT("0",Tableau1[[#This Row],[N° Semaine]])</f>
        <v>0-1</v>
      </c>
      <c r="F323" s="14" t="str">
        <f>_xlfn.CONCAT("S",Tableau1[[#This Row],[Colonne2]])</f>
        <v>S0-1</v>
      </c>
      <c r="G323" t="str">
        <f>TEXT(Tableau1[[#This Row],[Date ]],"mmmm")</f>
        <v>janvier</v>
      </c>
      <c r="H323" s="2"/>
      <c r="I323" s="2"/>
      <c r="J323" s="2"/>
      <c r="K323" s="17">
        <f t="shared" si="5"/>
        <v>0</v>
      </c>
      <c r="L323" t="str">
        <f>CONCATENATE(Tableau1[[#This Row],[Usine]],"-",Tableau1[[#This Row],[Semaine ]])</f>
        <v>-S0-1</v>
      </c>
    </row>
    <row r="324" spans="1:12" x14ac:dyDescent="0.3">
      <c r="A324" s="1"/>
      <c r="B324" s="15"/>
      <c r="C324" s="14">
        <f>WEEKNUM(Tableau1[[#This Row],[Date ]])</f>
        <v>0</v>
      </c>
      <c r="D324" s="14">
        <f>Tableau1[[#This Row],[Colonne1]]-1</f>
        <v>-1</v>
      </c>
      <c r="E324" s="14" t="str">
        <f>_xlfn.CONCAT("0",Tableau1[[#This Row],[N° Semaine]])</f>
        <v>0-1</v>
      </c>
      <c r="F324" s="14" t="str">
        <f>_xlfn.CONCAT("S",Tableau1[[#This Row],[Colonne2]])</f>
        <v>S0-1</v>
      </c>
      <c r="G324" t="str">
        <f>TEXT(Tableau1[[#This Row],[Date ]],"mmmm")</f>
        <v>janvier</v>
      </c>
      <c r="H324" s="2"/>
      <c r="I324" s="2"/>
      <c r="J324" s="2"/>
      <c r="K324" s="17">
        <f t="shared" si="5"/>
        <v>0</v>
      </c>
      <c r="L324" t="str">
        <f>CONCATENATE(Tableau1[[#This Row],[Usine]],"-",Tableau1[[#This Row],[Semaine ]])</f>
        <v>-S0-1</v>
      </c>
    </row>
    <row r="325" spans="1:12" x14ac:dyDescent="0.3">
      <c r="A325" s="1"/>
      <c r="B325" s="15"/>
      <c r="C325" s="14">
        <f>WEEKNUM(Tableau1[[#This Row],[Date ]])</f>
        <v>0</v>
      </c>
      <c r="D325" s="14">
        <f>Tableau1[[#This Row],[Colonne1]]-1</f>
        <v>-1</v>
      </c>
      <c r="E325" s="14" t="str">
        <f>_xlfn.CONCAT("0",Tableau1[[#This Row],[N° Semaine]])</f>
        <v>0-1</v>
      </c>
      <c r="F325" s="14" t="str">
        <f>_xlfn.CONCAT("S",Tableau1[[#This Row],[Colonne2]])</f>
        <v>S0-1</v>
      </c>
      <c r="G325" t="str">
        <f>TEXT(Tableau1[[#This Row],[Date ]],"mmmm")</f>
        <v>janvier</v>
      </c>
      <c r="H325" s="2"/>
      <c r="I325" s="2"/>
      <c r="J325" s="2"/>
      <c r="K325" s="17">
        <f t="shared" si="5"/>
        <v>0</v>
      </c>
      <c r="L325" t="str">
        <f>CONCATENATE(Tableau1[[#This Row],[Usine]],"-",Tableau1[[#This Row],[Semaine ]])</f>
        <v>-S0-1</v>
      </c>
    </row>
    <row r="326" spans="1:12" x14ac:dyDescent="0.3">
      <c r="A326" s="1"/>
      <c r="B326" s="15"/>
      <c r="C326" s="14">
        <f>WEEKNUM(Tableau1[[#This Row],[Date ]])</f>
        <v>0</v>
      </c>
      <c r="D326" s="14">
        <f>Tableau1[[#This Row],[Colonne1]]-1</f>
        <v>-1</v>
      </c>
      <c r="E326" s="14" t="str">
        <f>_xlfn.CONCAT("0",Tableau1[[#This Row],[N° Semaine]])</f>
        <v>0-1</v>
      </c>
      <c r="F326" s="14" t="str">
        <f>_xlfn.CONCAT("S",Tableau1[[#This Row],[Colonne2]])</f>
        <v>S0-1</v>
      </c>
      <c r="G326" t="str">
        <f>TEXT(Tableau1[[#This Row],[Date ]],"mmmm")</f>
        <v>janvier</v>
      </c>
      <c r="H326" s="2"/>
      <c r="I326" s="2"/>
      <c r="J326" s="2"/>
      <c r="K326" s="17">
        <f t="shared" si="5"/>
        <v>0</v>
      </c>
      <c r="L326" t="str">
        <f>CONCATENATE(Tableau1[[#This Row],[Usine]],"-",Tableau1[[#This Row],[Semaine ]])</f>
        <v>-S0-1</v>
      </c>
    </row>
    <row r="327" spans="1:12" x14ac:dyDescent="0.3">
      <c r="A327" s="1"/>
      <c r="B327" s="15"/>
      <c r="C327" s="14">
        <f>WEEKNUM(Tableau1[[#This Row],[Date ]])</f>
        <v>0</v>
      </c>
      <c r="D327" s="14">
        <f>Tableau1[[#This Row],[Colonne1]]-1</f>
        <v>-1</v>
      </c>
      <c r="E327" s="14" t="str">
        <f>_xlfn.CONCAT("0",Tableau1[[#This Row],[N° Semaine]])</f>
        <v>0-1</v>
      </c>
      <c r="F327" s="14" t="str">
        <f>_xlfn.CONCAT("S",Tableau1[[#This Row],[Colonne2]])</f>
        <v>S0-1</v>
      </c>
      <c r="G327" t="str">
        <f>TEXT(Tableau1[[#This Row],[Date ]],"mmmm")</f>
        <v>janvier</v>
      </c>
      <c r="H327" s="2"/>
      <c r="I327" s="2"/>
      <c r="J327" s="2"/>
      <c r="K327" s="17">
        <f t="shared" si="5"/>
        <v>0</v>
      </c>
      <c r="L327" t="str">
        <f>CONCATENATE(Tableau1[[#This Row],[Usine]],"-",Tableau1[[#This Row],[Semaine ]])</f>
        <v>-S0-1</v>
      </c>
    </row>
    <row r="328" spans="1:12" x14ac:dyDescent="0.3">
      <c r="A328" s="1"/>
      <c r="B328" s="15"/>
      <c r="C328" s="14">
        <f>WEEKNUM(Tableau1[[#This Row],[Date ]])</f>
        <v>0</v>
      </c>
      <c r="D328" s="14">
        <f>Tableau1[[#This Row],[Colonne1]]-1</f>
        <v>-1</v>
      </c>
      <c r="E328" s="14" t="str">
        <f>_xlfn.CONCAT("0",Tableau1[[#This Row],[N° Semaine]])</f>
        <v>0-1</v>
      </c>
      <c r="F328" s="14" t="str">
        <f>_xlfn.CONCAT("S",Tableau1[[#This Row],[Colonne2]])</f>
        <v>S0-1</v>
      </c>
      <c r="G328" t="str">
        <f>TEXT(Tableau1[[#This Row],[Date ]],"mmmm")</f>
        <v>janvier</v>
      </c>
      <c r="H328" s="2"/>
      <c r="I328" s="2"/>
      <c r="J328" s="2"/>
      <c r="K328" s="17">
        <f t="shared" si="5"/>
        <v>0</v>
      </c>
      <c r="L328" t="str">
        <f>CONCATENATE(Tableau1[[#This Row],[Usine]],"-",Tableau1[[#This Row],[Semaine ]])</f>
        <v>-S0-1</v>
      </c>
    </row>
    <row r="329" spans="1:12" x14ac:dyDescent="0.3">
      <c r="A329" s="1"/>
      <c r="B329" s="15"/>
      <c r="C329" s="14">
        <f>WEEKNUM(Tableau1[[#This Row],[Date ]])</f>
        <v>0</v>
      </c>
      <c r="D329" s="14">
        <f>Tableau1[[#This Row],[Colonne1]]-1</f>
        <v>-1</v>
      </c>
      <c r="E329" s="14" t="str">
        <f>_xlfn.CONCAT("0",Tableau1[[#This Row],[N° Semaine]])</f>
        <v>0-1</v>
      </c>
      <c r="F329" s="14" t="str">
        <f>_xlfn.CONCAT("S",Tableau1[[#This Row],[Colonne2]])</f>
        <v>S0-1</v>
      </c>
      <c r="G329" t="str">
        <f>TEXT(Tableau1[[#This Row],[Date ]],"mmmm")</f>
        <v>janvier</v>
      </c>
      <c r="H329" s="2"/>
      <c r="I329" s="2"/>
      <c r="J329" s="2"/>
      <c r="K329" s="17">
        <f t="shared" si="5"/>
        <v>0</v>
      </c>
      <c r="L329" t="str">
        <f>CONCATENATE(Tableau1[[#This Row],[Usine]],"-",Tableau1[[#This Row],[Semaine ]])</f>
        <v>-S0-1</v>
      </c>
    </row>
    <row r="330" spans="1:12" x14ac:dyDescent="0.3">
      <c r="A330" s="1"/>
      <c r="B330" s="15"/>
      <c r="C330" s="14">
        <f>WEEKNUM(Tableau1[[#This Row],[Date ]])</f>
        <v>0</v>
      </c>
      <c r="D330" s="14">
        <f>Tableau1[[#This Row],[Colonne1]]-1</f>
        <v>-1</v>
      </c>
      <c r="E330" s="14" t="str">
        <f>_xlfn.CONCAT("0",Tableau1[[#This Row],[N° Semaine]])</f>
        <v>0-1</v>
      </c>
      <c r="F330" s="14" t="str">
        <f>_xlfn.CONCAT("S",Tableau1[[#This Row],[Colonne2]])</f>
        <v>S0-1</v>
      </c>
      <c r="G330" t="str">
        <f>TEXT(Tableau1[[#This Row],[Date ]],"mmmm")</f>
        <v>janvier</v>
      </c>
      <c r="H330" s="2"/>
      <c r="I330" s="2"/>
      <c r="J330" s="2"/>
      <c r="K330" s="17">
        <f t="shared" si="5"/>
        <v>0</v>
      </c>
      <c r="L330" t="str">
        <f>CONCATENATE(Tableau1[[#This Row],[Usine]],"-",Tableau1[[#This Row],[Semaine ]])</f>
        <v>-S0-1</v>
      </c>
    </row>
    <row r="331" spans="1:12" x14ac:dyDescent="0.3">
      <c r="A331" s="1"/>
      <c r="B331" s="15"/>
      <c r="C331" s="14">
        <f>WEEKNUM(Tableau1[[#This Row],[Date ]])</f>
        <v>0</v>
      </c>
      <c r="D331" s="14">
        <f>Tableau1[[#This Row],[Colonne1]]-1</f>
        <v>-1</v>
      </c>
      <c r="E331" s="14" t="str">
        <f>_xlfn.CONCAT("0",Tableau1[[#This Row],[N° Semaine]])</f>
        <v>0-1</v>
      </c>
      <c r="F331" s="14" t="str">
        <f>_xlfn.CONCAT("S",Tableau1[[#This Row],[Colonne2]])</f>
        <v>S0-1</v>
      </c>
      <c r="G331" t="str">
        <f>TEXT(Tableau1[[#This Row],[Date ]],"mmmm")</f>
        <v>janvier</v>
      </c>
      <c r="H331" s="2"/>
      <c r="I331" s="2"/>
      <c r="J331" s="2"/>
      <c r="K331" s="17">
        <f t="shared" si="5"/>
        <v>0</v>
      </c>
      <c r="L331" t="str">
        <f>CONCATENATE(Tableau1[[#This Row],[Usine]],"-",Tableau1[[#This Row],[Semaine ]])</f>
        <v>-S0-1</v>
      </c>
    </row>
    <row r="332" spans="1:12" x14ac:dyDescent="0.3">
      <c r="A332" s="1"/>
      <c r="B332" s="15"/>
      <c r="C332" s="14">
        <f>WEEKNUM(Tableau1[[#This Row],[Date ]])</f>
        <v>0</v>
      </c>
      <c r="D332" s="14">
        <f>Tableau1[[#This Row],[Colonne1]]-1</f>
        <v>-1</v>
      </c>
      <c r="E332" s="14" t="str">
        <f>_xlfn.CONCAT("0",Tableau1[[#This Row],[N° Semaine]])</f>
        <v>0-1</v>
      </c>
      <c r="F332" s="14" t="str">
        <f>_xlfn.CONCAT("S",Tableau1[[#This Row],[Colonne2]])</f>
        <v>S0-1</v>
      </c>
      <c r="G332" t="str">
        <f>TEXT(Tableau1[[#This Row],[Date ]],"mmmm")</f>
        <v>janvier</v>
      </c>
      <c r="H332" s="2"/>
      <c r="I332" s="2"/>
      <c r="J332" s="2"/>
      <c r="K332" s="17">
        <f t="shared" si="5"/>
        <v>0</v>
      </c>
      <c r="L332" t="str">
        <f>CONCATENATE(Tableau1[[#This Row],[Usine]],"-",Tableau1[[#This Row],[Semaine ]])</f>
        <v>-S0-1</v>
      </c>
    </row>
    <row r="333" spans="1:12" x14ac:dyDescent="0.3">
      <c r="A333" s="1"/>
      <c r="B333" s="15"/>
      <c r="C333" s="14">
        <f>WEEKNUM(Tableau1[[#This Row],[Date ]])</f>
        <v>0</v>
      </c>
      <c r="D333" s="14">
        <f>Tableau1[[#This Row],[Colonne1]]-1</f>
        <v>-1</v>
      </c>
      <c r="E333" s="14" t="str">
        <f>_xlfn.CONCAT("0",Tableau1[[#This Row],[N° Semaine]])</f>
        <v>0-1</v>
      </c>
      <c r="F333" s="14" t="str">
        <f>_xlfn.CONCAT("S",Tableau1[[#This Row],[Colonne2]])</f>
        <v>S0-1</v>
      </c>
      <c r="G333" t="str">
        <f>TEXT(Tableau1[[#This Row],[Date ]],"mmmm")</f>
        <v>janvier</v>
      </c>
      <c r="H333" s="2"/>
      <c r="I333" s="2"/>
      <c r="J333" s="2"/>
      <c r="K333" s="17">
        <f t="shared" si="5"/>
        <v>0</v>
      </c>
      <c r="L333" t="str">
        <f>CONCATENATE(Tableau1[[#This Row],[Usine]],"-",Tableau1[[#This Row],[Semaine ]])</f>
        <v>-S0-1</v>
      </c>
    </row>
    <row r="334" spans="1:12" x14ac:dyDescent="0.3">
      <c r="A334" s="1"/>
      <c r="B334" s="15"/>
      <c r="C334" s="14">
        <f>WEEKNUM(Tableau1[[#This Row],[Date ]])</f>
        <v>0</v>
      </c>
      <c r="D334" s="14">
        <f>Tableau1[[#This Row],[Colonne1]]-1</f>
        <v>-1</v>
      </c>
      <c r="E334" s="14" t="str">
        <f>_xlfn.CONCAT("0",Tableau1[[#This Row],[N° Semaine]])</f>
        <v>0-1</v>
      </c>
      <c r="F334" s="14" t="str">
        <f>_xlfn.CONCAT("S",Tableau1[[#This Row],[Colonne2]])</f>
        <v>S0-1</v>
      </c>
      <c r="G334" t="str">
        <f>TEXT(Tableau1[[#This Row],[Date ]],"mmmm")</f>
        <v>janvier</v>
      </c>
      <c r="H334" s="2"/>
      <c r="I334" s="2"/>
      <c r="J334" s="2"/>
      <c r="K334" s="17">
        <f t="shared" si="5"/>
        <v>0</v>
      </c>
      <c r="L334" t="str">
        <f>CONCATENATE(Tableau1[[#This Row],[Usine]],"-",Tableau1[[#This Row],[Semaine ]])</f>
        <v>-S0-1</v>
      </c>
    </row>
    <row r="335" spans="1:12" x14ac:dyDescent="0.3">
      <c r="A335" s="1"/>
      <c r="B335" s="15"/>
      <c r="C335" s="14">
        <f>WEEKNUM(Tableau1[[#This Row],[Date ]])</f>
        <v>0</v>
      </c>
      <c r="D335" s="14">
        <f>Tableau1[[#This Row],[Colonne1]]-1</f>
        <v>-1</v>
      </c>
      <c r="E335" s="14" t="str">
        <f>_xlfn.CONCAT("0",Tableau1[[#This Row],[N° Semaine]])</f>
        <v>0-1</v>
      </c>
      <c r="F335" s="14" t="str">
        <f>_xlfn.CONCAT("S",Tableau1[[#This Row],[Colonne2]])</f>
        <v>S0-1</v>
      </c>
      <c r="G335" t="str">
        <f>TEXT(Tableau1[[#This Row],[Date ]],"mmmm")</f>
        <v>janvier</v>
      </c>
      <c r="H335" s="2"/>
      <c r="I335" s="2"/>
      <c r="J335" s="2"/>
      <c r="K335" s="17">
        <f t="shared" si="5"/>
        <v>0</v>
      </c>
      <c r="L335" t="str">
        <f>CONCATENATE(Tableau1[[#This Row],[Usine]],"-",Tableau1[[#This Row],[Semaine ]])</f>
        <v>-S0-1</v>
      </c>
    </row>
    <row r="336" spans="1:12" x14ac:dyDescent="0.3">
      <c r="A336" s="1"/>
      <c r="B336" s="15"/>
      <c r="C336" s="14">
        <f>WEEKNUM(Tableau1[[#This Row],[Date ]])</f>
        <v>0</v>
      </c>
      <c r="D336" s="14">
        <f>Tableau1[[#This Row],[Colonne1]]-1</f>
        <v>-1</v>
      </c>
      <c r="E336" s="14" t="str">
        <f>_xlfn.CONCAT("0",Tableau1[[#This Row],[N° Semaine]])</f>
        <v>0-1</v>
      </c>
      <c r="F336" s="14" t="str">
        <f>_xlfn.CONCAT("S",Tableau1[[#This Row],[Colonne2]])</f>
        <v>S0-1</v>
      </c>
      <c r="G336" t="str">
        <f>TEXT(Tableau1[[#This Row],[Date ]],"mmmm")</f>
        <v>janvier</v>
      </c>
      <c r="H336" s="2"/>
      <c r="I336" s="2"/>
      <c r="J336" s="2"/>
      <c r="K336" s="17">
        <f t="shared" si="5"/>
        <v>0</v>
      </c>
      <c r="L336" t="str">
        <f>CONCATENATE(Tableau1[[#This Row],[Usine]],"-",Tableau1[[#This Row],[Semaine ]])</f>
        <v>-S0-1</v>
      </c>
    </row>
    <row r="337" spans="1:12" x14ac:dyDescent="0.3">
      <c r="A337" s="1"/>
      <c r="B337" s="15"/>
      <c r="C337" s="14">
        <f>WEEKNUM(Tableau1[[#This Row],[Date ]])</f>
        <v>0</v>
      </c>
      <c r="D337" s="14">
        <f>Tableau1[[#This Row],[Colonne1]]-1</f>
        <v>-1</v>
      </c>
      <c r="E337" s="14" t="str">
        <f>_xlfn.CONCAT("0",Tableau1[[#This Row],[N° Semaine]])</f>
        <v>0-1</v>
      </c>
      <c r="F337" s="14" t="str">
        <f>_xlfn.CONCAT("S",Tableau1[[#This Row],[Colonne2]])</f>
        <v>S0-1</v>
      </c>
      <c r="G337" t="str">
        <f>TEXT(Tableau1[[#This Row],[Date ]],"mmmm")</f>
        <v>janvier</v>
      </c>
      <c r="H337" s="2"/>
      <c r="I337" s="2"/>
      <c r="J337" s="2"/>
      <c r="K337" s="17">
        <f t="shared" si="5"/>
        <v>0</v>
      </c>
      <c r="L337" t="str">
        <f>CONCATENATE(Tableau1[[#This Row],[Usine]],"-",Tableau1[[#This Row],[Semaine ]])</f>
        <v>-S0-1</v>
      </c>
    </row>
    <row r="338" spans="1:12" x14ac:dyDescent="0.3">
      <c r="A338" s="1"/>
      <c r="B338" s="15"/>
      <c r="C338" s="14">
        <f>WEEKNUM(Tableau1[[#This Row],[Date ]])</f>
        <v>0</v>
      </c>
      <c r="D338" s="14">
        <f>Tableau1[[#This Row],[Colonne1]]-1</f>
        <v>-1</v>
      </c>
      <c r="E338" s="14" t="str">
        <f>_xlfn.CONCAT("0",Tableau1[[#This Row],[N° Semaine]])</f>
        <v>0-1</v>
      </c>
      <c r="F338" s="14" t="str">
        <f>_xlfn.CONCAT("S",Tableau1[[#This Row],[Colonne2]])</f>
        <v>S0-1</v>
      </c>
      <c r="G338" t="str">
        <f>TEXT(Tableau1[[#This Row],[Date ]],"mmmm")</f>
        <v>janvier</v>
      </c>
      <c r="H338" s="2"/>
      <c r="I338" s="2"/>
      <c r="J338" s="2"/>
      <c r="K338" s="17">
        <f t="shared" si="5"/>
        <v>0</v>
      </c>
      <c r="L338" t="str">
        <f>CONCATENATE(Tableau1[[#This Row],[Usine]],"-",Tableau1[[#This Row],[Semaine ]])</f>
        <v>-S0-1</v>
      </c>
    </row>
    <row r="339" spans="1:12" x14ac:dyDescent="0.3">
      <c r="A339" s="1"/>
      <c r="B339" s="15"/>
      <c r="C339" s="14">
        <f>WEEKNUM(Tableau1[[#This Row],[Date ]])</f>
        <v>0</v>
      </c>
      <c r="D339" s="14">
        <f>Tableau1[[#This Row],[Colonne1]]-1</f>
        <v>-1</v>
      </c>
      <c r="E339" s="14" t="str">
        <f>_xlfn.CONCAT("0",Tableau1[[#This Row],[N° Semaine]])</f>
        <v>0-1</v>
      </c>
      <c r="F339" s="14" t="str">
        <f>_xlfn.CONCAT("S",Tableau1[[#This Row],[Colonne2]])</f>
        <v>S0-1</v>
      </c>
      <c r="G339" t="str">
        <f>TEXT(Tableau1[[#This Row],[Date ]],"mmmm")</f>
        <v>janvier</v>
      </c>
      <c r="H339" s="2"/>
      <c r="I339" s="2"/>
      <c r="J339" s="2"/>
      <c r="K339" s="17">
        <f t="shared" si="5"/>
        <v>0</v>
      </c>
      <c r="L339" t="str">
        <f>CONCATENATE(Tableau1[[#This Row],[Usine]],"-",Tableau1[[#This Row],[Semaine ]])</f>
        <v>-S0-1</v>
      </c>
    </row>
    <row r="340" spans="1:12" x14ac:dyDescent="0.3">
      <c r="A340" s="1"/>
      <c r="B340" s="15"/>
      <c r="C340" s="14">
        <f>WEEKNUM(Tableau1[[#This Row],[Date ]])</f>
        <v>0</v>
      </c>
      <c r="D340" s="14">
        <f>Tableau1[[#This Row],[Colonne1]]-1</f>
        <v>-1</v>
      </c>
      <c r="E340" s="14" t="str">
        <f>_xlfn.CONCAT("0",Tableau1[[#This Row],[N° Semaine]])</f>
        <v>0-1</v>
      </c>
      <c r="F340" s="14" t="str">
        <f>_xlfn.CONCAT("S",Tableau1[[#This Row],[Colonne2]])</f>
        <v>S0-1</v>
      </c>
      <c r="G340" t="str">
        <f>TEXT(Tableau1[[#This Row],[Date ]],"mmmm")</f>
        <v>janvier</v>
      </c>
      <c r="H340" s="2"/>
      <c r="I340" s="2"/>
      <c r="J340" s="2"/>
      <c r="K340" s="17">
        <f t="shared" si="5"/>
        <v>0</v>
      </c>
      <c r="L340" t="str">
        <f>CONCATENATE(Tableau1[[#This Row],[Usine]],"-",Tableau1[[#This Row],[Semaine ]])</f>
        <v>-S0-1</v>
      </c>
    </row>
    <row r="341" spans="1:12" x14ac:dyDescent="0.3">
      <c r="A341" s="1"/>
      <c r="B341" s="15"/>
      <c r="C341" s="14">
        <f>WEEKNUM(Tableau1[[#This Row],[Date ]])</f>
        <v>0</v>
      </c>
      <c r="D341" s="14">
        <f>Tableau1[[#This Row],[Colonne1]]-1</f>
        <v>-1</v>
      </c>
      <c r="E341" s="14" t="str">
        <f>_xlfn.CONCAT("0",Tableau1[[#This Row],[N° Semaine]])</f>
        <v>0-1</v>
      </c>
      <c r="F341" s="14" t="str">
        <f>_xlfn.CONCAT("S",Tableau1[[#This Row],[Colonne2]])</f>
        <v>S0-1</v>
      </c>
      <c r="G341" t="str">
        <f>TEXT(Tableau1[[#This Row],[Date ]],"mmmm")</f>
        <v>janvier</v>
      </c>
      <c r="H341" s="2"/>
      <c r="I341" s="2"/>
      <c r="J341" s="2"/>
      <c r="K341" s="17">
        <f t="shared" si="5"/>
        <v>0</v>
      </c>
      <c r="L341" t="str">
        <f>CONCATENATE(Tableau1[[#This Row],[Usine]],"-",Tableau1[[#This Row],[Semaine ]])</f>
        <v>-S0-1</v>
      </c>
    </row>
    <row r="342" spans="1:12" x14ac:dyDescent="0.3">
      <c r="A342" s="1"/>
      <c r="B342" s="15"/>
      <c r="C342" s="14">
        <f>WEEKNUM(Tableau1[[#This Row],[Date ]])</f>
        <v>0</v>
      </c>
      <c r="D342" s="14">
        <f>Tableau1[[#This Row],[Colonne1]]-1</f>
        <v>-1</v>
      </c>
      <c r="E342" s="14" t="str">
        <f>_xlfn.CONCAT("0",Tableau1[[#This Row],[N° Semaine]])</f>
        <v>0-1</v>
      </c>
      <c r="F342" s="14" t="str">
        <f>_xlfn.CONCAT("S",Tableau1[[#This Row],[Colonne2]])</f>
        <v>S0-1</v>
      </c>
      <c r="G342" t="str">
        <f>TEXT(Tableau1[[#This Row],[Date ]],"mmmm")</f>
        <v>janvier</v>
      </c>
      <c r="H342" s="2"/>
      <c r="I342" s="2"/>
      <c r="J342" s="2"/>
      <c r="K342" s="17">
        <f t="shared" si="5"/>
        <v>0</v>
      </c>
      <c r="L342" t="str">
        <f>CONCATENATE(Tableau1[[#This Row],[Usine]],"-",Tableau1[[#This Row],[Semaine ]])</f>
        <v>-S0-1</v>
      </c>
    </row>
    <row r="343" spans="1:12" x14ac:dyDescent="0.3">
      <c r="A343" s="1"/>
      <c r="B343" s="15"/>
      <c r="C343" s="14">
        <f>WEEKNUM(Tableau1[[#This Row],[Date ]])</f>
        <v>0</v>
      </c>
      <c r="D343" s="14">
        <f>Tableau1[[#This Row],[Colonne1]]-1</f>
        <v>-1</v>
      </c>
      <c r="E343" s="14" t="str">
        <f>_xlfn.CONCAT("0",Tableau1[[#This Row],[N° Semaine]])</f>
        <v>0-1</v>
      </c>
      <c r="F343" s="14" t="str">
        <f>_xlfn.CONCAT("S",Tableau1[[#This Row],[Colonne2]])</f>
        <v>S0-1</v>
      </c>
      <c r="G343" t="str">
        <f>TEXT(Tableau1[[#This Row],[Date ]],"mmmm")</f>
        <v>janvier</v>
      </c>
      <c r="H343" s="2"/>
      <c r="I343" s="2"/>
      <c r="J343" s="2"/>
      <c r="K343" s="17">
        <f t="shared" si="5"/>
        <v>0</v>
      </c>
      <c r="L343" t="str">
        <f>CONCATENATE(Tableau1[[#This Row],[Usine]],"-",Tableau1[[#This Row],[Semaine ]])</f>
        <v>-S0-1</v>
      </c>
    </row>
    <row r="344" spans="1:12" x14ac:dyDescent="0.3">
      <c r="A344" s="1"/>
      <c r="B344" s="15"/>
      <c r="C344" s="14">
        <f>WEEKNUM(Tableau1[[#This Row],[Date ]])</f>
        <v>0</v>
      </c>
      <c r="D344" s="14">
        <f>Tableau1[[#This Row],[Colonne1]]-1</f>
        <v>-1</v>
      </c>
      <c r="E344" s="14" t="str">
        <f>_xlfn.CONCAT("0",Tableau1[[#This Row],[N° Semaine]])</f>
        <v>0-1</v>
      </c>
      <c r="F344" s="14" t="str">
        <f>_xlfn.CONCAT("S",Tableau1[[#This Row],[Colonne2]])</f>
        <v>S0-1</v>
      </c>
      <c r="G344" t="str">
        <f>TEXT(Tableau1[[#This Row],[Date ]],"mmmm")</f>
        <v>janvier</v>
      </c>
      <c r="H344" s="2"/>
      <c r="I344" s="2"/>
      <c r="J344" s="2"/>
      <c r="K344" s="17">
        <f t="shared" si="5"/>
        <v>0</v>
      </c>
      <c r="L344" t="str">
        <f>CONCATENATE(Tableau1[[#This Row],[Usine]],"-",Tableau1[[#This Row],[Semaine ]])</f>
        <v>-S0-1</v>
      </c>
    </row>
    <row r="345" spans="1:12" x14ac:dyDescent="0.3">
      <c r="A345" s="1"/>
      <c r="B345" s="15"/>
      <c r="C345" s="14">
        <f>WEEKNUM(Tableau1[[#This Row],[Date ]])</f>
        <v>0</v>
      </c>
      <c r="D345" s="14">
        <f>Tableau1[[#This Row],[Colonne1]]-1</f>
        <v>-1</v>
      </c>
      <c r="E345" s="14" t="str">
        <f>_xlfn.CONCAT("0",Tableau1[[#This Row],[N° Semaine]])</f>
        <v>0-1</v>
      </c>
      <c r="F345" s="14" t="str">
        <f>_xlfn.CONCAT("S",Tableau1[[#This Row],[Colonne2]])</f>
        <v>S0-1</v>
      </c>
      <c r="G345" t="str">
        <f>TEXT(Tableau1[[#This Row],[Date ]],"mmmm")</f>
        <v>janvier</v>
      </c>
      <c r="H345" s="2"/>
      <c r="I345" s="2"/>
      <c r="J345" s="2"/>
      <c r="K345" s="17">
        <f t="shared" si="5"/>
        <v>0</v>
      </c>
      <c r="L345" t="str">
        <f>CONCATENATE(Tableau1[[#This Row],[Usine]],"-",Tableau1[[#This Row],[Semaine ]])</f>
        <v>-S0-1</v>
      </c>
    </row>
    <row r="346" spans="1:12" x14ac:dyDescent="0.3">
      <c r="A346" s="1"/>
      <c r="B346" s="15"/>
      <c r="C346" s="14">
        <f>WEEKNUM(Tableau1[[#This Row],[Date ]])</f>
        <v>0</v>
      </c>
      <c r="D346" s="14">
        <f>Tableau1[[#This Row],[Colonne1]]-1</f>
        <v>-1</v>
      </c>
      <c r="E346" s="14" t="str">
        <f>_xlfn.CONCAT("0",Tableau1[[#This Row],[N° Semaine]])</f>
        <v>0-1</v>
      </c>
      <c r="F346" s="14" t="str">
        <f>_xlfn.CONCAT("S",Tableau1[[#This Row],[Colonne2]])</f>
        <v>S0-1</v>
      </c>
      <c r="G346" t="str">
        <f>TEXT(Tableau1[[#This Row],[Date ]],"mmmm")</f>
        <v>janvier</v>
      </c>
      <c r="H346" s="2"/>
      <c r="I346" s="2"/>
      <c r="J346" s="2"/>
      <c r="K346" s="17">
        <f t="shared" si="5"/>
        <v>0</v>
      </c>
      <c r="L346" t="str">
        <f>CONCATENATE(Tableau1[[#This Row],[Usine]],"-",Tableau1[[#This Row],[Semaine ]])</f>
        <v>-S0-1</v>
      </c>
    </row>
    <row r="347" spans="1:12" x14ac:dyDescent="0.3">
      <c r="A347" s="1"/>
      <c r="B347" s="15"/>
      <c r="C347" s="14">
        <f>WEEKNUM(Tableau1[[#This Row],[Date ]])</f>
        <v>0</v>
      </c>
      <c r="D347" s="14">
        <f>Tableau1[[#This Row],[Colonne1]]-1</f>
        <v>-1</v>
      </c>
      <c r="E347" s="14" t="str">
        <f>_xlfn.CONCAT("0",Tableau1[[#This Row],[N° Semaine]])</f>
        <v>0-1</v>
      </c>
      <c r="F347" s="14" t="str">
        <f>_xlfn.CONCAT("S",Tableau1[[#This Row],[Colonne2]])</f>
        <v>S0-1</v>
      </c>
      <c r="G347" t="str">
        <f>TEXT(Tableau1[[#This Row],[Date ]],"mmmm")</f>
        <v>janvier</v>
      </c>
      <c r="H347" s="2"/>
      <c r="I347" s="2"/>
      <c r="J347" s="2"/>
      <c r="K347" s="17">
        <f t="shared" si="5"/>
        <v>0</v>
      </c>
      <c r="L347" t="str">
        <f>CONCATENATE(Tableau1[[#This Row],[Usine]],"-",Tableau1[[#This Row],[Semaine ]])</f>
        <v>-S0-1</v>
      </c>
    </row>
    <row r="348" spans="1:12" x14ac:dyDescent="0.3">
      <c r="A348" s="1"/>
      <c r="B348" s="15"/>
      <c r="C348" s="14">
        <f>WEEKNUM(Tableau1[[#This Row],[Date ]])</f>
        <v>0</v>
      </c>
      <c r="D348" s="14">
        <f>Tableau1[[#This Row],[Colonne1]]-1</f>
        <v>-1</v>
      </c>
      <c r="E348" s="14" t="str">
        <f>_xlfn.CONCAT("0",Tableau1[[#This Row],[N° Semaine]])</f>
        <v>0-1</v>
      </c>
      <c r="F348" s="14" t="str">
        <f>_xlfn.CONCAT("S",Tableau1[[#This Row],[Colonne2]])</f>
        <v>S0-1</v>
      </c>
      <c r="G348" t="str">
        <f>TEXT(Tableau1[[#This Row],[Date ]],"mmmm")</f>
        <v>janvier</v>
      </c>
      <c r="H348" s="2"/>
      <c r="I348" s="2"/>
      <c r="J348" s="2"/>
      <c r="K348" s="17">
        <f t="shared" si="5"/>
        <v>0</v>
      </c>
      <c r="L348" t="str">
        <f>CONCATENATE(Tableau1[[#This Row],[Usine]],"-",Tableau1[[#This Row],[Semaine ]])</f>
        <v>-S0-1</v>
      </c>
    </row>
    <row r="349" spans="1:12" x14ac:dyDescent="0.3">
      <c r="A349" s="1"/>
      <c r="B349" s="15"/>
      <c r="C349" s="14">
        <f>WEEKNUM(Tableau1[[#This Row],[Date ]])</f>
        <v>0</v>
      </c>
      <c r="D349" s="14">
        <f>Tableau1[[#This Row],[Colonne1]]-1</f>
        <v>-1</v>
      </c>
      <c r="E349" s="14" t="str">
        <f>_xlfn.CONCAT("0",Tableau1[[#This Row],[N° Semaine]])</f>
        <v>0-1</v>
      </c>
      <c r="F349" s="14" t="str">
        <f>_xlfn.CONCAT("S",Tableau1[[#This Row],[Colonne2]])</f>
        <v>S0-1</v>
      </c>
      <c r="G349" t="str">
        <f>TEXT(Tableau1[[#This Row],[Date ]],"mmmm")</f>
        <v>janvier</v>
      </c>
      <c r="H349" s="2"/>
      <c r="I349" s="2"/>
      <c r="J349" s="2"/>
      <c r="K349" s="17">
        <f t="shared" si="5"/>
        <v>0</v>
      </c>
      <c r="L349" t="str">
        <f>CONCATENATE(Tableau1[[#This Row],[Usine]],"-",Tableau1[[#This Row],[Semaine ]])</f>
        <v>-S0-1</v>
      </c>
    </row>
    <row r="350" spans="1:12" x14ac:dyDescent="0.3">
      <c r="A350" s="1"/>
      <c r="B350" s="15"/>
      <c r="C350" s="14">
        <f>WEEKNUM(Tableau1[[#This Row],[Date ]])</f>
        <v>0</v>
      </c>
      <c r="D350" s="14">
        <f>Tableau1[[#This Row],[Colonne1]]-1</f>
        <v>-1</v>
      </c>
      <c r="E350" s="14" t="str">
        <f>_xlfn.CONCAT("0",Tableau1[[#This Row],[N° Semaine]])</f>
        <v>0-1</v>
      </c>
      <c r="F350" s="14" t="str">
        <f>_xlfn.CONCAT("S",Tableau1[[#This Row],[Colonne2]])</f>
        <v>S0-1</v>
      </c>
      <c r="G350" t="str">
        <f>TEXT(Tableau1[[#This Row],[Date ]],"mmmm")</f>
        <v>janvier</v>
      </c>
      <c r="H350" s="2"/>
      <c r="I350" s="2"/>
      <c r="J350" s="2"/>
      <c r="K350" s="17">
        <f t="shared" si="5"/>
        <v>0</v>
      </c>
      <c r="L350" t="str">
        <f>CONCATENATE(Tableau1[[#This Row],[Usine]],"-",Tableau1[[#This Row],[Semaine ]])</f>
        <v>-S0-1</v>
      </c>
    </row>
    <row r="351" spans="1:12" x14ac:dyDescent="0.3">
      <c r="A351" s="1"/>
      <c r="B351" s="15"/>
      <c r="C351" s="14">
        <f>WEEKNUM(Tableau1[[#This Row],[Date ]])</f>
        <v>0</v>
      </c>
      <c r="D351" s="14">
        <f>Tableau1[[#This Row],[Colonne1]]-1</f>
        <v>-1</v>
      </c>
      <c r="E351" s="14" t="str">
        <f>_xlfn.CONCAT("0",Tableau1[[#This Row],[N° Semaine]])</f>
        <v>0-1</v>
      </c>
      <c r="F351" s="14" t="str">
        <f>_xlfn.CONCAT("S",Tableau1[[#This Row],[Colonne2]])</f>
        <v>S0-1</v>
      </c>
      <c r="G351" t="str">
        <f>TEXT(Tableau1[[#This Row],[Date ]],"mmmm")</f>
        <v>janvier</v>
      </c>
      <c r="H351" s="2"/>
      <c r="I351" s="2"/>
      <c r="J351" s="2"/>
      <c r="K351" s="17">
        <f t="shared" si="5"/>
        <v>0</v>
      </c>
      <c r="L351" t="str">
        <f>CONCATENATE(Tableau1[[#This Row],[Usine]],"-",Tableau1[[#This Row],[Semaine ]])</f>
        <v>-S0-1</v>
      </c>
    </row>
    <row r="352" spans="1:12" x14ac:dyDescent="0.3">
      <c r="A352" s="1"/>
      <c r="B352" s="15"/>
      <c r="C352" s="14">
        <f>WEEKNUM(Tableau1[[#This Row],[Date ]])</f>
        <v>0</v>
      </c>
      <c r="D352" s="14">
        <f>Tableau1[[#This Row],[Colonne1]]-1</f>
        <v>-1</v>
      </c>
      <c r="E352" s="14" t="str">
        <f>_xlfn.CONCAT("0",Tableau1[[#This Row],[N° Semaine]])</f>
        <v>0-1</v>
      </c>
      <c r="F352" s="14" t="str">
        <f>_xlfn.CONCAT("S",Tableau1[[#This Row],[Colonne2]])</f>
        <v>S0-1</v>
      </c>
      <c r="G352" t="str">
        <f>TEXT(Tableau1[[#This Row],[Date ]],"mmmm")</f>
        <v>janvier</v>
      </c>
      <c r="H352" s="2"/>
      <c r="I352" s="2"/>
      <c r="J352" s="2"/>
      <c r="K352" s="17">
        <f t="shared" si="5"/>
        <v>0</v>
      </c>
      <c r="L352" t="str">
        <f>CONCATENATE(Tableau1[[#This Row],[Usine]],"-",Tableau1[[#This Row],[Semaine ]])</f>
        <v>-S0-1</v>
      </c>
    </row>
    <row r="353" spans="1:12" x14ac:dyDescent="0.3">
      <c r="A353" s="1"/>
      <c r="B353" s="15"/>
      <c r="C353" s="14">
        <f>WEEKNUM(Tableau1[[#This Row],[Date ]])</f>
        <v>0</v>
      </c>
      <c r="D353" s="14">
        <f>Tableau1[[#This Row],[Colonne1]]-1</f>
        <v>-1</v>
      </c>
      <c r="E353" s="14" t="str">
        <f>_xlfn.CONCAT("0",Tableau1[[#This Row],[N° Semaine]])</f>
        <v>0-1</v>
      </c>
      <c r="F353" s="14" t="str">
        <f>_xlfn.CONCAT("S",Tableau1[[#This Row],[Colonne2]])</f>
        <v>S0-1</v>
      </c>
      <c r="G353" t="str">
        <f>TEXT(Tableau1[[#This Row],[Date ]],"mmmm")</f>
        <v>janvier</v>
      </c>
      <c r="H353" s="2"/>
      <c r="I353" s="2"/>
      <c r="J353" s="2"/>
      <c r="K353" s="17">
        <f t="shared" si="5"/>
        <v>0</v>
      </c>
      <c r="L353" t="str">
        <f>CONCATENATE(Tableau1[[#This Row],[Usine]],"-",Tableau1[[#This Row],[Semaine ]])</f>
        <v>-S0-1</v>
      </c>
    </row>
    <row r="354" spans="1:12" x14ac:dyDescent="0.3">
      <c r="A354" s="1"/>
      <c r="B354" s="15"/>
      <c r="C354" s="14">
        <f>WEEKNUM(Tableau1[[#This Row],[Date ]])</f>
        <v>0</v>
      </c>
      <c r="D354" s="14">
        <f>Tableau1[[#This Row],[Colonne1]]-1</f>
        <v>-1</v>
      </c>
      <c r="E354" s="14" t="str">
        <f>_xlfn.CONCAT("0",Tableau1[[#This Row],[N° Semaine]])</f>
        <v>0-1</v>
      </c>
      <c r="F354" s="14" t="str">
        <f>_xlfn.CONCAT("S",Tableau1[[#This Row],[Colonne2]])</f>
        <v>S0-1</v>
      </c>
      <c r="G354" t="str">
        <f>TEXT(Tableau1[[#This Row],[Date ]],"mmmm")</f>
        <v>janvier</v>
      </c>
      <c r="H354" s="2"/>
      <c r="I354" s="2"/>
      <c r="J354" s="2"/>
      <c r="K354" s="17">
        <f t="shared" si="5"/>
        <v>0</v>
      </c>
      <c r="L354" t="str">
        <f>CONCATENATE(Tableau1[[#This Row],[Usine]],"-",Tableau1[[#This Row],[Semaine ]])</f>
        <v>-S0-1</v>
      </c>
    </row>
    <row r="355" spans="1:12" x14ac:dyDescent="0.3">
      <c r="A355" s="1"/>
      <c r="B355" s="15"/>
      <c r="C355" s="14">
        <f>WEEKNUM(Tableau1[[#This Row],[Date ]])</f>
        <v>0</v>
      </c>
      <c r="D355" s="14">
        <f>Tableau1[[#This Row],[Colonne1]]-1</f>
        <v>-1</v>
      </c>
      <c r="E355" s="14" t="str">
        <f>_xlfn.CONCAT("0",Tableau1[[#This Row],[N° Semaine]])</f>
        <v>0-1</v>
      </c>
      <c r="F355" s="14" t="str">
        <f>_xlfn.CONCAT("S",Tableau1[[#This Row],[Colonne2]])</f>
        <v>S0-1</v>
      </c>
      <c r="G355" t="str">
        <f>TEXT(Tableau1[[#This Row],[Date ]],"mmmm")</f>
        <v>janvier</v>
      </c>
      <c r="H355" s="2"/>
      <c r="I355" s="2"/>
      <c r="J355" s="2"/>
      <c r="K355" s="17">
        <f t="shared" si="5"/>
        <v>0</v>
      </c>
      <c r="L355" t="str">
        <f>CONCATENATE(Tableau1[[#This Row],[Usine]],"-",Tableau1[[#This Row],[Semaine ]])</f>
        <v>-S0-1</v>
      </c>
    </row>
    <row r="356" spans="1:12" x14ac:dyDescent="0.3">
      <c r="A356" s="1"/>
      <c r="B356" s="15"/>
      <c r="C356" s="14">
        <f>WEEKNUM(Tableau1[[#This Row],[Date ]])</f>
        <v>0</v>
      </c>
      <c r="D356" s="14">
        <f>Tableau1[[#This Row],[Colonne1]]-1</f>
        <v>-1</v>
      </c>
      <c r="E356" s="14" t="str">
        <f>_xlfn.CONCAT("0",Tableau1[[#This Row],[N° Semaine]])</f>
        <v>0-1</v>
      </c>
      <c r="F356" s="14" t="str">
        <f>_xlfn.CONCAT("S",Tableau1[[#This Row],[Colonne2]])</f>
        <v>S0-1</v>
      </c>
      <c r="G356" t="str">
        <f>TEXT(Tableau1[[#This Row],[Date ]],"mmmm")</f>
        <v>janvier</v>
      </c>
      <c r="H356" s="2"/>
      <c r="I356" s="2"/>
      <c r="J356" s="2"/>
      <c r="K356" s="17">
        <f t="shared" si="5"/>
        <v>0</v>
      </c>
      <c r="L356" t="str">
        <f>CONCATENATE(Tableau1[[#This Row],[Usine]],"-",Tableau1[[#This Row],[Semaine ]])</f>
        <v>-S0-1</v>
      </c>
    </row>
    <row r="357" spans="1:12" x14ac:dyDescent="0.3">
      <c r="A357" s="1"/>
      <c r="B357" s="15"/>
      <c r="C357" s="14">
        <f>WEEKNUM(Tableau1[[#This Row],[Date ]])</f>
        <v>0</v>
      </c>
      <c r="D357" s="14">
        <f>Tableau1[[#This Row],[Colonne1]]-1</f>
        <v>-1</v>
      </c>
      <c r="E357" s="14" t="str">
        <f>_xlfn.CONCAT("0",Tableau1[[#This Row],[N° Semaine]])</f>
        <v>0-1</v>
      </c>
      <c r="F357" s="14" t="str">
        <f>_xlfn.CONCAT("S",Tableau1[[#This Row],[Colonne2]])</f>
        <v>S0-1</v>
      </c>
      <c r="G357" t="str">
        <f>TEXT(Tableau1[[#This Row],[Date ]],"mmmm")</f>
        <v>janvier</v>
      </c>
      <c r="H357" s="2"/>
      <c r="I357" s="2"/>
      <c r="J357" s="2"/>
      <c r="K357" s="17">
        <f t="shared" si="5"/>
        <v>0</v>
      </c>
      <c r="L357" t="str">
        <f>CONCATENATE(Tableau1[[#This Row],[Usine]],"-",Tableau1[[#This Row],[Semaine ]])</f>
        <v>-S0-1</v>
      </c>
    </row>
    <row r="358" spans="1:12" x14ac:dyDescent="0.3">
      <c r="A358" s="1"/>
      <c r="B358" s="15"/>
      <c r="C358" s="14">
        <f>WEEKNUM(Tableau1[[#This Row],[Date ]])</f>
        <v>0</v>
      </c>
      <c r="D358" s="14">
        <f>Tableau1[[#This Row],[Colonne1]]-1</f>
        <v>-1</v>
      </c>
      <c r="E358" s="14" t="str">
        <f>_xlfn.CONCAT("0",Tableau1[[#This Row],[N° Semaine]])</f>
        <v>0-1</v>
      </c>
      <c r="F358" s="14" t="str">
        <f>_xlfn.CONCAT("S",Tableau1[[#This Row],[Colonne2]])</f>
        <v>S0-1</v>
      </c>
      <c r="G358" t="str">
        <f>TEXT(Tableau1[[#This Row],[Date ]],"mmmm")</f>
        <v>janvier</v>
      </c>
      <c r="H358" s="2"/>
      <c r="I358" s="2"/>
      <c r="J358" s="2"/>
      <c r="K358" s="17">
        <f t="shared" si="5"/>
        <v>0</v>
      </c>
      <c r="L358" t="str">
        <f>CONCATENATE(Tableau1[[#This Row],[Usine]],"-",Tableau1[[#This Row],[Semaine ]])</f>
        <v>-S0-1</v>
      </c>
    </row>
    <row r="359" spans="1:12" x14ac:dyDescent="0.3">
      <c r="A359" s="1"/>
      <c r="B359" s="15"/>
      <c r="C359" s="14">
        <f>WEEKNUM(Tableau1[[#This Row],[Date ]])</f>
        <v>0</v>
      </c>
      <c r="D359" s="14">
        <f>Tableau1[[#This Row],[Colonne1]]-1</f>
        <v>-1</v>
      </c>
      <c r="E359" s="14" t="str">
        <f>_xlfn.CONCAT("0",Tableau1[[#This Row],[N° Semaine]])</f>
        <v>0-1</v>
      </c>
      <c r="F359" s="14" t="str">
        <f>_xlfn.CONCAT("S",Tableau1[[#This Row],[Colonne2]])</f>
        <v>S0-1</v>
      </c>
      <c r="G359" t="str">
        <f>TEXT(Tableau1[[#This Row],[Date ]],"mmmm")</f>
        <v>janvier</v>
      </c>
      <c r="H359" s="2"/>
      <c r="I359" s="2"/>
      <c r="J359" s="2"/>
      <c r="K359" s="17">
        <f t="shared" si="5"/>
        <v>0</v>
      </c>
      <c r="L359" t="str">
        <f>CONCATENATE(Tableau1[[#This Row],[Usine]],"-",Tableau1[[#This Row],[Semaine ]])</f>
        <v>-S0-1</v>
      </c>
    </row>
    <row r="360" spans="1:12" x14ac:dyDescent="0.3">
      <c r="A360" s="1"/>
      <c r="B360" s="15"/>
      <c r="C360" s="14">
        <f>WEEKNUM(Tableau1[[#This Row],[Date ]])</f>
        <v>0</v>
      </c>
      <c r="D360" s="14">
        <f>Tableau1[[#This Row],[Colonne1]]-1</f>
        <v>-1</v>
      </c>
      <c r="E360" s="14" t="str">
        <f>_xlfn.CONCAT("0",Tableau1[[#This Row],[N° Semaine]])</f>
        <v>0-1</v>
      </c>
      <c r="F360" s="14" t="str">
        <f>_xlfn.CONCAT("S",Tableau1[[#This Row],[Colonne2]])</f>
        <v>S0-1</v>
      </c>
      <c r="G360" t="str">
        <f>TEXT(Tableau1[[#This Row],[Date ]],"mmmm")</f>
        <v>janvier</v>
      </c>
      <c r="H360" s="2"/>
      <c r="I360" s="2"/>
      <c r="J360" s="2"/>
      <c r="K360" s="17">
        <f t="shared" si="5"/>
        <v>0</v>
      </c>
      <c r="L360" t="str">
        <f>CONCATENATE(Tableau1[[#This Row],[Usine]],"-",Tableau1[[#This Row],[Semaine ]])</f>
        <v>-S0-1</v>
      </c>
    </row>
    <row r="361" spans="1:12" x14ac:dyDescent="0.3">
      <c r="A361" s="1"/>
      <c r="B361" s="15"/>
      <c r="C361" s="14">
        <f>WEEKNUM(Tableau1[[#This Row],[Date ]])</f>
        <v>0</v>
      </c>
      <c r="D361" s="14">
        <f>Tableau1[[#This Row],[Colonne1]]-1</f>
        <v>-1</v>
      </c>
      <c r="E361" s="14" t="str">
        <f>_xlfn.CONCAT("0",Tableau1[[#This Row],[N° Semaine]])</f>
        <v>0-1</v>
      </c>
      <c r="F361" s="14" t="str">
        <f>_xlfn.CONCAT("S",Tableau1[[#This Row],[Colonne2]])</f>
        <v>S0-1</v>
      </c>
      <c r="G361" t="str">
        <f>TEXT(Tableau1[[#This Row],[Date ]],"mmmm")</f>
        <v>janvier</v>
      </c>
      <c r="H361" s="2"/>
      <c r="I361" s="2"/>
      <c r="J361" s="2"/>
      <c r="K361" s="17">
        <f t="shared" si="5"/>
        <v>0</v>
      </c>
      <c r="L361" t="str">
        <f>CONCATENATE(Tableau1[[#This Row],[Usine]],"-",Tableau1[[#This Row],[Semaine ]])</f>
        <v>-S0-1</v>
      </c>
    </row>
    <row r="362" spans="1:12" x14ac:dyDescent="0.3">
      <c r="A362" s="1"/>
      <c r="B362" s="15"/>
      <c r="C362" s="14">
        <f>WEEKNUM(Tableau1[[#This Row],[Date ]])</f>
        <v>0</v>
      </c>
      <c r="D362" s="14">
        <f>Tableau1[[#This Row],[Colonne1]]-1</f>
        <v>-1</v>
      </c>
      <c r="E362" s="14" t="str">
        <f>_xlfn.CONCAT("0",Tableau1[[#This Row],[N° Semaine]])</f>
        <v>0-1</v>
      </c>
      <c r="F362" s="14" t="str">
        <f>_xlfn.CONCAT("S",Tableau1[[#This Row],[Colonne2]])</f>
        <v>S0-1</v>
      </c>
      <c r="G362" t="str">
        <f>TEXT(Tableau1[[#This Row],[Date ]],"mmmm")</f>
        <v>janvier</v>
      </c>
      <c r="H362" s="2"/>
      <c r="I362" s="2"/>
      <c r="J362" s="2"/>
      <c r="K362" s="17">
        <f t="shared" si="5"/>
        <v>0</v>
      </c>
      <c r="L362" t="str">
        <f>CONCATENATE(Tableau1[[#This Row],[Usine]],"-",Tableau1[[#This Row],[Semaine ]])</f>
        <v>-S0-1</v>
      </c>
    </row>
    <row r="363" spans="1:12" x14ac:dyDescent="0.3">
      <c r="A363" s="1"/>
      <c r="B363" s="15"/>
      <c r="C363" s="14">
        <f>WEEKNUM(Tableau1[[#This Row],[Date ]])</f>
        <v>0</v>
      </c>
      <c r="D363" s="14">
        <f>Tableau1[[#This Row],[Colonne1]]-1</f>
        <v>-1</v>
      </c>
      <c r="E363" s="14" t="str">
        <f>_xlfn.CONCAT("0",Tableau1[[#This Row],[N° Semaine]])</f>
        <v>0-1</v>
      </c>
      <c r="F363" s="14" t="str">
        <f>_xlfn.CONCAT("S",Tableau1[[#This Row],[Colonne2]])</f>
        <v>S0-1</v>
      </c>
      <c r="G363" t="str">
        <f>TEXT(Tableau1[[#This Row],[Date ]],"mmmm")</f>
        <v>janvier</v>
      </c>
      <c r="H363" s="2"/>
      <c r="I363" s="2"/>
      <c r="J363" s="2"/>
      <c r="K363" s="17">
        <f t="shared" si="5"/>
        <v>0</v>
      </c>
      <c r="L363" t="str">
        <f>CONCATENATE(Tableau1[[#This Row],[Usine]],"-",Tableau1[[#This Row],[Semaine ]])</f>
        <v>-S0-1</v>
      </c>
    </row>
    <row r="364" spans="1:12" x14ac:dyDescent="0.3">
      <c r="A364" s="1"/>
      <c r="B364" s="15"/>
      <c r="C364" s="14">
        <f>WEEKNUM(Tableau1[[#This Row],[Date ]])</f>
        <v>0</v>
      </c>
      <c r="D364" s="14">
        <f>Tableau1[[#This Row],[Colonne1]]-1</f>
        <v>-1</v>
      </c>
      <c r="E364" s="14" t="str">
        <f>_xlfn.CONCAT("0",Tableau1[[#This Row],[N° Semaine]])</f>
        <v>0-1</v>
      </c>
      <c r="F364" s="14" t="str">
        <f>_xlfn.CONCAT("S",Tableau1[[#This Row],[Colonne2]])</f>
        <v>S0-1</v>
      </c>
      <c r="G364" t="str">
        <f>TEXT(Tableau1[[#This Row],[Date ]],"mmmm")</f>
        <v>janvier</v>
      </c>
      <c r="H364" s="2"/>
      <c r="I364" s="2"/>
      <c r="J364" s="2"/>
      <c r="K364" s="17">
        <f t="shared" si="5"/>
        <v>0</v>
      </c>
      <c r="L364" t="str">
        <f>CONCATENATE(Tableau1[[#This Row],[Usine]],"-",Tableau1[[#This Row],[Semaine ]])</f>
        <v>-S0-1</v>
      </c>
    </row>
    <row r="365" spans="1:12" x14ac:dyDescent="0.3">
      <c r="A365" s="1"/>
      <c r="B365" s="15"/>
      <c r="C365" s="14">
        <f>WEEKNUM(Tableau1[[#This Row],[Date ]])</f>
        <v>0</v>
      </c>
      <c r="D365" s="14">
        <f>Tableau1[[#This Row],[Colonne1]]-1</f>
        <v>-1</v>
      </c>
      <c r="E365" s="14" t="str">
        <f>_xlfn.CONCAT("0",Tableau1[[#This Row],[N° Semaine]])</f>
        <v>0-1</v>
      </c>
      <c r="F365" s="14" t="str">
        <f>_xlfn.CONCAT("S",Tableau1[[#This Row],[Colonne2]])</f>
        <v>S0-1</v>
      </c>
      <c r="G365" t="str">
        <f>TEXT(Tableau1[[#This Row],[Date ]],"mmmm")</f>
        <v>janvier</v>
      </c>
      <c r="H365" s="2"/>
      <c r="I365" s="2"/>
      <c r="J365" s="2"/>
      <c r="K365" s="17">
        <f t="shared" si="5"/>
        <v>0</v>
      </c>
      <c r="L365" t="str">
        <f>CONCATENATE(Tableau1[[#This Row],[Usine]],"-",Tableau1[[#This Row],[Semaine ]])</f>
        <v>-S0-1</v>
      </c>
    </row>
    <row r="366" spans="1:12" x14ac:dyDescent="0.3">
      <c r="A366" s="1"/>
      <c r="B366" s="15"/>
      <c r="C366" s="14">
        <f>WEEKNUM(Tableau1[[#This Row],[Date ]])</f>
        <v>0</v>
      </c>
      <c r="D366" s="14">
        <f>Tableau1[[#This Row],[Colonne1]]-1</f>
        <v>-1</v>
      </c>
      <c r="E366" s="14" t="str">
        <f>_xlfn.CONCAT("0",Tableau1[[#This Row],[N° Semaine]])</f>
        <v>0-1</v>
      </c>
      <c r="F366" s="14" t="str">
        <f>_xlfn.CONCAT("S",Tableau1[[#This Row],[Colonne2]])</f>
        <v>S0-1</v>
      </c>
      <c r="G366" t="str">
        <f>TEXT(Tableau1[[#This Row],[Date ]],"mmmm")</f>
        <v>janvier</v>
      </c>
      <c r="H366" s="2"/>
      <c r="I366" s="2"/>
      <c r="J366" s="2"/>
      <c r="K366" s="17">
        <f t="shared" si="5"/>
        <v>0</v>
      </c>
      <c r="L366" t="str">
        <f>CONCATENATE(Tableau1[[#This Row],[Usine]],"-",Tableau1[[#This Row],[Semaine ]])</f>
        <v>-S0-1</v>
      </c>
    </row>
    <row r="367" spans="1:12" x14ac:dyDescent="0.3">
      <c r="A367" s="1"/>
      <c r="B367" s="15"/>
      <c r="C367" s="14">
        <f>WEEKNUM(Tableau1[[#This Row],[Date ]])</f>
        <v>0</v>
      </c>
      <c r="D367" s="14">
        <f>Tableau1[[#This Row],[Colonne1]]-1</f>
        <v>-1</v>
      </c>
      <c r="E367" s="14" t="str">
        <f>_xlfn.CONCAT("0",Tableau1[[#This Row],[N° Semaine]])</f>
        <v>0-1</v>
      </c>
      <c r="F367" s="14" t="str">
        <f>_xlfn.CONCAT("S",Tableau1[[#This Row],[Colonne2]])</f>
        <v>S0-1</v>
      </c>
      <c r="G367" t="str">
        <f>TEXT(Tableau1[[#This Row],[Date ]],"mmmm")</f>
        <v>janvier</v>
      </c>
      <c r="H367" s="2"/>
      <c r="I367" s="2"/>
      <c r="J367" s="2"/>
      <c r="K367" s="17">
        <f t="shared" si="5"/>
        <v>0</v>
      </c>
      <c r="L367" t="str">
        <f>CONCATENATE(Tableau1[[#This Row],[Usine]],"-",Tableau1[[#This Row],[Semaine ]])</f>
        <v>-S0-1</v>
      </c>
    </row>
    <row r="368" spans="1:12" x14ac:dyDescent="0.3">
      <c r="A368" s="1"/>
      <c r="B368" s="15"/>
      <c r="C368" s="14">
        <f>WEEKNUM(Tableau1[[#This Row],[Date ]])</f>
        <v>0</v>
      </c>
      <c r="D368" s="14">
        <f>Tableau1[[#This Row],[Colonne1]]-1</f>
        <v>-1</v>
      </c>
      <c r="E368" s="14" t="str">
        <f>_xlfn.CONCAT("0",Tableau1[[#This Row],[N° Semaine]])</f>
        <v>0-1</v>
      </c>
      <c r="F368" s="14" t="str">
        <f>_xlfn.CONCAT("S",Tableau1[[#This Row],[Colonne2]])</f>
        <v>S0-1</v>
      </c>
      <c r="G368" t="str">
        <f>TEXT(Tableau1[[#This Row],[Date ]],"mmmm")</f>
        <v>janvier</v>
      </c>
      <c r="H368" s="2"/>
      <c r="I368" s="2"/>
      <c r="J368" s="2"/>
      <c r="K368" s="17">
        <f t="shared" si="5"/>
        <v>0</v>
      </c>
      <c r="L368" t="str">
        <f>CONCATENATE(Tableau1[[#This Row],[Usine]],"-",Tableau1[[#This Row],[Semaine ]])</f>
        <v>-S0-1</v>
      </c>
    </row>
    <row r="369" spans="1:12" x14ac:dyDescent="0.3">
      <c r="A369" s="1"/>
      <c r="B369" s="15"/>
      <c r="C369" s="14">
        <f>WEEKNUM(Tableau1[[#This Row],[Date ]])</f>
        <v>0</v>
      </c>
      <c r="D369" s="14">
        <f>Tableau1[[#This Row],[Colonne1]]-1</f>
        <v>-1</v>
      </c>
      <c r="E369" s="14" t="str">
        <f>_xlfn.CONCAT("0",Tableau1[[#This Row],[N° Semaine]])</f>
        <v>0-1</v>
      </c>
      <c r="F369" s="14" t="str">
        <f>_xlfn.CONCAT("S",Tableau1[[#This Row],[Colonne2]])</f>
        <v>S0-1</v>
      </c>
      <c r="G369" t="str">
        <f>TEXT(Tableau1[[#This Row],[Date ]],"mmmm")</f>
        <v>janvier</v>
      </c>
      <c r="H369" s="2"/>
      <c r="I369" s="2"/>
      <c r="J369" s="2"/>
      <c r="K369" s="17">
        <f t="shared" si="5"/>
        <v>0</v>
      </c>
      <c r="L369" t="str">
        <f>CONCATENATE(Tableau1[[#This Row],[Usine]],"-",Tableau1[[#This Row],[Semaine ]])</f>
        <v>-S0-1</v>
      </c>
    </row>
    <row r="370" spans="1:12" x14ac:dyDescent="0.3">
      <c r="A370" s="1"/>
      <c r="B370" s="15"/>
      <c r="C370" s="14">
        <f>WEEKNUM(Tableau1[[#This Row],[Date ]])</f>
        <v>0</v>
      </c>
      <c r="D370" s="14">
        <f>Tableau1[[#This Row],[Colonne1]]-1</f>
        <v>-1</v>
      </c>
      <c r="E370" s="14" t="str">
        <f>_xlfn.CONCAT("0",Tableau1[[#This Row],[N° Semaine]])</f>
        <v>0-1</v>
      </c>
      <c r="F370" s="14" t="str">
        <f>_xlfn.CONCAT("S",Tableau1[[#This Row],[Colonne2]])</f>
        <v>S0-1</v>
      </c>
      <c r="G370" t="str">
        <f>TEXT(Tableau1[[#This Row],[Date ]],"mmmm")</f>
        <v>janvier</v>
      </c>
      <c r="H370" s="2"/>
      <c r="I370" s="2"/>
      <c r="J370" s="2"/>
      <c r="K370" s="17">
        <f t="shared" si="5"/>
        <v>0</v>
      </c>
      <c r="L370" t="str">
        <f>CONCATENATE(Tableau1[[#This Row],[Usine]],"-",Tableau1[[#This Row],[Semaine ]])</f>
        <v>-S0-1</v>
      </c>
    </row>
    <row r="371" spans="1:12" x14ac:dyDescent="0.3">
      <c r="A371" s="1"/>
      <c r="B371" s="15"/>
      <c r="C371" s="14">
        <f>WEEKNUM(Tableau1[[#This Row],[Date ]])</f>
        <v>0</v>
      </c>
      <c r="D371" s="14">
        <f>Tableau1[[#This Row],[Colonne1]]-1</f>
        <v>-1</v>
      </c>
      <c r="E371" s="14" t="str">
        <f>_xlfn.CONCAT("0",Tableau1[[#This Row],[N° Semaine]])</f>
        <v>0-1</v>
      </c>
      <c r="F371" s="14" t="str">
        <f>_xlfn.CONCAT("S",Tableau1[[#This Row],[Colonne2]])</f>
        <v>S0-1</v>
      </c>
      <c r="G371" t="str">
        <f>TEXT(Tableau1[[#This Row],[Date ]],"mmmm")</f>
        <v>janvier</v>
      </c>
      <c r="H371" s="2"/>
      <c r="I371" s="2"/>
      <c r="J371" s="2"/>
      <c r="K371" s="17">
        <f t="shared" si="5"/>
        <v>0</v>
      </c>
      <c r="L371" t="str">
        <f>CONCATENATE(Tableau1[[#This Row],[Usine]],"-",Tableau1[[#This Row],[Semaine ]])</f>
        <v>-S0-1</v>
      </c>
    </row>
    <row r="372" spans="1:12" x14ac:dyDescent="0.3">
      <c r="A372" s="1"/>
      <c r="B372" s="15"/>
      <c r="C372" s="14">
        <f>WEEKNUM(Tableau1[[#This Row],[Date ]])</f>
        <v>0</v>
      </c>
      <c r="D372" s="14">
        <f>Tableau1[[#This Row],[Colonne1]]-1</f>
        <v>-1</v>
      </c>
      <c r="E372" s="14" t="str">
        <f>_xlfn.CONCAT("0",Tableau1[[#This Row],[N° Semaine]])</f>
        <v>0-1</v>
      </c>
      <c r="F372" s="14" t="str">
        <f>_xlfn.CONCAT("S",Tableau1[[#This Row],[Colonne2]])</f>
        <v>S0-1</v>
      </c>
      <c r="G372" t="str">
        <f>TEXT(Tableau1[[#This Row],[Date ]],"mmmm")</f>
        <v>janvier</v>
      </c>
      <c r="H372" s="2"/>
      <c r="I372" s="2"/>
      <c r="J372" s="2"/>
      <c r="K372" s="17">
        <f t="shared" si="5"/>
        <v>0</v>
      </c>
      <c r="L372" t="str">
        <f>CONCATENATE(Tableau1[[#This Row],[Usine]],"-",Tableau1[[#This Row],[Semaine ]])</f>
        <v>-S0-1</v>
      </c>
    </row>
    <row r="373" spans="1:12" x14ac:dyDescent="0.3">
      <c r="A373" s="1"/>
      <c r="B373" s="15"/>
      <c r="C373" s="14">
        <f>WEEKNUM(Tableau1[[#This Row],[Date ]])</f>
        <v>0</v>
      </c>
      <c r="D373" s="14">
        <f>Tableau1[[#This Row],[Colonne1]]-1</f>
        <v>-1</v>
      </c>
      <c r="E373" s="14" t="str">
        <f>_xlfn.CONCAT("0",Tableau1[[#This Row],[N° Semaine]])</f>
        <v>0-1</v>
      </c>
      <c r="F373" s="14" t="str">
        <f>_xlfn.CONCAT("S",Tableau1[[#This Row],[Colonne2]])</f>
        <v>S0-1</v>
      </c>
      <c r="G373" t="str">
        <f>TEXT(Tableau1[[#This Row],[Date ]],"mmmm")</f>
        <v>janvier</v>
      </c>
      <c r="H373" s="2"/>
      <c r="I373" s="2"/>
      <c r="J373" s="2"/>
      <c r="K373" s="17">
        <f t="shared" si="5"/>
        <v>0</v>
      </c>
      <c r="L373" t="str">
        <f>CONCATENATE(Tableau1[[#This Row],[Usine]],"-",Tableau1[[#This Row],[Semaine ]])</f>
        <v>-S0-1</v>
      </c>
    </row>
    <row r="374" spans="1:12" x14ac:dyDescent="0.3">
      <c r="A374" s="1"/>
      <c r="B374" s="15"/>
      <c r="C374" s="14">
        <f>WEEKNUM(Tableau1[[#This Row],[Date ]])</f>
        <v>0</v>
      </c>
      <c r="D374" s="14">
        <f>Tableau1[[#This Row],[Colonne1]]-1</f>
        <v>-1</v>
      </c>
      <c r="E374" s="14" t="str">
        <f>_xlfn.CONCAT("0",Tableau1[[#This Row],[N° Semaine]])</f>
        <v>0-1</v>
      </c>
      <c r="F374" s="14" t="str">
        <f>_xlfn.CONCAT("S",Tableau1[[#This Row],[Colonne2]])</f>
        <v>S0-1</v>
      </c>
      <c r="G374" t="str">
        <f>TEXT(Tableau1[[#This Row],[Date ]],"mmmm")</f>
        <v>janvier</v>
      </c>
      <c r="H374" s="2"/>
      <c r="I374" s="2"/>
      <c r="J374" s="2"/>
      <c r="K374" s="17">
        <f t="shared" si="5"/>
        <v>0</v>
      </c>
      <c r="L374" t="str">
        <f>CONCATENATE(Tableau1[[#This Row],[Usine]],"-",Tableau1[[#This Row],[Semaine ]])</f>
        <v>-S0-1</v>
      </c>
    </row>
    <row r="375" spans="1:12" x14ac:dyDescent="0.3">
      <c r="A375" s="1"/>
      <c r="B375" s="15"/>
      <c r="C375" s="14">
        <f>WEEKNUM(Tableau1[[#This Row],[Date ]])</f>
        <v>0</v>
      </c>
      <c r="D375" s="14">
        <f>Tableau1[[#This Row],[Colonne1]]-1</f>
        <v>-1</v>
      </c>
      <c r="E375" s="14" t="str">
        <f>_xlfn.CONCAT("0",Tableau1[[#This Row],[N° Semaine]])</f>
        <v>0-1</v>
      </c>
      <c r="F375" s="14" t="str">
        <f>_xlfn.CONCAT("S",Tableau1[[#This Row],[Colonne2]])</f>
        <v>S0-1</v>
      </c>
      <c r="G375" t="str">
        <f>TEXT(Tableau1[[#This Row],[Date ]],"mmmm")</f>
        <v>janvier</v>
      </c>
      <c r="H375" s="2"/>
      <c r="I375" s="2"/>
      <c r="J375" s="2"/>
      <c r="K375" s="17">
        <f t="shared" si="5"/>
        <v>0</v>
      </c>
      <c r="L375" t="str">
        <f>CONCATENATE(Tableau1[[#This Row],[Usine]],"-",Tableau1[[#This Row],[Semaine ]])</f>
        <v>-S0-1</v>
      </c>
    </row>
    <row r="376" spans="1:12" x14ac:dyDescent="0.3">
      <c r="A376" s="1"/>
      <c r="B376" s="15"/>
      <c r="C376" s="14">
        <f>WEEKNUM(Tableau1[[#This Row],[Date ]])</f>
        <v>0</v>
      </c>
      <c r="D376" s="14">
        <f>Tableau1[[#This Row],[Colonne1]]-1</f>
        <v>-1</v>
      </c>
      <c r="E376" s="14" t="str">
        <f>_xlfn.CONCAT("0",Tableau1[[#This Row],[N° Semaine]])</f>
        <v>0-1</v>
      </c>
      <c r="F376" s="14" t="str">
        <f>_xlfn.CONCAT("S",Tableau1[[#This Row],[Colonne2]])</f>
        <v>S0-1</v>
      </c>
      <c r="G376" t="str">
        <f>TEXT(Tableau1[[#This Row],[Date ]],"mmmm")</f>
        <v>janvier</v>
      </c>
      <c r="H376" s="2"/>
      <c r="I376" s="2"/>
      <c r="J376" s="2"/>
      <c r="K376" s="17">
        <f t="shared" si="5"/>
        <v>0</v>
      </c>
      <c r="L376" t="str">
        <f>CONCATENATE(Tableau1[[#This Row],[Usine]],"-",Tableau1[[#This Row],[Semaine ]])</f>
        <v>-S0-1</v>
      </c>
    </row>
    <row r="377" spans="1:12" x14ac:dyDescent="0.3">
      <c r="A377" s="1"/>
      <c r="B377" s="15"/>
      <c r="C377" s="14">
        <f>WEEKNUM(Tableau1[[#This Row],[Date ]])</f>
        <v>0</v>
      </c>
      <c r="D377" s="14">
        <f>Tableau1[[#This Row],[Colonne1]]-1</f>
        <v>-1</v>
      </c>
      <c r="E377" s="14" t="str">
        <f>_xlfn.CONCAT("0",Tableau1[[#This Row],[N° Semaine]])</f>
        <v>0-1</v>
      </c>
      <c r="F377" s="14" t="str">
        <f>_xlfn.CONCAT("S",Tableau1[[#This Row],[Colonne2]])</f>
        <v>S0-1</v>
      </c>
      <c r="G377" t="str">
        <f>TEXT(Tableau1[[#This Row],[Date ]],"mmmm")</f>
        <v>janvier</v>
      </c>
      <c r="H377" s="2"/>
      <c r="I377" s="2"/>
      <c r="J377" s="2"/>
      <c r="K377" s="17">
        <f t="shared" si="5"/>
        <v>0</v>
      </c>
      <c r="L377" t="str">
        <f>CONCATENATE(Tableau1[[#This Row],[Usine]],"-",Tableau1[[#This Row],[Semaine ]])</f>
        <v>-S0-1</v>
      </c>
    </row>
    <row r="378" spans="1:12" x14ac:dyDescent="0.3">
      <c r="A378" s="1"/>
      <c r="B378" s="15"/>
      <c r="C378" s="14">
        <f>WEEKNUM(Tableau1[[#This Row],[Date ]])</f>
        <v>0</v>
      </c>
      <c r="D378" s="14">
        <f>Tableau1[[#This Row],[Colonne1]]-1</f>
        <v>-1</v>
      </c>
      <c r="E378" s="14" t="str">
        <f>_xlfn.CONCAT("0",Tableau1[[#This Row],[N° Semaine]])</f>
        <v>0-1</v>
      </c>
      <c r="F378" s="14" t="str">
        <f>_xlfn.CONCAT("S",Tableau1[[#This Row],[Colonne2]])</f>
        <v>S0-1</v>
      </c>
      <c r="G378" t="str">
        <f>TEXT(Tableau1[[#This Row],[Date ]],"mmmm")</f>
        <v>janvier</v>
      </c>
      <c r="H378" s="2"/>
      <c r="I378" s="2"/>
      <c r="J378" s="2"/>
      <c r="K378" s="17">
        <f t="shared" si="5"/>
        <v>0</v>
      </c>
      <c r="L378" t="str">
        <f>CONCATENATE(Tableau1[[#This Row],[Usine]],"-",Tableau1[[#This Row],[Semaine ]])</f>
        <v>-S0-1</v>
      </c>
    </row>
    <row r="379" spans="1:12" x14ac:dyDescent="0.3">
      <c r="A379" s="1"/>
      <c r="B379" s="15"/>
      <c r="C379" s="14">
        <f>WEEKNUM(Tableau1[[#This Row],[Date ]])</f>
        <v>0</v>
      </c>
      <c r="D379" s="14">
        <f>Tableau1[[#This Row],[Colonne1]]-1</f>
        <v>-1</v>
      </c>
      <c r="E379" s="14" t="str">
        <f>_xlfn.CONCAT("0",Tableau1[[#This Row],[N° Semaine]])</f>
        <v>0-1</v>
      </c>
      <c r="F379" s="14" t="str">
        <f>_xlfn.CONCAT("S",Tableau1[[#This Row],[Colonne2]])</f>
        <v>S0-1</v>
      </c>
      <c r="G379" t="str">
        <f>TEXT(Tableau1[[#This Row],[Date ]],"mmmm")</f>
        <v>janvier</v>
      </c>
      <c r="H379" s="2"/>
      <c r="I379" s="2"/>
      <c r="J379" s="2"/>
      <c r="K379" s="17">
        <f t="shared" si="5"/>
        <v>0</v>
      </c>
      <c r="L379" t="str">
        <f>CONCATENATE(Tableau1[[#This Row],[Usine]],"-",Tableau1[[#This Row],[Semaine ]])</f>
        <v>-S0-1</v>
      </c>
    </row>
    <row r="380" spans="1:12" x14ac:dyDescent="0.3">
      <c r="A380" s="1"/>
      <c r="B380" s="15"/>
      <c r="C380" s="14">
        <f>WEEKNUM(Tableau1[[#This Row],[Date ]])</f>
        <v>0</v>
      </c>
      <c r="D380" s="14">
        <f>Tableau1[[#This Row],[Colonne1]]-1</f>
        <v>-1</v>
      </c>
      <c r="E380" s="14" t="str">
        <f>_xlfn.CONCAT("0",Tableau1[[#This Row],[N° Semaine]])</f>
        <v>0-1</v>
      </c>
      <c r="F380" s="14" t="str">
        <f>_xlfn.CONCAT("S",Tableau1[[#This Row],[Colonne2]])</f>
        <v>S0-1</v>
      </c>
      <c r="G380" t="str">
        <f>TEXT(Tableau1[[#This Row],[Date ]],"mmmm")</f>
        <v>janvier</v>
      </c>
      <c r="H380" s="2"/>
      <c r="I380" s="2"/>
      <c r="J380" s="2"/>
      <c r="K380" s="17">
        <f t="shared" si="5"/>
        <v>0</v>
      </c>
      <c r="L380" t="str">
        <f>CONCATENATE(Tableau1[[#This Row],[Usine]],"-",Tableau1[[#This Row],[Semaine ]])</f>
        <v>-S0-1</v>
      </c>
    </row>
    <row r="381" spans="1:12" x14ac:dyDescent="0.3">
      <c r="A381" s="1"/>
      <c r="B381" s="15"/>
      <c r="C381" s="14">
        <f>WEEKNUM(Tableau1[[#This Row],[Date ]])</f>
        <v>0</v>
      </c>
      <c r="D381" s="14">
        <f>Tableau1[[#This Row],[Colonne1]]-1</f>
        <v>-1</v>
      </c>
      <c r="E381" s="14" t="str">
        <f>_xlfn.CONCAT("0",Tableau1[[#This Row],[N° Semaine]])</f>
        <v>0-1</v>
      </c>
      <c r="F381" s="14" t="str">
        <f>_xlfn.CONCAT("S",Tableau1[[#This Row],[Colonne2]])</f>
        <v>S0-1</v>
      </c>
      <c r="G381" t="str">
        <f>TEXT(Tableau1[[#This Row],[Date ]],"mmmm")</f>
        <v>janvier</v>
      </c>
      <c r="H381" s="2"/>
      <c r="I381" s="2"/>
      <c r="J381" s="2"/>
      <c r="K381" s="17">
        <f t="shared" si="5"/>
        <v>0</v>
      </c>
      <c r="L381" t="str">
        <f>CONCATENATE(Tableau1[[#This Row],[Usine]],"-",Tableau1[[#This Row],[Semaine ]])</f>
        <v>-S0-1</v>
      </c>
    </row>
    <row r="382" spans="1:12" x14ac:dyDescent="0.3">
      <c r="A382" s="1"/>
      <c r="B382" s="15"/>
      <c r="C382" s="14">
        <f>WEEKNUM(Tableau1[[#This Row],[Date ]])</f>
        <v>0</v>
      </c>
      <c r="D382" s="14">
        <f>Tableau1[[#This Row],[Colonne1]]-1</f>
        <v>-1</v>
      </c>
      <c r="E382" s="14" t="str">
        <f>_xlfn.CONCAT("0",Tableau1[[#This Row],[N° Semaine]])</f>
        <v>0-1</v>
      </c>
      <c r="F382" s="14" t="str">
        <f>_xlfn.CONCAT("S",Tableau1[[#This Row],[Colonne2]])</f>
        <v>S0-1</v>
      </c>
      <c r="G382" t="str">
        <f>TEXT(Tableau1[[#This Row],[Date ]],"mmmm")</f>
        <v>janvier</v>
      </c>
      <c r="H382" s="2"/>
      <c r="I382" s="2"/>
      <c r="J382" s="2"/>
      <c r="K382" s="17">
        <f t="shared" si="5"/>
        <v>0</v>
      </c>
      <c r="L382" t="str">
        <f>CONCATENATE(Tableau1[[#This Row],[Usine]],"-",Tableau1[[#This Row],[Semaine ]])</f>
        <v>-S0-1</v>
      </c>
    </row>
    <row r="383" spans="1:12" x14ac:dyDescent="0.3">
      <c r="A383" s="1"/>
      <c r="B383" s="15"/>
      <c r="C383" s="14">
        <f>WEEKNUM(Tableau1[[#This Row],[Date ]])</f>
        <v>0</v>
      </c>
      <c r="D383" s="14">
        <f>Tableau1[[#This Row],[Colonne1]]-1</f>
        <v>-1</v>
      </c>
      <c r="E383" s="14" t="str">
        <f>_xlfn.CONCAT("0",Tableau1[[#This Row],[N° Semaine]])</f>
        <v>0-1</v>
      </c>
      <c r="F383" s="14" t="str">
        <f>_xlfn.CONCAT("S",Tableau1[[#This Row],[Colonne2]])</f>
        <v>S0-1</v>
      </c>
      <c r="G383" t="str">
        <f>TEXT(Tableau1[[#This Row],[Date ]],"mmmm")</f>
        <v>janvier</v>
      </c>
      <c r="H383" s="2"/>
      <c r="I383" s="2"/>
      <c r="J383" s="2"/>
      <c r="K383" s="17">
        <f t="shared" si="5"/>
        <v>0</v>
      </c>
      <c r="L383" t="str">
        <f>CONCATENATE(Tableau1[[#This Row],[Usine]],"-",Tableau1[[#This Row],[Semaine ]])</f>
        <v>-S0-1</v>
      </c>
    </row>
    <row r="384" spans="1:12" x14ac:dyDescent="0.3">
      <c r="A384" s="1"/>
      <c r="B384" s="15"/>
      <c r="C384" s="14">
        <f>WEEKNUM(Tableau1[[#This Row],[Date ]])</f>
        <v>0</v>
      </c>
      <c r="D384" s="14">
        <f>Tableau1[[#This Row],[Colonne1]]-1</f>
        <v>-1</v>
      </c>
      <c r="E384" s="14" t="str">
        <f>_xlfn.CONCAT("0",Tableau1[[#This Row],[N° Semaine]])</f>
        <v>0-1</v>
      </c>
      <c r="F384" s="14" t="str">
        <f>_xlfn.CONCAT("S",Tableau1[[#This Row],[Colonne2]])</f>
        <v>S0-1</v>
      </c>
      <c r="G384" t="str">
        <f>TEXT(Tableau1[[#This Row],[Date ]],"mmmm")</f>
        <v>janvier</v>
      </c>
      <c r="H384" s="2"/>
      <c r="I384" s="2"/>
      <c r="J384" s="2"/>
      <c r="K384" s="17">
        <f t="shared" si="5"/>
        <v>0</v>
      </c>
      <c r="L384" t="str">
        <f>CONCATENATE(Tableau1[[#This Row],[Usine]],"-",Tableau1[[#This Row],[Semaine ]])</f>
        <v>-S0-1</v>
      </c>
    </row>
    <row r="385" spans="1:12" x14ac:dyDescent="0.3">
      <c r="A385" s="1"/>
      <c r="B385" s="15"/>
      <c r="C385" s="14">
        <f>WEEKNUM(Tableau1[[#This Row],[Date ]])</f>
        <v>0</v>
      </c>
      <c r="D385" s="14">
        <f>Tableau1[[#This Row],[Colonne1]]-1</f>
        <v>-1</v>
      </c>
      <c r="E385" s="14" t="str">
        <f>_xlfn.CONCAT("0",Tableau1[[#This Row],[N° Semaine]])</f>
        <v>0-1</v>
      </c>
      <c r="F385" s="14" t="str">
        <f>_xlfn.CONCAT("S",Tableau1[[#This Row],[Colonne2]])</f>
        <v>S0-1</v>
      </c>
      <c r="G385" t="str">
        <f>TEXT(Tableau1[[#This Row],[Date ]],"mmmm")</f>
        <v>janvier</v>
      </c>
      <c r="H385" s="2"/>
      <c r="I385" s="2"/>
      <c r="J385" s="2"/>
      <c r="K385" s="17">
        <f t="shared" si="5"/>
        <v>0</v>
      </c>
      <c r="L385" t="str">
        <f>CONCATENATE(Tableau1[[#This Row],[Usine]],"-",Tableau1[[#This Row],[Semaine ]])</f>
        <v>-S0-1</v>
      </c>
    </row>
    <row r="386" spans="1:12" x14ac:dyDescent="0.3">
      <c r="A386" s="1"/>
      <c r="B386" s="15"/>
      <c r="C386" s="14">
        <f>WEEKNUM(Tableau1[[#This Row],[Date ]])</f>
        <v>0</v>
      </c>
      <c r="D386" s="14">
        <f>Tableau1[[#This Row],[Colonne1]]-1</f>
        <v>-1</v>
      </c>
      <c r="E386" s="14" t="str">
        <f>_xlfn.CONCAT("0",Tableau1[[#This Row],[N° Semaine]])</f>
        <v>0-1</v>
      </c>
      <c r="F386" s="14" t="str">
        <f>_xlfn.CONCAT("S",Tableau1[[#This Row],[Colonne2]])</f>
        <v>S0-1</v>
      </c>
      <c r="G386" t="str">
        <f>TEXT(Tableau1[[#This Row],[Date ]],"mmmm")</f>
        <v>janvier</v>
      </c>
      <c r="H386" s="2"/>
      <c r="I386" s="2"/>
      <c r="J386" s="2"/>
      <c r="K386" s="17">
        <f t="shared" ref="K386:K449" si="6">SUM(H386:J387)</f>
        <v>0</v>
      </c>
      <c r="L386" t="str">
        <f>CONCATENATE(Tableau1[[#This Row],[Usine]],"-",Tableau1[[#This Row],[Semaine ]])</f>
        <v>-S0-1</v>
      </c>
    </row>
    <row r="387" spans="1:12" x14ac:dyDescent="0.3">
      <c r="A387" s="1"/>
      <c r="B387" s="15"/>
      <c r="C387" s="14">
        <f>WEEKNUM(Tableau1[[#This Row],[Date ]])</f>
        <v>0</v>
      </c>
      <c r="D387" s="14">
        <f>Tableau1[[#This Row],[Colonne1]]-1</f>
        <v>-1</v>
      </c>
      <c r="E387" s="14" t="str">
        <f>_xlfn.CONCAT("0",Tableau1[[#This Row],[N° Semaine]])</f>
        <v>0-1</v>
      </c>
      <c r="F387" s="14" t="str">
        <f>_xlfn.CONCAT("S",Tableau1[[#This Row],[Colonne2]])</f>
        <v>S0-1</v>
      </c>
      <c r="G387" t="str">
        <f>TEXT(Tableau1[[#This Row],[Date ]],"mmmm")</f>
        <v>janvier</v>
      </c>
      <c r="H387" s="2"/>
      <c r="I387" s="2"/>
      <c r="J387" s="2"/>
      <c r="K387" s="17">
        <f t="shared" si="6"/>
        <v>0</v>
      </c>
      <c r="L387" t="str">
        <f>CONCATENATE(Tableau1[[#This Row],[Usine]],"-",Tableau1[[#This Row],[Semaine ]])</f>
        <v>-S0-1</v>
      </c>
    </row>
    <row r="388" spans="1:12" x14ac:dyDescent="0.3">
      <c r="A388" s="1"/>
      <c r="B388" s="15"/>
      <c r="C388" s="14">
        <f>WEEKNUM(Tableau1[[#This Row],[Date ]])</f>
        <v>0</v>
      </c>
      <c r="D388" s="14">
        <f>Tableau1[[#This Row],[Colonne1]]-1</f>
        <v>-1</v>
      </c>
      <c r="E388" s="14" t="str">
        <f>_xlfn.CONCAT("0",Tableau1[[#This Row],[N° Semaine]])</f>
        <v>0-1</v>
      </c>
      <c r="F388" s="14" t="str">
        <f>_xlfn.CONCAT("S",Tableau1[[#This Row],[Colonne2]])</f>
        <v>S0-1</v>
      </c>
      <c r="G388" t="str">
        <f>TEXT(Tableau1[[#This Row],[Date ]],"mmmm")</f>
        <v>janvier</v>
      </c>
      <c r="H388" s="2"/>
      <c r="I388" s="2"/>
      <c r="J388" s="2"/>
      <c r="K388" s="17">
        <f t="shared" si="6"/>
        <v>0</v>
      </c>
      <c r="L388" t="str">
        <f>CONCATENATE(Tableau1[[#This Row],[Usine]],"-",Tableau1[[#This Row],[Semaine ]])</f>
        <v>-S0-1</v>
      </c>
    </row>
    <row r="389" spans="1:12" x14ac:dyDescent="0.3">
      <c r="A389" s="1"/>
      <c r="B389" s="15"/>
      <c r="C389" s="14">
        <f>WEEKNUM(Tableau1[[#This Row],[Date ]])</f>
        <v>0</v>
      </c>
      <c r="D389" s="14">
        <f>Tableau1[[#This Row],[Colonne1]]-1</f>
        <v>-1</v>
      </c>
      <c r="E389" s="14" t="str">
        <f>_xlfn.CONCAT("0",Tableau1[[#This Row],[N° Semaine]])</f>
        <v>0-1</v>
      </c>
      <c r="F389" s="14" t="str">
        <f>_xlfn.CONCAT("S",Tableau1[[#This Row],[Colonne2]])</f>
        <v>S0-1</v>
      </c>
      <c r="G389" t="str">
        <f>TEXT(Tableau1[[#This Row],[Date ]],"mmmm")</f>
        <v>janvier</v>
      </c>
      <c r="H389" s="2"/>
      <c r="I389" s="2"/>
      <c r="J389" s="2"/>
      <c r="K389" s="17">
        <f t="shared" si="6"/>
        <v>0</v>
      </c>
      <c r="L389" t="str">
        <f>CONCATENATE(Tableau1[[#This Row],[Usine]],"-",Tableau1[[#This Row],[Semaine ]])</f>
        <v>-S0-1</v>
      </c>
    </row>
    <row r="390" spans="1:12" x14ac:dyDescent="0.3">
      <c r="A390" s="1"/>
      <c r="B390" s="15"/>
      <c r="C390" s="14">
        <f>WEEKNUM(Tableau1[[#This Row],[Date ]])</f>
        <v>0</v>
      </c>
      <c r="D390" s="14">
        <f>Tableau1[[#This Row],[Colonne1]]-1</f>
        <v>-1</v>
      </c>
      <c r="E390" s="14" t="str">
        <f>_xlfn.CONCAT("0",Tableau1[[#This Row],[N° Semaine]])</f>
        <v>0-1</v>
      </c>
      <c r="F390" s="14" t="str">
        <f>_xlfn.CONCAT("S",Tableau1[[#This Row],[Colonne2]])</f>
        <v>S0-1</v>
      </c>
      <c r="G390" t="str">
        <f>TEXT(Tableau1[[#This Row],[Date ]],"mmmm")</f>
        <v>janvier</v>
      </c>
      <c r="H390" s="2"/>
      <c r="I390" s="2"/>
      <c r="J390" s="2"/>
      <c r="K390" s="17">
        <f t="shared" si="6"/>
        <v>0</v>
      </c>
      <c r="L390" t="str">
        <f>CONCATENATE(Tableau1[[#This Row],[Usine]],"-",Tableau1[[#This Row],[Semaine ]])</f>
        <v>-S0-1</v>
      </c>
    </row>
    <row r="391" spans="1:12" x14ac:dyDescent="0.3">
      <c r="A391" s="1"/>
      <c r="B391" s="15"/>
      <c r="C391" s="14">
        <f>WEEKNUM(Tableau1[[#This Row],[Date ]])</f>
        <v>0</v>
      </c>
      <c r="D391" s="14">
        <f>Tableau1[[#This Row],[Colonne1]]-1</f>
        <v>-1</v>
      </c>
      <c r="E391" s="14" t="str">
        <f>_xlfn.CONCAT("0",Tableau1[[#This Row],[N° Semaine]])</f>
        <v>0-1</v>
      </c>
      <c r="F391" s="14" t="str">
        <f>_xlfn.CONCAT("S",Tableau1[[#This Row],[Colonne2]])</f>
        <v>S0-1</v>
      </c>
      <c r="G391" t="str">
        <f>TEXT(Tableau1[[#This Row],[Date ]],"mmmm")</f>
        <v>janvier</v>
      </c>
      <c r="H391" s="2"/>
      <c r="I391" s="2"/>
      <c r="J391" s="2"/>
      <c r="K391" s="17">
        <f t="shared" si="6"/>
        <v>0</v>
      </c>
      <c r="L391" t="str">
        <f>CONCATENATE(Tableau1[[#This Row],[Usine]],"-",Tableau1[[#This Row],[Semaine ]])</f>
        <v>-S0-1</v>
      </c>
    </row>
    <row r="392" spans="1:12" x14ac:dyDescent="0.3">
      <c r="A392" s="1"/>
      <c r="B392" s="15"/>
      <c r="C392" s="14">
        <f>WEEKNUM(Tableau1[[#This Row],[Date ]])</f>
        <v>0</v>
      </c>
      <c r="D392" s="14">
        <f>Tableau1[[#This Row],[Colonne1]]-1</f>
        <v>-1</v>
      </c>
      <c r="E392" s="14" t="str">
        <f>_xlfn.CONCAT("0",Tableau1[[#This Row],[N° Semaine]])</f>
        <v>0-1</v>
      </c>
      <c r="F392" s="14" t="str">
        <f>_xlfn.CONCAT("S",Tableau1[[#This Row],[Colonne2]])</f>
        <v>S0-1</v>
      </c>
      <c r="G392" t="str">
        <f>TEXT(Tableau1[[#This Row],[Date ]],"mmmm")</f>
        <v>janvier</v>
      </c>
      <c r="H392" s="2"/>
      <c r="I392" s="2"/>
      <c r="J392" s="2"/>
      <c r="K392" s="17">
        <f t="shared" si="6"/>
        <v>0</v>
      </c>
      <c r="L392" t="str">
        <f>CONCATENATE(Tableau1[[#This Row],[Usine]],"-",Tableau1[[#This Row],[Semaine ]])</f>
        <v>-S0-1</v>
      </c>
    </row>
    <row r="393" spans="1:12" x14ac:dyDescent="0.3">
      <c r="A393" s="1"/>
      <c r="B393" s="15"/>
      <c r="C393" s="14">
        <f>WEEKNUM(Tableau1[[#This Row],[Date ]])</f>
        <v>0</v>
      </c>
      <c r="D393" s="14">
        <f>Tableau1[[#This Row],[Colonne1]]-1</f>
        <v>-1</v>
      </c>
      <c r="E393" s="14" t="str">
        <f>_xlfn.CONCAT("0",Tableau1[[#This Row],[N° Semaine]])</f>
        <v>0-1</v>
      </c>
      <c r="F393" s="14" t="str">
        <f>_xlfn.CONCAT("S",Tableau1[[#This Row],[Colonne2]])</f>
        <v>S0-1</v>
      </c>
      <c r="G393" t="str">
        <f>TEXT(Tableau1[[#This Row],[Date ]],"mmmm")</f>
        <v>janvier</v>
      </c>
      <c r="H393" s="2"/>
      <c r="I393" s="2"/>
      <c r="J393" s="2"/>
      <c r="K393" s="17">
        <f t="shared" si="6"/>
        <v>0</v>
      </c>
      <c r="L393" t="str">
        <f>CONCATENATE(Tableau1[[#This Row],[Usine]],"-",Tableau1[[#This Row],[Semaine ]])</f>
        <v>-S0-1</v>
      </c>
    </row>
    <row r="394" spans="1:12" x14ac:dyDescent="0.3">
      <c r="A394" s="1"/>
      <c r="B394" s="15"/>
      <c r="C394" s="14">
        <f>WEEKNUM(Tableau1[[#This Row],[Date ]])</f>
        <v>0</v>
      </c>
      <c r="D394" s="14">
        <f>Tableau1[[#This Row],[Colonne1]]-1</f>
        <v>-1</v>
      </c>
      <c r="E394" s="14" t="str">
        <f>_xlfn.CONCAT("0",Tableau1[[#This Row],[N° Semaine]])</f>
        <v>0-1</v>
      </c>
      <c r="F394" s="14" t="str">
        <f>_xlfn.CONCAT("S",Tableau1[[#This Row],[Colonne2]])</f>
        <v>S0-1</v>
      </c>
      <c r="G394" t="str">
        <f>TEXT(Tableau1[[#This Row],[Date ]],"mmmm")</f>
        <v>janvier</v>
      </c>
      <c r="H394" s="2"/>
      <c r="I394" s="2"/>
      <c r="J394" s="2"/>
      <c r="K394" s="17">
        <f t="shared" si="6"/>
        <v>0</v>
      </c>
      <c r="L394" t="str">
        <f>CONCATENATE(Tableau1[[#This Row],[Usine]],"-",Tableau1[[#This Row],[Semaine ]])</f>
        <v>-S0-1</v>
      </c>
    </row>
    <row r="395" spans="1:12" x14ac:dyDescent="0.3">
      <c r="A395" s="1"/>
      <c r="B395" s="15"/>
      <c r="C395" s="14">
        <f>WEEKNUM(Tableau1[[#This Row],[Date ]])</f>
        <v>0</v>
      </c>
      <c r="D395" s="14">
        <f>Tableau1[[#This Row],[Colonne1]]-1</f>
        <v>-1</v>
      </c>
      <c r="E395" s="14" t="str">
        <f>_xlfn.CONCAT("0",Tableau1[[#This Row],[N° Semaine]])</f>
        <v>0-1</v>
      </c>
      <c r="F395" s="14" t="str">
        <f>_xlfn.CONCAT("S",Tableau1[[#This Row],[Colonne2]])</f>
        <v>S0-1</v>
      </c>
      <c r="G395" t="str">
        <f>TEXT(Tableau1[[#This Row],[Date ]],"mmmm")</f>
        <v>janvier</v>
      </c>
      <c r="H395" s="2"/>
      <c r="I395" s="2"/>
      <c r="J395" s="2"/>
      <c r="K395" s="17">
        <f t="shared" si="6"/>
        <v>0</v>
      </c>
      <c r="L395" t="str">
        <f>CONCATENATE(Tableau1[[#This Row],[Usine]],"-",Tableau1[[#This Row],[Semaine ]])</f>
        <v>-S0-1</v>
      </c>
    </row>
    <row r="396" spans="1:12" x14ac:dyDescent="0.3">
      <c r="A396" s="1"/>
      <c r="B396" s="15"/>
      <c r="C396" s="14">
        <f>WEEKNUM(Tableau1[[#This Row],[Date ]])</f>
        <v>0</v>
      </c>
      <c r="D396" s="14">
        <f>Tableau1[[#This Row],[Colonne1]]-1</f>
        <v>-1</v>
      </c>
      <c r="E396" s="14" t="str">
        <f>_xlfn.CONCAT("0",Tableau1[[#This Row],[N° Semaine]])</f>
        <v>0-1</v>
      </c>
      <c r="F396" s="14" t="str">
        <f>_xlfn.CONCAT("S",Tableau1[[#This Row],[Colonne2]])</f>
        <v>S0-1</v>
      </c>
      <c r="G396" t="str">
        <f>TEXT(Tableau1[[#This Row],[Date ]],"mmmm")</f>
        <v>janvier</v>
      </c>
      <c r="H396" s="2"/>
      <c r="I396" s="2"/>
      <c r="J396" s="2"/>
      <c r="K396" s="17">
        <f t="shared" si="6"/>
        <v>0</v>
      </c>
      <c r="L396" t="str">
        <f>CONCATENATE(Tableau1[[#This Row],[Usine]],"-",Tableau1[[#This Row],[Semaine ]])</f>
        <v>-S0-1</v>
      </c>
    </row>
    <row r="397" spans="1:12" x14ac:dyDescent="0.3">
      <c r="A397" s="1"/>
      <c r="B397" s="15"/>
      <c r="C397" s="14">
        <f>WEEKNUM(Tableau1[[#This Row],[Date ]])</f>
        <v>0</v>
      </c>
      <c r="D397" s="14">
        <f>Tableau1[[#This Row],[Colonne1]]-1</f>
        <v>-1</v>
      </c>
      <c r="E397" s="14" t="str">
        <f>_xlfn.CONCAT("0",Tableau1[[#This Row],[N° Semaine]])</f>
        <v>0-1</v>
      </c>
      <c r="F397" s="14" t="str">
        <f>_xlfn.CONCAT("S",Tableau1[[#This Row],[Colonne2]])</f>
        <v>S0-1</v>
      </c>
      <c r="G397" t="str">
        <f>TEXT(Tableau1[[#This Row],[Date ]],"mmmm")</f>
        <v>janvier</v>
      </c>
      <c r="H397" s="2"/>
      <c r="I397" s="2"/>
      <c r="J397" s="2"/>
      <c r="K397" s="17">
        <f t="shared" si="6"/>
        <v>0</v>
      </c>
      <c r="L397" t="str">
        <f>CONCATENATE(Tableau1[[#This Row],[Usine]],"-",Tableau1[[#This Row],[Semaine ]])</f>
        <v>-S0-1</v>
      </c>
    </row>
    <row r="398" spans="1:12" x14ac:dyDescent="0.3">
      <c r="A398" s="1"/>
      <c r="B398" s="15"/>
      <c r="C398" s="14">
        <f>WEEKNUM(Tableau1[[#This Row],[Date ]])</f>
        <v>0</v>
      </c>
      <c r="D398" s="14">
        <f>Tableau1[[#This Row],[Colonne1]]-1</f>
        <v>-1</v>
      </c>
      <c r="E398" s="14" t="str">
        <f>_xlfn.CONCAT("0",Tableau1[[#This Row],[N° Semaine]])</f>
        <v>0-1</v>
      </c>
      <c r="F398" s="14" t="str">
        <f>_xlfn.CONCAT("S",Tableau1[[#This Row],[Colonne2]])</f>
        <v>S0-1</v>
      </c>
      <c r="G398" t="str">
        <f>TEXT(Tableau1[[#This Row],[Date ]],"mmmm")</f>
        <v>janvier</v>
      </c>
      <c r="H398" s="2"/>
      <c r="I398" s="2"/>
      <c r="J398" s="2"/>
      <c r="K398" s="17">
        <f t="shared" si="6"/>
        <v>0</v>
      </c>
      <c r="L398" t="str">
        <f>CONCATENATE(Tableau1[[#This Row],[Usine]],"-",Tableau1[[#This Row],[Semaine ]])</f>
        <v>-S0-1</v>
      </c>
    </row>
    <row r="399" spans="1:12" x14ac:dyDescent="0.3">
      <c r="A399" s="1"/>
      <c r="B399" s="15"/>
      <c r="C399" s="14">
        <f>WEEKNUM(Tableau1[[#This Row],[Date ]])</f>
        <v>0</v>
      </c>
      <c r="D399" s="14">
        <f>Tableau1[[#This Row],[Colonne1]]-1</f>
        <v>-1</v>
      </c>
      <c r="E399" s="14" t="str">
        <f>_xlfn.CONCAT("0",Tableau1[[#This Row],[N° Semaine]])</f>
        <v>0-1</v>
      </c>
      <c r="F399" s="14" t="str">
        <f>_xlfn.CONCAT("S",Tableau1[[#This Row],[Colonne2]])</f>
        <v>S0-1</v>
      </c>
      <c r="G399" t="str">
        <f>TEXT(Tableau1[[#This Row],[Date ]],"mmmm")</f>
        <v>janvier</v>
      </c>
      <c r="H399" s="2"/>
      <c r="I399" s="2"/>
      <c r="J399" s="2"/>
      <c r="K399" s="17">
        <f t="shared" si="6"/>
        <v>0</v>
      </c>
      <c r="L399" t="str">
        <f>CONCATENATE(Tableau1[[#This Row],[Usine]],"-",Tableau1[[#This Row],[Semaine ]])</f>
        <v>-S0-1</v>
      </c>
    </row>
    <row r="400" spans="1:12" x14ac:dyDescent="0.3">
      <c r="A400" s="1"/>
      <c r="B400" s="15"/>
      <c r="C400" s="14">
        <f>WEEKNUM(Tableau1[[#This Row],[Date ]])</f>
        <v>0</v>
      </c>
      <c r="D400" s="14">
        <f>Tableau1[[#This Row],[Colonne1]]-1</f>
        <v>-1</v>
      </c>
      <c r="E400" s="14" t="str">
        <f>_xlfn.CONCAT("0",Tableau1[[#This Row],[N° Semaine]])</f>
        <v>0-1</v>
      </c>
      <c r="F400" s="14" t="str">
        <f>_xlfn.CONCAT("S",Tableau1[[#This Row],[Colonne2]])</f>
        <v>S0-1</v>
      </c>
      <c r="G400" t="str">
        <f>TEXT(Tableau1[[#This Row],[Date ]],"mmmm")</f>
        <v>janvier</v>
      </c>
      <c r="H400" s="2"/>
      <c r="I400" s="2"/>
      <c r="J400" s="2"/>
      <c r="K400" s="17">
        <f t="shared" si="6"/>
        <v>0</v>
      </c>
      <c r="L400" t="str">
        <f>CONCATENATE(Tableau1[[#This Row],[Usine]],"-",Tableau1[[#This Row],[Semaine ]])</f>
        <v>-S0-1</v>
      </c>
    </row>
    <row r="401" spans="1:12" x14ac:dyDescent="0.3">
      <c r="A401" s="1"/>
      <c r="B401" s="15"/>
      <c r="C401" s="14">
        <f>WEEKNUM(Tableau1[[#This Row],[Date ]])</f>
        <v>0</v>
      </c>
      <c r="D401" s="14">
        <f>Tableau1[[#This Row],[Colonne1]]-1</f>
        <v>-1</v>
      </c>
      <c r="E401" s="14" t="str">
        <f>_xlfn.CONCAT("0",Tableau1[[#This Row],[N° Semaine]])</f>
        <v>0-1</v>
      </c>
      <c r="F401" s="14" t="str">
        <f>_xlfn.CONCAT("S",Tableau1[[#This Row],[Colonne2]])</f>
        <v>S0-1</v>
      </c>
      <c r="G401" t="str">
        <f>TEXT(Tableau1[[#This Row],[Date ]],"mmmm")</f>
        <v>janvier</v>
      </c>
      <c r="H401" s="2"/>
      <c r="I401" s="2"/>
      <c r="J401" s="2"/>
      <c r="K401" s="17">
        <f t="shared" si="6"/>
        <v>0</v>
      </c>
      <c r="L401" t="str">
        <f>CONCATENATE(Tableau1[[#This Row],[Usine]],"-",Tableau1[[#This Row],[Semaine ]])</f>
        <v>-S0-1</v>
      </c>
    </row>
    <row r="402" spans="1:12" x14ac:dyDescent="0.3">
      <c r="A402" s="1"/>
      <c r="B402" s="15"/>
      <c r="C402" s="14">
        <f>WEEKNUM(Tableau1[[#This Row],[Date ]])</f>
        <v>0</v>
      </c>
      <c r="D402" s="14">
        <f>Tableau1[[#This Row],[Colonne1]]-1</f>
        <v>-1</v>
      </c>
      <c r="E402" s="14" t="str">
        <f>_xlfn.CONCAT("0",Tableau1[[#This Row],[N° Semaine]])</f>
        <v>0-1</v>
      </c>
      <c r="F402" s="14" t="str">
        <f>_xlfn.CONCAT("S",Tableau1[[#This Row],[Colonne2]])</f>
        <v>S0-1</v>
      </c>
      <c r="G402" t="str">
        <f>TEXT(Tableau1[[#This Row],[Date ]],"mmmm")</f>
        <v>janvier</v>
      </c>
      <c r="H402" s="2"/>
      <c r="I402" s="2"/>
      <c r="J402" s="2"/>
      <c r="K402" s="17">
        <f t="shared" si="6"/>
        <v>0</v>
      </c>
      <c r="L402" t="str">
        <f>CONCATENATE(Tableau1[[#This Row],[Usine]],"-",Tableau1[[#This Row],[Semaine ]])</f>
        <v>-S0-1</v>
      </c>
    </row>
    <row r="403" spans="1:12" x14ac:dyDescent="0.3">
      <c r="A403" s="1"/>
      <c r="B403" s="15"/>
      <c r="C403" s="14">
        <f>WEEKNUM(Tableau1[[#This Row],[Date ]])</f>
        <v>0</v>
      </c>
      <c r="D403" s="14">
        <f>Tableau1[[#This Row],[Colonne1]]-1</f>
        <v>-1</v>
      </c>
      <c r="E403" s="14" t="str">
        <f>_xlfn.CONCAT("0",Tableau1[[#This Row],[N° Semaine]])</f>
        <v>0-1</v>
      </c>
      <c r="F403" s="14" t="str">
        <f>_xlfn.CONCAT("S",Tableau1[[#This Row],[Colonne2]])</f>
        <v>S0-1</v>
      </c>
      <c r="G403" t="str">
        <f>TEXT(Tableau1[[#This Row],[Date ]],"mmmm")</f>
        <v>janvier</v>
      </c>
      <c r="H403" s="2"/>
      <c r="I403" s="2"/>
      <c r="J403" s="2"/>
      <c r="K403" s="17">
        <f t="shared" si="6"/>
        <v>0</v>
      </c>
      <c r="L403" t="str">
        <f>CONCATENATE(Tableau1[[#This Row],[Usine]],"-",Tableau1[[#This Row],[Semaine ]])</f>
        <v>-S0-1</v>
      </c>
    </row>
    <row r="404" spans="1:12" x14ac:dyDescent="0.3">
      <c r="A404" s="1"/>
      <c r="B404" s="15"/>
      <c r="C404" s="14">
        <f>WEEKNUM(Tableau1[[#This Row],[Date ]])</f>
        <v>0</v>
      </c>
      <c r="D404" s="14">
        <f>Tableau1[[#This Row],[Colonne1]]-1</f>
        <v>-1</v>
      </c>
      <c r="E404" s="14" t="str">
        <f>_xlfn.CONCAT("0",Tableau1[[#This Row],[N° Semaine]])</f>
        <v>0-1</v>
      </c>
      <c r="F404" s="14" t="str">
        <f>_xlfn.CONCAT("S",Tableau1[[#This Row],[Colonne2]])</f>
        <v>S0-1</v>
      </c>
      <c r="G404" t="str">
        <f>TEXT(Tableau1[[#This Row],[Date ]],"mmmm")</f>
        <v>janvier</v>
      </c>
      <c r="H404" s="2"/>
      <c r="I404" s="2"/>
      <c r="J404" s="2"/>
      <c r="K404" s="17">
        <f t="shared" si="6"/>
        <v>0</v>
      </c>
      <c r="L404" t="str">
        <f>CONCATENATE(Tableau1[[#This Row],[Usine]],"-",Tableau1[[#This Row],[Semaine ]])</f>
        <v>-S0-1</v>
      </c>
    </row>
    <row r="405" spans="1:12" x14ac:dyDescent="0.3">
      <c r="A405" s="1"/>
      <c r="B405" s="15"/>
      <c r="C405" s="14">
        <f>WEEKNUM(Tableau1[[#This Row],[Date ]])</f>
        <v>0</v>
      </c>
      <c r="D405" s="14">
        <f>Tableau1[[#This Row],[Colonne1]]-1</f>
        <v>-1</v>
      </c>
      <c r="E405" s="14" t="str">
        <f>_xlfn.CONCAT("0",Tableau1[[#This Row],[N° Semaine]])</f>
        <v>0-1</v>
      </c>
      <c r="F405" s="14" t="str">
        <f>_xlfn.CONCAT("S",Tableau1[[#This Row],[Colonne2]])</f>
        <v>S0-1</v>
      </c>
      <c r="G405" t="str">
        <f>TEXT(Tableau1[[#This Row],[Date ]],"mmmm")</f>
        <v>janvier</v>
      </c>
      <c r="H405" s="2"/>
      <c r="I405" s="2"/>
      <c r="J405" s="2"/>
      <c r="K405" s="17">
        <f t="shared" si="6"/>
        <v>0</v>
      </c>
      <c r="L405" t="str">
        <f>CONCATENATE(Tableau1[[#This Row],[Usine]],"-",Tableau1[[#This Row],[Semaine ]])</f>
        <v>-S0-1</v>
      </c>
    </row>
    <row r="406" spans="1:12" x14ac:dyDescent="0.3">
      <c r="A406" s="1"/>
      <c r="B406" s="15"/>
      <c r="C406" s="14">
        <f>WEEKNUM(Tableau1[[#This Row],[Date ]])</f>
        <v>0</v>
      </c>
      <c r="D406" s="14">
        <f>Tableau1[[#This Row],[Colonne1]]-1</f>
        <v>-1</v>
      </c>
      <c r="E406" s="14" t="str">
        <f>_xlfn.CONCAT("0",Tableau1[[#This Row],[N° Semaine]])</f>
        <v>0-1</v>
      </c>
      <c r="F406" s="14" t="str">
        <f>_xlfn.CONCAT("S",Tableau1[[#This Row],[Colonne2]])</f>
        <v>S0-1</v>
      </c>
      <c r="G406" t="str">
        <f>TEXT(Tableau1[[#This Row],[Date ]],"mmmm")</f>
        <v>janvier</v>
      </c>
      <c r="H406" s="2"/>
      <c r="I406" s="2"/>
      <c r="J406" s="2"/>
      <c r="K406" s="17">
        <f t="shared" si="6"/>
        <v>0</v>
      </c>
      <c r="L406" t="str">
        <f>CONCATENATE(Tableau1[[#This Row],[Usine]],"-",Tableau1[[#This Row],[Semaine ]])</f>
        <v>-S0-1</v>
      </c>
    </row>
    <row r="407" spans="1:12" x14ac:dyDescent="0.3">
      <c r="A407" s="1"/>
      <c r="B407" s="15"/>
      <c r="C407" s="14">
        <f>WEEKNUM(Tableau1[[#This Row],[Date ]])</f>
        <v>0</v>
      </c>
      <c r="D407" s="14">
        <f>Tableau1[[#This Row],[Colonne1]]-1</f>
        <v>-1</v>
      </c>
      <c r="E407" s="14" t="str">
        <f>_xlfn.CONCAT("0",Tableau1[[#This Row],[N° Semaine]])</f>
        <v>0-1</v>
      </c>
      <c r="F407" s="14" t="str">
        <f>_xlfn.CONCAT("S",Tableau1[[#This Row],[Colonne2]])</f>
        <v>S0-1</v>
      </c>
      <c r="G407" t="str">
        <f>TEXT(Tableau1[[#This Row],[Date ]],"mmmm")</f>
        <v>janvier</v>
      </c>
      <c r="H407" s="2"/>
      <c r="I407" s="2"/>
      <c r="J407" s="2"/>
      <c r="K407" s="17">
        <f t="shared" si="6"/>
        <v>0</v>
      </c>
      <c r="L407" t="str">
        <f>CONCATENATE(Tableau1[[#This Row],[Usine]],"-",Tableau1[[#This Row],[Semaine ]])</f>
        <v>-S0-1</v>
      </c>
    </row>
    <row r="408" spans="1:12" x14ac:dyDescent="0.3">
      <c r="A408" s="1"/>
      <c r="B408" s="15"/>
      <c r="C408" s="14">
        <f>WEEKNUM(Tableau1[[#This Row],[Date ]])</f>
        <v>0</v>
      </c>
      <c r="D408" s="14">
        <f>Tableau1[[#This Row],[Colonne1]]-1</f>
        <v>-1</v>
      </c>
      <c r="E408" s="14" t="str">
        <f>_xlfn.CONCAT("0",Tableau1[[#This Row],[N° Semaine]])</f>
        <v>0-1</v>
      </c>
      <c r="F408" s="14" t="str">
        <f>_xlfn.CONCAT("S",Tableau1[[#This Row],[Colonne2]])</f>
        <v>S0-1</v>
      </c>
      <c r="G408" t="str">
        <f>TEXT(Tableau1[[#This Row],[Date ]],"mmmm")</f>
        <v>janvier</v>
      </c>
      <c r="H408" s="2"/>
      <c r="I408" s="2"/>
      <c r="J408" s="2"/>
      <c r="K408" s="17">
        <f t="shared" si="6"/>
        <v>0</v>
      </c>
      <c r="L408" t="str">
        <f>CONCATENATE(Tableau1[[#This Row],[Usine]],"-",Tableau1[[#This Row],[Semaine ]])</f>
        <v>-S0-1</v>
      </c>
    </row>
    <row r="409" spans="1:12" x14ac:dyDescent="0.3">
      <c r="A409" s="1"/>
      <c r="B409" s="15"/>
      <c r="C409" s="14">
        <f>WEEKNUM(Tableau1[[#This Row],[Date ]])</f>
        <v>0</v>
      </c>
      <c r="D409" s="14">
        <f>Tableau1[[#This Row],[Colonne1]]-1</f>
        <v>-1</v>
      </c>
      <c r="E409" s="14" t="str">
        <f>_xlfn.CONCAT("0",Tableau1[[#This Row],[N° Semaine]])</f>
        <v>0-1</v>
      </c>
      <c r="F409" s="14" t="str">
        <f>_xlfn.CONCAT("S",Tableau1[[#This Row],[Colonne2]])</f>
        <v>S0-1</v>
      </c>
      <c r="G409" t="str">
        <f>TEXT(Tableau1[[#This Row],[Date ]],"mmmm")</f>
        <v>janvier</v>
      </c>
      <c r="H409" s="2"/>
      <c r="I409" s="2"/>
      <c r="J409" s="2"/>
      <c r="K409" s="17">
        <f t="shared" si="6"/>
        <v>0</v>
      </c>
      <c r="L409" t="str">
        <f>CONCATENATE(Tableau1[[#This Row],[Usine]],"-",Tableau1[[#This Row],[Semaine ]])</f>
        <v>-S0-1</v>
      </c>
    </row>
    <row r="410" spans="1:12" x14ac:dyDescent="0.3">
      <c r="A410" s="1"/>
      <c r="B410" s="15"/>
      <c r="C410" s="14">
        <f>WEEKNUM(Tableau1[[#This Row],[Date ]])</f>
        <v>0</v>
      </c>
      <c r="D410" s="14">
        <f>Tableau1[[#This Row],[Colonne1]]-1</f>
        <v>-1</v>
      </c>
      <c r="E410" s="14" t="str">
        <f>_xlfn.CONCAT("0",Tableau1[[#This Row],[N° Semaine]])</f>
        <v>0-1</v>
      </c>
      <c r="F410" s="14" t="str">
        <f>_xlfn.CONCAT("S",Tableau1[[#This Row],[Colonne2]])</f>
        <v>S0-1</v>
      </c>
      <c r="G410" t="str">
        <f>TEXT(Tableau1[[#This Row],[Date ]],"mmmm")</f>
        <v>janvier</v>
      </c>
      <c r="H410" s="2"/>
      <c r="I410" s="2"/>
      <c r="J410" s="2"/>
      <c r="K410" s="17">
        <f t="shared" si="6"/>
        <v>0</v>
      </c>
      <c r="L410" t="str">
        <f>CONCATENATE(Tableau1[[#This Row],[Usine]],"-",Tableau1[[#This Row],[Semaine ]])</f>
        <v>-S0-1</v>
      </c>
    </row>
    <row r="411" spans="1:12" x14ac:dyDescent="0.3">
      <c r="A411" s="1"/>
      <c r="B411" s="15"/>
      <c r="C411" s="14">
        <f>WEEKNUM(Tableau1[[#This Row],[Date ]])</f>
        <v>0</v>
      </c>
      <c r="D411" s="14">
        <f>Tableau1[[#This Row],[Colonne1]]-1</f>
        <v>-1</v>
      </c>
      <c r="E411" s="14" t="str">
        <f>_xlfn.CONCAT("0",Tableau1[[#This Row],[N° Semaine]])</f>
        <v>0-1</v>
      </c>
      <c r="F411" s="14" t="str">
        <f>_xlfn.CONCAT("S",Tableau1[[#This Row],[Colonne2]])</f>
        <v>S0-1</v>
      </c>
      <c r="G411" t="str">
        <f>TEXT(Tableau1[[#This Row],[Date ]],"mmmm")</f>
        <v>janvier</v>
      </c>
      <c r="H411" s="2"/>
      <c r="I411" s="2"/>
      <c r="J411" s="2"/>
      <c r="K411" s="17">
        <f t="shared" si="6"/>
        <v>0</v>
      </c>
      <c r="L411" t="str">
        <f>CONCATENATE(Tableau1[[#This Row],[Usine]],"-",Tableau1[[#This Row],[Semaine ]])</f>
        <v>-S0-1</v>
      </c>
    </row>
    <row r="412" spans="1:12" x14ac:dyDescent="0.3">
      <c r="A412" s="1"/>
      <c r="B412" s="15"/>
      <c r="C412" s="14">
        <f>WEEKNUM(Tableau1[[#This Row],[Date ]])</f>
        <v>0</v>
      </c>
      <c r="D412" s="14">
        <f>Tableau1[[#This Row],[Colonne1]]-1</f>
        <v>-1</v>
      </c>
      <c r="E412" s="14" t="str">
        <f>_xlfn.CONCAT("0",Tableau1[[#This Row],[N° Semaine]])</f>
        <v>0-1</v>
      </c>
      <c r="F412" s="14" t="str">
        <f>_xlfn.CONCAT("S",Tableau1[[#This Row],[Colonne2]])</f>
        <v>S0-1</v>
      </c>
      <c r="G412" t="str">
        <f>TEXT(Tableau1[[#This Row],[Date ]],"mmmm")</f>
        <v>janvier</v>
      </c>
      <c r="H412" s="2"/>
      <c r="I412" s="2"/>
      <c r="J412" s="2"/>
      <c r="K412" s="17">
        <f t="shared" si="6"/>
        <v>0</v>
      </c>
      <c r="L412" t="str">
        <f>CONCATENATE(Tableau1[[#This Row],[Usine]],"-",Tableau1[[#This Row],[Semaine ]])</f>
        <v>-S0-1</v>
      </c>
    </row>
    <row r="413" spans="1:12" x14ac:dyDescent="0.3">
      <c r="A413" s="1"/>
      <c r="B413" s="15"/>
      <c r="C413" s="14">
        <f>WEEKNUM(Tableau1[[#This Row],[Date ]])</f>
        <v>0</v>
      </c>
      <c r="D413" s="14">
        <f>Tableau1[[#This Row],[Colonne1]]-1</f>
        <v>-1</v>
      </c>
      <c r="E413" s="14" t="str">
        <f>_xlfn.CONCAT("0",Tableau1[[#This Row],[N° Semaine]])</f>
        <v>0-1</v>
      </c>
      <c r="F413" s="14" t="str">
        <f>_xlfn.CONCAT("S",Tableau1[[#This Row],[Colonne2]])</f>
        <v>S0-1</v>
      </c>
      <c r="G413" t="str">
        <f>TEXT(Tableau1[[#This Row],[Date ]],"mmmm")</f>
        <v>janvier</v>
      </c>
      <c r="H413" s="2"/>
      <c r="I413" s="2"/>
      <c r="J413" s="2"/>
      <c r="K413" s="17">
        <f t="shared" si="6"/>
        <v>0</v>
      </c>
      <c r="L413" t="str">
        <f>CONCATENATE(Tableau1[[#This Row],[Usine]],"-",Tableau1[[#This Row],[Semaine ]])</f>
        <v>-S0-1</v>
      </c>
    </row>
    <row r="414" spans="1:12" x14ac:dyDescent="0.3">
      <c r="A414" s="1"/>
      <c r="B414" s="15"/>
      <c r="C414" s="14">
        <f>WEEKNUM(Tableau1[[#This Row],[Date ]])</f>
        <v>0</v>
      </c>
      <c r="D414" s="14">
        <f>Tableau1[[#This Row],[Colonne1]]-1</f>
        <v>-1</v>
      </c>
      <c r="E414" s="14" t="str">
        <f>_xlfn.CONCAT("0",Tableau1[[#This Row],[N° Semaine]])</f>
        <v>0-1</v>
      </c>
      <c r="F414" s="14" t="str">
        <f>_xlfn.CONCAT("S",Tableau1[[#This Row],[Colonne2]])</f>
        <v>S0-1</v>
      </c>
      <c r="G414" t="str">
        <f>TEXT(Tableau1[[#This Row],[Date ]],"mmmm")</f>
        <v>janvier</v>
      </c>
      <c r="H414" s="2"/>
      <c r="I414" s="2"/>
      <c r="J414" s="2"/>
      <c r="K414" s="17">
        <f t="shared" si="6"/>
        <v>0</v>
      </c>
      <c r="L414" t="str">
        <f>CONCATENATE(Tableau1[[#This Row],[Usine]],"-",Tableau1[[#This Row],[Semaine ]])</f>
        <v>-S0-1</v>
      </c>
    </row>
    <row r="415" spans="1:12" x14ac:dyDescent="0.3">
      <c r="A415" s="1"/>
      <c r="B415" s="15"/>
      <c r="C415" s="14">
        <f>WEEKNUM(Tableau1[[#This Row],[Date ]])</f>
        <v>0</v>
      </c>
      <c r="D415" s="14">
        <f>Tableau1[[#This Row],[Colonne1]]-1</f>
        <v>-1</v>
      </c>
      <c r="E415" s="14" t="str">
        <f>_xlfn.CONCAT("0",Tableau1[[#This Row],[N° Semaine]])</f>
        <v>0-1</v>
      </c>
      <c r="F415" s="14" t="str">
        <f>_xlfn.CONCAT("S",Tableau1[[#This Row],[Colonne2]])</f>
        <v>S0-1</v>
      </c>
      <c r="G415" t="str">
        <f>TEXT(Tableau1[[#This Row],[Date ]],"mmmm")</f>
        <v>janvier</v>
      </c>
      <c r="H415" s="2"/>
      <c r="I415" s="2"/>
      <c r="J415" s="2"/>
      <c r="K415" s="17">
        <f t="shared" si="6"/>
        <v>0</v>
      </c>
      <c r="L415" t="str">
        <f>CONCATENATE(Tableau1[[#This Row],[Usine]],"-",Tableau1[[#This Row],[Semaine ]])</f>
        <v>-S0-1</v>
      </c>
    </row>
    <row r="416" spans="1:12" x14ac:dyDescent="0.3">
      <c r="A416" s="1"/>
      <c r="B416" s="15"/>
      <c r="C416" s="14">
        <f>WEEKNUM(Tableau1[[#This Row],[Date ]])</f>
        <v>0</v>
      </c>
      <c r="D416" s="14">
        <f>Tableau1[[#This Row],[Colonne1]]-1</f>
        <v>-1</v>
      </c>
      <c r="E416" s="14" t="str">
        <f>_xlfn.CONCAT("0",Tableau1[[#This Row],[N° Semaine]])</f>
        <v>0-1</v>
      </c>
      <c r="F416" s="14" t="str">
        <f>_xlfn.CONCAT("S",Tableau1[[#This Row],[Colonne2]])</f>
        <v>S0-1</v>
      </c>
      <c r="G416" t="str">
        <f>TEXT(Tableau1[[#This Row],[Date ]],"mmmm")</f>
        <v>janvier</v>
      </c>
      <c r="H416" s="2"/>
      <c r="I416" s="2"/>
      <c r="J416" s="2"/>
      <c r="K416" s="17">
        <f t="shared" si="6"/>
        <v>0</v>
      </c>
      <c r="L416" t="str">
        <f>CONCATENATE(Tableau1[[#This Row],[Usine]],"-",Tableau1[[#This Row],[Semaine ]])</f>
        <v>-S0-1</v>
      </c>
    </row>
    <row r="417" spans="1:12" x14ac:dyDescent="0.3">
      <c r="A417" s="1"/>
      <c r="B417" s="15"/>
      <c r="C417" s="14">
        <f>WEEKNUM(Tableau1[[#This Row],[Date ]])</f>
        <v>0</v>
      </c>
      <c r="D417" s="14">
        <f>Tableau1[[#This Row],[Colonne1]]-1</f>
        <v>-1</v>
      </c>
      <c r="E417" s="14" t="str">
        <f>_xlfn.CONCAT("0",Tableau1[[#This Row],[N° Semaine]])</f>
        <v>0-1</v>
      </c>
      <c r="F417" s="14" t="str">
        <f>_xlfn.CONCAT("S",Tableau1[[#This Row],[Colonne2]])</f>
        <v>S0-1</v>
      </c>
      <c r="G417" t="str">
        <f>TEXT(Tableau1[[#This Row],[Date ]],"mmmm")</f>
        <v>janvier</v>
      </c>
      <c r="H417" s="2"/>
      <c r="I417" s="2"/>
      <c r="J417" s="2"/>
      <c r="K417" s="17">
        <f t="shared" si="6"/>
        <v>0</v>
      </c>
      <c r="L417" t="str">
        <f>CONCATENATE(Tableau1[[#This Row],[Usine]],"-",Tableau1[[#This Row],[Semaine ]])</f>
        <v>-S0-1</v>
      </c>
    </row>
    <row r="418" spans="1:12" x14ac:dyDescent="0.3">
      <c r="A418" s="1"/>
      <c r="B418" s="15"/>
      <c r="C418" s="14">
        <f>WEEKNUM(Tableau1[[#This Row],[Date ]])</f>
        <v>0</v>
      </c>
      <c r="D418" s="14">
        <f>Tableau1[[#This Row],[Colonne1]]-1</f>
        <v>-1</v>
      </c>
      <c r="E418" s="14" t="str">
        <f>_xlfn.CONCAT("0",Tableau1[[#This Row],[N° Semaine]])</f>
        <v>0-1</v>
      </c>
      <c r="F418" s="14" t="str">
        <f>_xlfn.CONCAT("S",Tableau1[[#This Row],[Colonne2]])</f>
        <v>S0-1</v>
      </c>
      <c r="G418" t="str">
        <f>TEXT(Tableau1[[#This Row],[Date ]],"mmmm")</f>
        <v>janvier</v>
      </c>
      <c r="H418" s="2"/>
      <c r="I418" s="2"/>
      <c r="J418" s="2"/>
      <c r="K418" s="17">
        <f t="shared" si="6"/>
        <v>0</v>
      </c>
      <c r="L418" t="str">
        <f>CONCATENATE(Tableau1[[#This Row],[Usine]],"-",Tableau1[[#This Row],[Semaine ]])</f>
        <v>-S0-1</v>
      </c>
    </row>
    <row r="419" spans="1:12" x14ac:dyDescent="0.3">
      <c r="A419" s="1"/>
      <c r="B419" s="15"/>
      <c r="C419" s="14">
        <f>WEEKNUM(Tableau1[[#This Row],[Date ]])</f>
        <v>0</v>
      </c>
      <c r="D419" s="14">
        <f>Tableau1[[#This Row],[Colonne1]]-1</f>
        <v>-1</v>
      </c>
      <c r="E419" s="14" t="str">
        <f>_xlfn.CONCAT("0",Tableau1[[#This Row],[N° Semaine]])</f>
        <v>0-1</v>
      </c>
      <c r="F419" s="14" t="str">
        <f>_xlfn.CONCAT("S",Tableau1[[#This Row],[Colonne2]])</f>
        <v>S0-1</v>
      </c>
      <c r="G419" t="str">
        <f>TEXT(Tableau1[[#This Row],[Date ]],"mmmm")</f>
        <v>janvier</v>
      </c>
      <c r="H419" s="2"/>
      <c r="I419" s="2"/>
      <c r="J419" s="2"/>
      <c r="K419" s="17">
        <f t="shared" si="6"/>
        <v>0</v>
      </c>
      <c r="L419" t="str">
        <f>CONCATENATE(Tableau1[[#This Row],[Usine]],"-",Tableau1[[#This Row],[Semaine ]])</f>
        <v>-S0-1</v>
      </c>
    </row>
    <row r="420" spans="1:12" x14ac:dyDescent="0.3">
      <c r="A420" s="1"/>
      <c r="B420" s="15"/>
      <c r="C420" s="14">
        <f>WEEKNUM(Tableau1[[#This Row],[Date ]])</f>
        <v>0</v>
      </c>
      <c r="D420" s="14">
        <f>Tableau1[[#This Row],[Colonne1]]-1</f>
        <v>-1</v>
      </c>
      <c r="E420" s="14" t="str">
        <f>_xlfn.CONCAT("0",Tableau1[[#This Row],[N° Semaine]])</f>
        <v>0-1</v>
      </c>
      <c r="F420" s="14" t="str">
        <f>_xlfn.CONCAT("S",Tableau1[[#This Row],[Colonne2]])</f>
        <v>S0-1</v>
      </c>
      <c r="G420" t="str">
        <f>TEXT(Tableau1[[#This Row],[Date ]],"mmmm")</f>
        <v>janvier</v>
      </c>
      <c r="H420" s="2"/>
      <c r="I420" s="2"/>
      <c r="J420" s="2"/>
      <c r="K420" s="17">
        <f t="shared" si="6"/>
        <v>0</v>
      </c>
      <c r="L420" t="str">
        <f>CONCATENATE(Tableau1[[#This Row],[Usine]],"-",Tableau1[[#This Row],[Semaine ]])</f>
        <v>-S0-1</v>
      </c>
    </row>
    <row r="421" spans="1:12" x14ac:dyDescent="0.3">
      <c r="A421" s="1"/>
      <c r="B421" s="15"/>
      <c r="C421" s="14">
        <f>WEEKNUM(Tableau1[[#This Row],[Date ]])</f>
        <v>0</v>
      </c>
      <c r="D421" s="14">
        <f>Tableau1[[#This Row],[Colonne1]]-1</f>
        <v>-1</v>
      </c>
      <c r="E421" s="14" t="str">
        <f>_xlfn.CONCAT("0",Tableau1[[#This Row],[N° Semaine]])</f>
        <v>0-1</v>
      </c>
      <c r="F421" s="14" t="str">
        <f>_xlfn.CONCAT("S",Tableau1[[#This Row],[Colonne2]])</f>
        <v>S0-1</v>
      </c>
      <c r="G421" t="str">
        <f>TEXT(Tableau1[[#This Row],[Date ]],"mmmm")</f>
        <v>janvier</v>
      </c>
      <c r="K421" s="14">
        <f t="shared" si="6"/>
        <v>0</v>
      </c>
      <c r="L421" t="str">
        <f>CONCATENATE(Tableau1[[#This Row],[Usine]],"-",Tableau1[[#This Row],[Semaine ]])</f>
        <v>-S0-1</v>
      </c>
    </row>
    <row r="422" spans="1:12" x14ac:dyDescent="0.3">
      <c r="A422" s="1"/>
      <c r="B422" s="15"/>
      <c r="C422" s="14">
        <f>WEEKNUM(Tableau1[[#This Row],[Date ]])</f>
        <v>0</v>
      </c>
      <c r="D422" s="14">
        <f>Tableau1[[#This Row],[Colonne1]]-1</f>
        <v>-1</v>
      </c>
      <c r="E422" s="14" t="str">
        <f>_xlfn.CONCAT("0",Tableau1[[#This Row],[N° Semaine]])</f>
        <v>0-1</v>
      </c>
      <c r="F422" s="14" t="str">
        <f>_xlfn.CONCAT("S",Tableau1[[#This Row],[Colonne2]])</f>
        <v>S0-1</v>
      </c>
      <c r="G422" t="str">
        <f>TEXT(Tableau1[[#This Row],[Date ]],"mmmm")</f>
        <v>janvier</v>
      </c>
      <c r="K422" s="14">
        <f t="shared" si="6"/>
        <v>0</v>
      </c>
      <c r="L422" t="str">
        <f>CONCATENATE(Tableau1[[#This Row],[Usine]],"-",Tableau1[[#This Row],[Semaine ]])</f>
        <v>-S0-1</v>
      </c>
    </row>
    <row r="423" spans="1:12" x14ac:dyDescent="0.3">
      <c r="A423" s="1"/>
      <c r="B423" s="15"/>
      <c r="C423" s="14">
        <f>WEEKNUM(Tableau1[[#This Row],[Date ]])</f>
        <v>0</v>
      </c>
      <c r="D423" s="14">
        <f>Tableau1[[#This Row],[Colonne1]]-1</f>
        <v>-1</v>
      </c>
      <c r="E423" s="14" t="str">
        <f>_xlfn.CONCAT("0",Tableau1[[#This Row],[N° Semaine]])</f>
        <v>0-1</v>
      </c>
      <c r="F423" s="14" t="str">
        <f>_xlfn.CONCAT("S",Tableau1[[#This Row],[Colonne2]])</f>
        <v>S0-1</v>
      </c>
      <c r="G423" t="str">
        <f>TEXT(Tableau1[[#This Row],[Date ]],"mmmm")</f>
        <v>janvier</v>
      </c>
      <c r="K423" s="14">
        <f t="shared" si="6"/>
        <v>0</v>
      </c>
      <c r="L423" t="str">
        <f>CONCATENATE(Tableau1[[#This Row],[Usine]],"-",Tableau1[[#This Row],[Semaine ]])</f>
        <v>-S0-1</v>
      </c>
    </row>
    <row r="424" spans="1:12" x14ac:dyDescent="0.3">
      <c r="A424" s="1"/>
      <c r="B424" s="15"/>
      <c r="C424" s="14">
        <f>WEEKNUM(Tableau1[[#This Row],[Date ]])</f>
        <v>0</v>
      </c>
      <c r="D424" s="14">
        <f>Tableau1[[#This Row],[Colonne1]]-1</f>
        <v>-1</v>
      </c>
      <c r="E424" s="14" t="str">
        <f>_xlfn.CONCAT("0",Tableau1[[#This Row],[N° Semaine]])</f>
        <v>0-1</v>
      </c>
      <c r="F424" s="14" t="str">
        <f>_xlfn.CONCAT("S",Tableau1[[#This Row],[Colonne2]])</f>
        <v>S0-1</v>
      </c>
      <c r="G424" t="str">
        <f>TEXT(Tableau1[[#This Row],[Date ]],"mmmm")</f>
        <v>janvier</v>
      </c>
      <c r="K424" s="14">
        <f t="shared" si="6"/>
        <v>0</v>
      </c>
      <c r="L424" t="str">
        <f>CONCATENATE(Tableau1[[#This Row],[Usine]],"-",Tableau1[[#This Row],[Semaine ]])</f>
        <v>-S0-1</v>
      </c>
    </row>
    <row r="425" spans="1:12" x14ac:dyDescent="0.3">
      <c r="A425" s="1"/>
      <c r="B425" s="15"/>
      <c r="C425" s="14">
        <f>WEEKNUM(Tableau1[[#This Row],[Date ]])</f>
        <v>0</v>
      </c>
      <c r="D425" s="14">
        <f>Tableau1[[#This Row],[Colonne1]]-1</f>
        <v>-1</v>
      </c>
      <c r="E425" s="14" t="str">
        <f>_xlfn.CONCAT("0",Tableau1[[#This Row],[N° Semaine]])</f>
        <v>0-1</v>
      </c>
      <c r="F425" s="14" t="str">
        <f>_xlfn.CONCAT("S",Tableau1[[#This Row],[Colonne2]])</f>
        <v>S0-1</v>
      </c>
      <c r="G425" t="str">
        <f>TEXT(Tableau1[[#This Row],[Date ]],"mmmm")</f>
        <v>janvier</v>
      </c>
      <c r="K425" s="14">
        <f t="shared" si="6"/>
        <v>0</v>
      </c>
      <c r="L425" t="str">
        <f>CONCATENATE(Tableau1[[#This Row],[Usine]],"-",Tableau1[[#This Row],[Semaine ]])</f>
        <v>-S0-1</v>
      </c>
    </row>
    <row r="426" spans="1:12" x14ac:dyDescent="0.3">
      <c r="A426" s="1"/>
      <c r="B426" s="15"/>
      <c r="C426" s="14">
        <f>WEEKNUM(Tableau1[[#This Row],[Date ]])</f>
        <v>0</v>
      </c>
      <c r="D426" s="14">
        <f>Tableau1[[#This Row],[Colonne1]]-1</f>
        <v>-1</v>
      </c>
      <c r="E426" s="14" t="str">
        <f>_xlfn.CONCAT("0",Tableau1[[#This Row],[N° Semaine]])</f>
        <v>0-1</v>
      </c>
      <c r="F426" s="14" t="str">
        <f>_xlfn.CONCAT("S",Tableau1[[#This Row],[Colonne2]])</f>
        <v>S0-1</v>
      </c>
      <c r="G426" t="str">
        <f>TEXT(Tableau1[[#This Row],[Date ]],"mmmm")</f>
        <v>janvier</v>
      </c>
      <c r="K426" s="14">
        <f t="shared" si="6"/>
        <v>0</v>
      </c>
      <c r="L426" t="str">
        <f>CONCATENATE(Tableau1[[#This Row],[Usine]],"-",Tableau1[[#This Row],[Semaine ]])</f>
        <v>-S0-1</v>
      </c>
    </row>
    <row r="427" spans="1:12" x14ac:dyDescent="0.3">
      <c r="A427" s="1"/>
      <c r="B427" s="15"/>
      <c r="C427" s="14">
        <f>WEEKNUM(Tableau1[[#This Row],[Date ]])</f>
        <v>0</v>
      </c>
      <c r="D427" s="14">
        <f>Tableau1[[#This Row],[Colonne1]]-1</f>
        <v>-1</v>
      </c>
      <c r="E427" s="14" t="str">
        <f>_xlfn.CONCAT("0",Tableau1[[#This Row],[N° Semaine]])</f>
        <v>0-1</v>
      </c>
      <c r="F427" s="14" t="str">
        <f>_xlfn.CONCAT("S",Tableau1[[#This Row],[Colonne2]])</f>
        <v>S0-1</v>
      </c>
      <c r="G427" t="str">
        <f>TEXT(Tableau1[[#This Row],[Date ]],"mmmm")</f>
        <v>janvier</v>
      </c>
      <c r="K427" s="14">
        <f t="shared" si="6"/>
        <v>0</v>
      </c>
      <c r="L427" t="str">
        <f>CONCATENATE(Tableau1[[#This Row],[Usine]],"-",Tableau1[[#This Row],[Semaine ]])</f>
        <v>-S0-1</v>
      </c>
    </row>
    <row r="428" spans="1:12" x14ac:dyDescent="0.3">
      <c r="A428" s="1"/>
      <c r="B428" s="15"/>
      <c r="C428" s="14">
        <f>WEEKNUM(Tableau1[[#This Row],[Date ]])</f>
        <v>0</v>
      </c>
      <c r="D428" s="14">
        <f>Tableau1[[#This Row],[Colonne1]]-1</f>
        <v>-1</v>
      </c>
      <c r="E428" s="14" t="str">
        <f>_xlfn.CONCAT("0",Tableau1[[#This Row],[N° Semaine]])</f>
        <v>0-1</v>
      </c>
      <c r="F428" s="14" t="str">
        <f>_xlfn.CONCAT("S",Tableau1[[#This Row],[Colonne2]])</f>
        <v>S0-1</v>
      </c>
      <c r="G428" t="str">
        <f>TEXT(Tableau1[[#This Row],[Date ]],"mmmm")</f>
        <v>janvier</v>
      </c>
      <c r="K428" s="14">
        <f t="shared" si="6"/>
        <v>0</v>
      </c>
      <c r="L428" t="str">
        <f>CONCATENATE(Tableau1[[#This Row],[Usine]],"-",Tableau1[[#This Row],[Semaine ]])</f>
        <v>-S0-1</v>
      </c>
    </row>
    <row r="429" spans="1:12" x14ac:dyDescent="0.3">
      <c r="A429" s="1"/>
      <c r="B429" s="15"/>
      <c r="C429" s="14">
        <f>WEEKNUM(Tableau1[[#This Row],[Date ]])</f>
        <v>0</v>
      </c>
      <c r="D429" s="14">
        <f>Tableau1[[#This Row],[Colonne1]]-1</f>
        <v>-1</v>
      </c>
      <c r="E429" s="14" t="str">
        <f>_xlfn.CONCAT("0",Tableau1[[#This Row],[N° Semaine]])</f>
        <v>0-1</v>
      </c>
      <c r="F429" s="14" t="str">
        <f>_xlfn.CONCAT("S",Tableau1[[#This Row],[Colonne2]])</f>
        <v>S0-1</v>
      </c>
      <c r="G429" t="str">
        <f>TEXT(Tableau1[[#This Row],[Date ]],"mmmm")</f>
        <v>janvier</v>
      </c>
      <c r="K429" s="14">
        <f t="shared" si="6"/>
        <v>0</v>
      </c>
      <c r="L429" t="str">
        <f>CONCATENATE(Tableau1[[#This Row],[Usine]],"-",Tableau1[[#This Row],[Semaine ]])</f>
        <v>-S0-1</v>
      </c>
    </row>
    <row r="430" spans="1:12" x14ac:dyDescent="0.3">
      <c r="A430" s="1"/>
      <c r="B430" s="15"/>
      <c r="C430" s="14">
        <f>WEEKNUM(Tableau1[[#This Row],[Date ]])</f>
        <v>0</v>
      </c>
      <c r="D430" s="14">
        <f>Tableau1[[#This Row],[Colonne1]]-1</f>
        <v>-1</v>
      </c>
      <c r="E430" s="14" t="str">
        <f>_xlfn.CONCAT("0",Tableau1[[#This Row],[N° Semaine]])</f>
        <v>0-1</v>
      </c>
      <c r="F430" s="14" t="str">
        <f>_xlfn.CONCAT("S",Tableau1[[#This Row],[Colonne2]])</f>
        <v>S0-1</v>
      </c>
      <c r="G430" t="str">
        <f>TEXT(Tableau1[[#This Row],[Date ]],"mmmm")</f>
        <v>janvier</v>
      </c>
      <c r="K430" s="14">
        <f t="shared" si="6"/>
        <v>0</v>
      </c>
      <c r="L430" t="str">
        <f>CONCATENATE(Tableau1[[#This Row],[Usine]],"-",Tableau1[[#This Row],[Semaine ]])</f>
        <v>-S0-1</v>
      </c>
    </row>
    <row r="431" spans="1:12" x14ac:dyDescent="0.3">
      <c r="A431" s="1"/>
      <c r="B431" s="15"/>
      <c r="C431" s="14">
        <f>WEEKNUM(Tableau1[[#This Row],[Date ]])</f>
        <v>0</v>
      </c>
      <c r="D431" s="14">
        <f>Tableau1[[#This Row],[Colonne1]]-1</f>
        <v>-1</v>
      </c>
      <c r="E431" s="14" t="str">
        <f>_xlfn.CONCAT("0",Tableau1[[#This Row],[N° Semaine]])</f>
        <v>0-1</v>
      </c>
      <c r="F431" s="14" t="str">
        <f>_xlfn.CONCAT("S",Tableau1[[#This Row],[Colonne2]])</f>
        <v>S0-1</v>
      </c>
      <c r="G431" t="str">
        <f>TEXT(Tableau1[[#This Row],[Date ]],"mmmm")</f>
        <v>janvier</v>
      </c>
      <c r="K431" s="14">
        <f t="shared" si="6"/>
        <v>0</v>
      </c>
      <c r="L431" t="str">
        <f>CONCATENATE(Tableau1[[#This Row],[Usine]],"-",Tableau1[[#This Row],[Semaine ]])</f>
        <v>-S0-1</v>
      </c>
    </row>
    <row r="432" spans="1:12" x14ac:dyDescent="0.3">
      <c r="A432" s="1"/>
      <c r="B432" s="15"/>
      <c r="C432" s="14">
        <f>WEEKNUM(Tableau1[[#This Row],[Date ]])</f>
        <v>0</v>
      </c>
      <c r="D432" s="14">
        <f>Tableau1[[#This Row],[Colonne1]]-1</f>
        <v>-1</v>
      </c>
      <c r="E432" s="14" t="str">
        <f>_xlfn.CONCAT("0",Tableau1[[#This Row],[N° Semaine]])</f>
        <v>0-1</v>
      </c>
      <c r="F432" s="14" t="str">
        <f>_xlfn.CONCAT("S",Tableau1[[#This Row],[Colonne2]])</f>
        <v>S0-1</v>
      </c>
      <c r="G432" t="str">
        <f>TEXT(Tableau1[[#This Row],[Date ]],"mmmm")</f>
        <v>janvier</v>
      </c>
      <c r="K432" s="14">
        <f t="shared" si="6"/>
        <v>0</v>
      </c>
      <c r="L432" t="str">
        <f>CONCATENATE(Tableau1[[#This Row],[Usine]],"-",Tableau1[[#This Row],[Semaine ]])</f>
        <v>-S0-1</v>
      </c>
    </row>
    <row r="433" spans="1:12" x14ac:dyDescent="0.3">
      <c r="A433" s="1"/>
      <c r="B433" s="15"/>
      <c r="C433" s="14">
        <f>WEEKNUM(Tableau1[[#This Row],[Date ]])</f>
        <v>0</v>
      </c>
      <c r="D433" s="14">
        <f>Tableau1[[#This Row],[Colonne1]]-1</f>
        <v>-1</v>
      </c>
      <c r="E433" s="14" t="str">
        <f>_xlfn.CONCAT("0",Tableau1[[#This Row],[N° Semaine]])</f>
        <v>0-1</v>
      </c>
      <c r="F433" s="14" t="str">
        <f>_xlfn.CONCAT("S",Tableau1[[#This Row],[Colonne2]])</f>
        <v>S0-1</v>
      </c>
      <c r="G433" t="str">
        <f>TEXT(Tableau1[[#This Row],[Date ]],"mmmm")</f>
        <v>janvier</v>
      </c>
      <c r="K433" s="14">
        <f t="shared" si="6"/>
        <v>0</v>
      </c>
      <c r="L433" t="str">
        <f>CONCATENATE(Tableau1[[#This Row],[Usine]],"-",Tableau1[[#This Row],[Semaine ]])</f>
        <v>-S0-1</v>
      </c>
    </row>
    <row r="434" spans="1:12" x14ac:dyDescent="0.3">
      <c r="A434" s="1"/>
      <c r="B434" s="15"/>
      <c r="C434" s="14">
        <f>WEEKNUM(Tableau1[[#This Row],[Date ]])</f>
        <v>0</v>
      </c>
      <c r="D434" s="14">
        <f>Tableau1[[#This Row],[Colonne1]]-1</f>
        <v>-1</v>
      </c>
      <c r="E434" s="14" t="str">
        <f>_xlfn.CONCAT("0",Tableau1[[#This Row],[N° Semaine]])</f>
        <v>0-1</v>
      </c>
      <c r="F434" s="14" t="str">
        <f>_xlfn.CONCAT("S",Tableau1[[#This Row],[Colonne2]])</f>
        <v>S0-1</v>
      </c>
      <c r="G434" t="str">
        <f>TEXT(Tableau1[[#This Row],[Date ]],"mmmm")</f>
        <v>janvier</v>
      </c>
      <c r="K434" s="14">
        <f t="shared" si="6"/>
        <v>0</v>
      </c>
      <c r="L434" t="str">
        <f>CONCATENATE(Tableau1[[#This Row],[Usine]],"-",Tableau1[[#This Row],[Semaine ]])</f>
        <v>-S0-1</v>
      </c>
    </row>
    <row r="435" spans="1:12" x14ac:dyDescent="0.3">
      <c r="A435" s="1"/>
      <c r="B435" s="15"/>
      <c r="C435" s="14">
        <f>WEEKNUM(Tableau1[[#This Row],[Date ]])</f>
        <v>0</v>
      </c>
      <c r="D435" s="14">
        <f>Tableau1[[#This Row],[Colonne1]]-1</f>
        <v>-1</v>
      </c>
      <c r="E435" s="14" t="str">
        <f>_xlfn.CONCAT("0",Tableau1[[#This Row],[N° Semaine]])</f>
        <v>0-1</v>
      </c>
      <c r="F435" s="14" t="str">
        <f>_xlfn.CONCAT("S",Tableau1[[#This Row],[Colonne2]])</f>
        <v>S0-1</v>
      </c>
      <c r="G435" t="str">
        <f>TEXT(Tableau1[[#This Row],[Date ]],"mmmm")</f>
        <v>janvier</v>
      </c>
      <c r="K435" s="14">
        <f t="shared" si="6"/>
        <v>0</v>
      </c>
      <c r="L435" t="str">
        <f>CONCATENATE(Tableau1[[#This Row],[Usine]],"-",Tableau1[[#This Row],[Semaine ]])</f>
        <v>-S0-1</v>
      </c>
    </row>
    <row r="436" spans="1:12" x14ac:dyDescent="0.3">
      <c r="A436" s="1"/>
      <c r="B436" s="15"/>
      <c r="C436" s="14">
        <f>WEEKNUM(Tableau1[[#This Row],[Date ]])</f>
        <v>0</v>
      </c>
      <c r="D436" s="14">
        <f>Tableau1[[#This Row],[Colonne1]]-1</f>
        <v>-1</v>
      </c>
      <c r="E436" s="14" t="str">
        <f>_xlfn.CONCAT("0",Tableau1[[#This Row],[N° Semaine]])</f>
        <v>0-1</v>
      </c>
      <c r="F436" s="14" t="str">
        <f>_xlfn.CONCAT("S",Tableau1[[#This Row],[Colonne2]])</f>
        <v>S0-1</v>
      </c>
      <c r="G436" t="str">
        <f>TEXT(Tableau1[[#This Row],[Date ]],"mmmm")</f>
        <v>janvier</v>
      </c>
      <c r="K436" s="14">
        <f t="shared" si="6"/>
        <v>0</v>
      </c>
      <c r="L436" t="str">
        <f>CONCATENATE(Tableau1[[#This Row],[Usine]],"-",Tableau1[[#This Row],[Semaine ]])</f>
        <v>-S0-1</v>
      </c>
    </row>
    <row r="437" spans="1:12" x14ac:dyDescent="0.3">
      <c r="A437" s="1"/>
      <c r="B437" s="15"/>
      <c r="C437" s="14">
        <f>WEEKNUM(Tableau1[[#This Row],[Date ]])</f>
        <v>0</v>
      </c>
      <c r="D437" s="14">
        <f>Tableau1[[#This Row],[Colonne1]]-1</f>
        <v>-1</v>
      </c>
      <c r="E437" s="14" t="str">
        <f>_xlfn.CONCAT("0",Tableau1[[#This Row],[N° Semaine]])</f>
        <v>0-1</v>
      </c>
      <c r="F437" s="14" t="str">
        <f>_xlfn.CONCAT("S",Tableau1[[#This Row],[Colonne2]])</f>
        <v>S0-1</v>
      </c>
      <c r="G437" t="str">
        <f>TEXT(Tableau1[[#This Row],[Date ]],"mmmm")</f>
        <v>janvier</v>
      </c>
      <c r="K437" s="14">
        <f t="shared" si="6"/>
        <v>0</v>
      </c>
      <c r="L437" t="str">
        <f>CONCATENATE(Tableau1[[#This Row],[Usine]],"-",Tableau1[[#This Row],[Semaine ]])</f>
        <v>-S0-1</v>
      </c>
    </row>
    <row r="438" spans="1:12" x14ac:dyDescent="0.3">
      <c r="A438" s="1"/>
      <c r="B438" s="15"/>
      <c r="C438" s="14">
        <f>WEEKNUM(Tableau1[[#This Row],[Date ]])</f>
        <v>0</v>
      </c>
      <c r="D438" s="14">
        <f>Tableau1[[#This Row],[Colonne1]]-1</f>
        <v>-1</v>
      </c>
      <c r="E438" s="14" t="str">
        <f>_xlfn.CONCAT("0",Tableau1[[#This Row],[N° Semaine]])</f>
        <v>0-1</v>
      </c>
      <c r="F438" s="14" t="str">
        <f>_xlfn.CONCAT("S",Tableau1[[#This Row],[Colonne2]])</f>
        <v>S0-1</v>
      </c>
      <c r="G438" t="str">
        <f>TEXT(Tableau1[[#This Row],[Date ]],"mmmm")</f>
        <v>janvier</v>
      </c>
      <c r="K438" s="14">
        <f t="shared" si="6"/>
        <v>0</v>
      </c>
      <c r="L438" t="str">
        <f>CONCATENATE(Tableau1[[#This Row],[Usine]],"-",Tableau1[[#This Row],[Semaine ]])</f>
        <v>-S0-1</v>
      </c>
    </row>
    <row r="439" spans="1:12" x14ac:dyDescent="0.3">
      <c r="A439" s="1"/>
      <c r="B439" s="15"/>
      <c r="C439" s="14">
        <f>WEEKNUM(Tableau1[[#This Row],[Date ]])</f>
        <v>0</v>
      </c>
      <c r="D439" s="14">
        <f>Tableau1[[#This Row],[Colonne1]]-1</f>
        <v>-1</v>
      </c>
      <c r="E439" s="14" t="str">
        <f>_xlfn.CONCAT("0",Tableau1[[#This Row],[N° Semaine]])</f>
        <v>0-1</v>
      </c>
      <c r="F439" s="14" t="str">
        <f>_xlfn.CONCAT("S",Tableau1[[#This Row],[Colonne2]])</f>
        <v>S0-1</v>
      </c>
      <c r="G439" t="str">
        <f>TEXT(Tableau1[[#This Row],[Date ]],"mmmm")</f>
        <v>janvier</v>
      </c>
      <c r="K439" s="14">
        <f t="shared" si="6"/>
        <v>0</v>
      </c>
      <c r="L439" t="str">
        <f>CONCATENATE(Tableau1[[#This Row],[Usine]],"-",Tableau1[[#This Row],[Semaine ]])</f>
        <v>-S0-1</v>
      </c>
    </row>
    <row r="440" spans="1:12" x14ac:dyDescent="0.3">
      <c r="A440" s="1"/>
      <c r="B440" s="15"/>
      <c r="C440" s="14">
        <f>WEEKNUM(Tableau1[[#This Row],[Date ]])</f>
        <v>0</v>
      </c>
      <c r="D440" s="14">
        <f>Tableau1[[#This Row],[Colonne1]]-1</f>
        <v>-1</v>
      </c>
      <c r="E440" s="14" t="str">
        <f>_xlfn.CONCAT("0",Tableau1[[#This Row],[N° Semaine]])</f>
        <v>0-1</v>
      </c>
      <c r="F440" s="14" t="str">
        <f>_xlfn.CONCAT("S",Tableau1[[#This Row],[Colonne2]])</f>
        <v>S0-1</v>
      </c>
      <c r="G440" t="str">
        <f>TEXT(Tableau1[[#This Row],[Date ]],"mmmm")</f>
        <v>janvier</v>
      </c>
      <c r="K440" s="14">
        <f t="shared" si="6"/>
        <v>0</v>
      </c>
      <c r="L440" t="str">
        <f>CONCATENATE(Tableau1[[#This Row],[Usine]],"-",Tableau1[[#This Row],[Semaine ]])</f>
        <v>-S0-1</v>
      </c>
    </row>
    <row r="441" spans="1:12" x14ac:dyDescent="0.3">
      <c r="A441" s="1"/>
      <c r="B441" s="15"/>
      <c r="C441" s="14">
        <f>WEEKNUM(Tableau1[[#This Row],[Date ]])</f>
        <v>0</v>
      </c>
      <c r="D441" s="14">
        <f>Tableau1[[#This Row],[Colonne1]]-1</f>
        <v>-1</v>
      </c>
      <c r="E441" s="14" t="str">
        <f>_xlfn.CONCAT("0",Tableau1[[#This Row],[N° Semaine]])</f>
        <v>0-1</v>
      </c>
      <c r="F441" s="14" t="str">
        <f>_xlfn.CONCAT("S",Tableau1[[#This Row],[Colonne2]])</f>
        <v>S0-1</v>
      </c>
      <c r="G441" t="str">
        <f>TEXT(Tableau1[[#This Row],[Date ]],"mmmm")</f>
        <v>janvier</v>
      </c>
      <c r="K441" s="14">
        <f t="shared" si="6"/>
        <v>0</v>
      </c>
      <c r="L441" t="str">
        <f>CONCATENATE(Tableau1[[#This Row],[Usine]],"-",Tableau1[[#This Row],[Semaine ]])</f>
        <v>-S0-1</v>
      </c>
    </row>
    <row r="442" spans="1:12" x14ac:dyDescent="0.3">
      <c r="A442" s="1"/>
      <c r="B442" s="15"/>
      <c r="C442" s="14">
        <f>WEEKNUM(Tableau1[[#This Row],[Date ]])</f>
        <v>0</v>
      </c>
      <c r="D442" s="14">
        <f>Tableau1[[#This Row],[Colonne1]]-1</f>
        <v>-1</v>
      </c>
      <c r="E442" s="14" t="str">
        <f>_xlfn.CONCAT("0",Tableau1[[#This Row],[N° Semaine]])</f>
        <v>0-1</v>
      </c>
      <c r="F442" s="14" t="str">
        <f>_xlfn.CONCAT("S",Tableau1[[#This Row],[Colonne2]])</f>
        <v>S0-1</v>
      </c>
      <c r="G442" t="str">
        <f>TEXT(Tableau1[[#This Row],[Date ]],"mmmm")</f>
        <v>janvier</v>
      </c>
      <c r="K442" s="14">
        <f t="shared" si="6"/>
        <v>0</v>
      </c>
      <c r="L442" t="str">
        <f>CONCATENATE(Tableau1[[#This Row],[Usine]],"-",Tableau1[[#This Row],[Semaine ]])</f>
        <v>-S0-1</v>
      </c>
    </row>
    <row r="443" spans="1:12" x14ac:dyDescent="0.3">
      <c r="A443" s="1"/>
      <c r="B443" s="15"/>
      <c r="C443" s="14">
        <f>WEEKNUM(Tableau1[[#This Row],[Date ]])</f>
        <v>0</v>
      </c>
      <c r="D443" s="14">
        <f>Tableau1[[#This Row],[Colonne1]]-1</f>
        <v>-1</v>
      </c>
      <c r="E443" s="14" t="str">
        <f>_xlfn.CONCAT("0",Tableau1[[#This Row],[N° Semaine]])</f>
        <v>0-1</v>
      </c>
      <c r="F443" s="14" t="str">
        <f>_xlfn.CONCAT("S",Tableau1[[#This Row],[Colonne2]])</f>
        <v>S0-1</v>
      </c>
      <c r="G443" t="str">
        <f>TEXT(Tableau1[[#This Row],[Date ]],"mmmm")</f>
        <v>janvier</v>
      </c>
      <c r="K443" s="14">
        <f t="shared" si="6"/>
        <v>0</v>
      </c>
      <c r="L443" t="str">
        <f>CONCATENATE(Tableau1[[#This Row],[Usine]],"-",Tableau1[[#This Row],[Semaine ]])</f>
        <v>-S0-1</v>
      </c>
    </row>
    <row r="444" spans="1:12" x14ac:dyDescent="0.3">
      <c r="A444" s="1"/>
      <c r="B444" s="15"/>
      <c r="C444" s="14">
        <f>WEEKNUM(Tableau1[[#This Row],[Date ]])</f>
        <v>0</v>
      </c>
      <c r="D444" s="14">
        <f>Tableau1[[#This Row],[Colonne1]]-1</f>
        <v>-1</v>
      </c>
      <c r="E444" s="14" t="str">
        <f>_xlfn.CONCAT("0",Tableau1[[#This Row],[N° Semaine]])</f>
        <v>0-1</v>
      </c>
      <c r="F444" s="14" t="str">
        <f>_xlfn.CONCAT("S",Tableau1[[#This Row],[Colonne2]])</f>
        <v>S0-1</v>
      </c>
      <c r="G444" t="str">
        <f>TEXT(Tableau1[[#This Row],[Date ]],"mmmm")</f>
        <v>janvier</v>
      </c>
      <c r="K444" s="14">
        <f t="shared" si="6"/>
        <v>0</v>
      </c>
      <c r="L444" t="str">
        <f>CONCATENATE(Tableau1[[#This Row],[Usine]],"-",Tableau1[[#This Row],[Semaine ]])</f>
        <v>-S0-1</v>
      </c>
    </row>
    <row r="445" spans="1:12" x14ac:dyDescent="0.3">
      <c r="A445" s="1"/>
      <c r="B445" s="15"/>
      <c r="C445" s="14">
        <f>WEEKNUM(Tableau1[[#This Row],[Date ]])</f>
        <v>0</v>
      </c>
      <c r="D445" s="14">
        <f>Tableau1[[#This Row],[Colonne1]]-1</f>
        <v>-1</v>
      </c>
      <c r="E445" s="14" t="str">
        <f>_xlfn.CONCAT("0",Tableau1[[#This Row],[N° Semaine]])</f>
        <v>0-1</v>
      </c>
      <c r="F445" s="14" t="str">
        <f>_xlfn.CONCAT("S",Tableau1[[#This Row],[Colonne2]])</f>
        <v>S0-1</v>
      </c>
      <c r="G445" t="str">
        <f>TEXT(Tableau1[[#This Row],[Date ]],"mmmm")</f>
        <v>janvier</v>
      </c>
      <c r="K445" s="14">
        <f t="shared" si="6"/>
        <v>0</v>
      </c>
      <c r="L445" t="str">
        <f>CONCATENATE(Tableau1[[#This Row],[Usine]],"-",Tableau1[[#This Row],[Semaine ]])</f>
        <v>-S0-1</v>
      </c>
    </row>
    <row r="446" spans="1:12" x14ac:dyDescent="0.3">
      <c r="A446" s="1"/>
      <c r="B446" s="15"/>
      <c r="C446" s="14">
        <f>WEEKNUM(Tableau1[[#This Row],[Date ]])</f>
        <v>0</v>
      </c>
      <c r="D446" s="14">
        <f>Tableau1[[#This Row],[Colonne1]]-1</f>
        <v>-1</v>
      </c>
      <c r="E446" s="14" t="str">
        <f>_xlfn.CONCAT("0",Tableau1[[#This Row],[N° Semaine]])</f>
        <v>0-1</v>
      </c>
      <c r="F446" s="14" t="str">
        <f>_xlfn.CONCAT("S",Tableau1[[#This Row],[Colonne2]])</f>
        <v>S0-1</v>
      </c>
      <c r="G446" t="str">
        <f>TEXT(Tableau1[[#This Row],[Date ]],"mmmm")</f>
        <v>janvier</v>
      </c>
      <c r="K446" s="14">
        <f t="shared" si="6"/>
        <v>0</v>
      </c>
      <c r="L446" t="str">
        <f>CONCATENATE(Tableau1[[#This Row],[Usine]],"-",Tableau1[[#This Row],[Semaine ]])</f>
        <v>-S0-1</v>
      </c>
    </row>
    <row r="447" spans="1:12" x14ac:dyDescent="0.3">
      <c r="A447" s="1"/>
      <c r="B447" s="15"/>
      <c r="C447" s="14">
        <f>WEEKNUM(Tableau1[[#This Row],[Date ]])</f>
        <v>0</v>
      </c>
      <c r="D447" s="14">
        <f>Tableau1[[#This Row],[Colonne1]]-1</f>
        <v>-1</v>
      </c>
      <c r="E447" s="14" t="str">
        <f>_xlfn.CONCAT("0",Tableau1[[#This Row],[N° Semaine]])</f>
        <v>0-1</v>
      </c>
      <c r="F447" s="14" t="str">
        <f>_xlfn.CONCAT("S",Tableau1[[#This Row],[Colonne2]])</f>
        <v>S0-1</v>
      </c>
      <c r="G447" t="str">
        <f>TEXT(Tableau1[[#This Row],[Date ]],"mmmm")</f>
        <v>janvier</v>
      </c>
      <c r="K447" s="14">
        <f t="shared" si="6"/>
        <v>0</v>
      </c>
      <c r="L447" t="str">
        <f>CONCATENATE(Tableau1[[#This Row],[Usine]],"-",Tableau1[[#This Row],[Semaine ]])</f>
        <v>-S0-1</v>
      </c>
    </row>
    <row r="448" spans="1:12" x14ac:dyDescent="0.3">
      <c r="A448" s="1"/>
      <c r="B448" s="15"/>
      <c r="C448" s="14">
        <f>WEEKNUM(Tableau1[[#This Row],[Date ]])</f>
        <v>0</v>
      </c>
      <c r="D448" s="14">
        <f>Tableau1[[#This Row],[Colonne1]]-1</f>
        <v>-1</v>
      </c>
      <c r="E448" s="14" t="str">
        <f>_xlfn.CONCAT("0",Tableau1[[#This Row],[N° Semaine]])</f>
        <v>0-1</v>
      </c>
      <c r="F448" s="14" t="str">
        <f>_xlfn.CONCAT("S",Tableau1[[#This Row],[Colonne2]])</f>
        <v>S0-1</v>
      </c>
      <c r="G448" t="str">
        <f>TEXT(Tableau1[[#This Row],[Date ]],"mmmm")</f>
        <v>janvier</v>
      </c>
      <c r="K448" s="14">
        <f t="shared" si="6"/>
        <v>0</v>
      </c>
      <c r="L448" t="str">
        <f>CONCATENATE(Tableau1[[#This Row],[Usine]],"-",Tableau1[[#This Row],[Semaine ]])</f>
        <v>-S0-1</v>
      </c>
    </row>
    <row r="449" spans="1:12" x14ac:dyDescent="0.3">
      <c r="A449" s="1"/>
      <c r="B449" s="15"/>
      <c r="C449" s="14">
        <f>WEEKNUM(Tableau1[[#This Row],[Date ]])</f>
        <v>0</v>
      </c>
      <c r="D449" s="14">
        <f>Tableau1[[#This Row],[Colonne1]]-1</f>
        <v>-1</v>
      </c>
      <c r="E449" s="14" t="str">
        <f>_xlfn.CONCAT("0",Tableau1[[#This Row],[N° Semaine]])</f>
        <v>0-1</v>
      </c>
      <c r="F449" s="14" t="str">
        <f>_xlfn.CONCAT("S",Tableau1[[#This Row],[Colonne2]])</f>
        <v>S0-1</v>
      </c>
      <c r="G449" t="str">
        <f>TEXT(Tableau1[[#This Row],[Date ]],"mmmm")</f>
        <v>janvier</v>
      </c>
      <c r="K449" s="14">
        <f t="shared" si="6"/>
        <v>0</v>
      </c>
      <c r="L449" t="str">
        <f>CONCATENATE(Tableau1[[#This Row],[Usine]],"-",Tableau1[[#This Row],[Semaine ]])</f>
        <v>-S0-1</v>
      </c>
    </row>
    <row r="450" spans="1:12" x14ac:dyDescent="0.3">
      <c r="A450" s="1"/>
      <c r="B450" s="15"/>
      <c r="C450" s="14">
        <f>WEEKNUM(Tableau1[[#This Row],[Date ]])</f>
        <v>0</v>
      </c>
      <c r="D450" s="14">
        <f>Tableau1[[#This Row],[Colonne1]]-1</f>
        <v>-1</v>
      </c>
      <c r="E450" s="14" t="str">
        <f>_xlfn.CONCAT("0",Tableau1[[#This Row],[N° Semaine]])</f>
        <v>0-1</v>
      </c>
      <c r="F450" s="14" t="str">
        <f>_xlfn.CONCAT("S",Tableau1[[#This Row],[Colonne2]])</f>
        <v>S0-1</v>
      </c>
      <c r="G450" t="str">
        <f>TEXT(Tableau1[[#This Row],[Date ]],"mmmm")</f>
        <v>janvier</v>
      </c>
      <c r="K450" s="14">
        <f t="shared" ref="K450:K513" si="7">SUM(H450:J451)</f>
        <v>0</v>
      </c>
      <c r="L450" t="str">
        <f>CONCATENATE(Tableau1[[#This Row],[Usine]],"-",Tableau1[[#This Row],[Semaine ]])</f>
        <v>-S0-1</v>
      </c>
    </row>
    <row r="451" spans="1:12" x14ac:dyDescent="0.3">
      <c r="A451" s="1"/>
      <c r="B451" s="15"/>
      <c r="C451" s="14">
        <f>WEEKNUM(Tableau1[[#This Row],[Date ]])</f>
        <v>0</v>
      </c>
      <c r="D451" s="14">
        <f>Tableau1[[#This Row],[Colonne1]]-1</f>
        <v>-1</v>
      </c>
      <c r="E451" s="14" t="str">
        <f>_xlfn.CONCAT("0",Tableau1[[#This Row],[N° Semaine]])</f>
        <v>0-1</v>
      </c>
      <c r="F451" s="14" t="str">
        <f>_xlfn.CONCAT("S",Tableau1[[#This Row],[Colonne2]])</f>
        <v>S0-1</v>
      </c>
      <c r="G451" t="str">
        <f>TEXT(Tableau1[[#This Row],[Date ]],"mmmm")</f>
        <v>janvier</v>
      </c>
      <c r="K451" s="14">
        <f t="shared" si="7"/>
        <v>0</v>
      </c>
      <c r="L451" t="str">
        <f>CONCATENATE(Tableau1[[#This Row],[Usine]],"-",Tableau1[[#This Row],[Semaine ]])</f>
        <v>-S0-1</v>
      </c>
    </row>
    <row r="452" spans="1:12" x14ac:dyDescent="0.3">
      <c r="A452" s="1"/>
      <c r="B452" s="15"/>
      <c r="C452" s="14">
        <f>WEEKNUM(Tableau1[[#This Row],[Date ]])</f>
        <v>0</v>
      </c>
      <c r="D452" s="14">
        <f>Tableau1[[#This Row],[Colonne1]]-1</f>
        <v>-1</v>
      </c>
      <c r="E452" s="14" t="str">
        <f>_xlfn.CONCAT("0",Tableau1[[#This Row],[N° Semaine]])</f>
        <v>0-1</v>
      </c>
      <c r="F452" s="14" t="str">
        <f>_xlfn.CONCAT("S",Tableau1[[#This Row],[Colonne2]])</f>
        <v>S0-1</v>
      </c>
      <c r="G452" t="str">
        <f>TEXT(Tableau1[[#This Row],[Date ]],"mmmm")</f>
        <v>janvier</v>
      </c>
      <c r="K452" s="14">
        <f t="shared" si="7"/>
        <v>0</v>
      </c>
      <c r="L452" t="str">
        <f>CONCATENATE(Tableau1[[#This Row],[Usine]],"-",Tableau1[[#This Row],[Semaine ]])</f>
        <v>-S0-1</v>
      </c>
    </row>
    <row r="453" spans="1:12" x14ac:dyDescent="0.3">
      <c r="A453" s="1"/>
      <c r="B453" s="15"/>
      <c r="C453" s="14">
        <f>WEEKNUM(Tableau1[[#This Row],[Date ]])</f>
        <v>0</v>
      </c>
      <c r="D453" s="14">
        <f>Tableau1[[#This Row],[Colonne1]]-1</f>
        <v>-1</v>
      </c>
      <c r="E453" s="14" t="str">
        <f>_xlfn.CONCAT("0",Tableau1[[#This Row],[N° Semaine]])</f>
        <v>0-1</v>
      </c>
      <c r="F453" s="14" t="str">
        <f>_xlfn.CONCAT("S",Tableau1[[#This Row],[Colonne2]])</f>
        <v>S0-1</v>
      </c>
      <c r="G453" t="str">
        <f>TEXT(Tableau1[[#This Row],[Date ]],"mmmm")</f>
        <v>janvier</v>
      </c>
      <c r="K453" s="14">
        <f t="shared" si="7"/>
        <v>0</v>
      </c>
      <c r="L453" t="str">
        <f>CONCATENATE(Tableau1[[#This Row],[Usine]],"-",Tableau1[[#This Row],[Semaine ]])</f>
        <v>-S0-1</v>
      </c>
    </row>
    <row r="454" spans="1:12" x14ac:dyDescent="0.3">
      <c r="A454" s="1"/>
      <c r="B454" s="15"/>
      <c r="C454" s="14">
        <f>WEEKNUM(Tableau1[[#This Row],[Date ]])</f>
        <v>0</v>
      </c>
      <c r="D454" s="14">
        <f>Tableau1[[#This Row],[Colonne1]]-1</f>
        <v>-1</v>
      </c>
      <c r="E454" s="14" t="str">
        <f>_xlfn.CONCAT("0",Tableau1[[#This Row],[N° Semaine]])</f>
        <v>0-1</v>
      </c>
      <c r="F454" s="14" t="str">
        <f>_xlfn.CONCAT("S",Tableau1[[#This Row],[Colonne2]])</f>
        <v>S0-1</v>
      </c>
      <c r="G454" t="str">
        <f>TEXT(Tableau1[[#This Row],[Date ]],"mmmm")</f>
        <v>janvier</v>
      </c>
      <c r="K454" s="14">
        <f t="shared" si="7"/>
        <v>0</v>
      </c>
      <c r="L454" t="str">
        <f>CONCATENATE(Tableau1[[#This Row],[Usine]],"-",Tableau1[[#This Row],[Semaine ]])</f>
        <v>-S0-1</v>
      </c>
    </row>
    <row r="455" spans="1:12" x14ac:dyDescent="0.3">
      <c r="A455" s="1"/>
      <c r="B455" s="15"/>
      <c r="C455" s="14">
        <f>WEEKNUM(Tableau1[[#This Row],[Date ]])</f>
        <v>0</v>
      </c>
      <c r="D455" s="14">
        <f>Tableau1[[#This Row],[Colonne1]]-1</f>
        <v>-1</v>
      </c>
      <c r="E455" s="14" t="str">
        <f>_xlfn.CONCAT("0",Tableau1[[#This Row],[N° Semaine]])</f>
        <v>0-1</v>
      </c>
      <c r="F455" s="14" t="str">
        <f>_xlfn.CONCAT("S",Tableau1[[#This Row],[Colonne2]])</f>
        <v>S0-1</v>
      </c>
      <c r="G455" t="str">
        <f>TEXT(Tableau1[[#This Row],[Date ]],"mmmm")</f>
        <v>janvier</v>
      </c>
      <c r="K455" s="14">
        <f t="shared" si="7"/>
        <v>0</v>
      </c>
      <c r="L455" t="str">
        <f>CONCATENATE(Tableau1[[#This Row],[Usine]],"-",Tableau1[[#This Row],[Semaine ]])</f>
        <v>-S0-1</v>
      </c>
    </row>
    <row r="456" spans="1:12" x14ac:dyDescent="0.3">
      <c r="A456" s="1"/>
      <c r="B456" s="15"/>
      <c r="C456" s="14">
        <f>WEEKNUM(Tableau1[[#This Row],[Date ]])</f>
        <v>0</v>
      </c>
      <c r="D456" s="14">
        <f>Tableau1[[#This Row],[Colonne1]]-1</f>
        <v>-1</v>
      </c>
      <c r="E456" s="14" t="str">
        <f>_xlfn.CONCAT("0",Tableau1[[#This Row],[N° Semaine]])</f>
        <v>0-1</v>
      </c>
      <c r="F456" s="14" t="str">
        <f>_xlfn.CONCAT("S",Tableau1[[#This Row],[Colonne2]])</f>
        <v>S0-1</v>
      </c>
      <c r="G456" t="str">
        <f>TEXT(Tableau1[[#This Row],[Date ]],"mmmm")</f>
        <v>janvier</v>
      </c>
      <c r="K456" s="14">
        <f t="shared" si="7"/>
        <v>0</v>
      </c>
      <c r="L456" t="str">
        <f>CONCATENATE(Tableau1[[#This Row],[Usine]],"-",Tableau1[[#This Row],[Semaine ]])</f>
        <v>-S0-1</v>
      </c>
    </row>
    <row r="457" spans="1:12" x14ac:dyDescent="0.3">
      <c r="A457" s="1"/>
      <c r="B457" s="15"/>
      <c r="C457" s="14">
        <f>WEEKNUM(Tableau1[[#This Row],[Date ]])</f>
        <v>0</v>
      </c>
      <c r="D457" s="14">
        <f>Tableau1[[#This Row],[Colonne1]]-1</f>
        <v>-1</v>
      </c>
      <c r="E457" s="14" t="str">
        <f>_xlfn.CONCAT("0",Tableau1[[#This Row],[N° Semaine]])</f>
        <v>0-1</v>
      </c>
      <c r="F457" s="14" t="str">
        <f>_xlfn.CONCAT("S",Tableau1[[#This Row],[Colonne2]])</f>
        <v>S0-1</v>
      </c>
      <c r="G457" t="str">
        <f>TEXT(Tableau1[[#This Row],[Date ]],"mmmm")</f>
        <v>janvier</v>
      </c>
      <c r="K457" s="14">
        <f t="shared" si="7"/>
        <v>0</v>
      </c>
      <c r="L457" t="str">
        <f>CONCATENATE(Tableau1[[#This Row],[Usine]],"-",Tableau1[[#This Row],[Semaine ]])</f>
        <v>-S0-1</v>
      </c>
    </row>
    <row r="458" spans="1:12" x14ac:dyDescent="0.3">
      <c r="A458" s="1"/>
      <c r="B458" s="15"/>
      <c r="C458" s="14">
        <f>WEEKNUM(Tableau1[[#This Row],[Date ]])</f>
        <v>0</v>
      </c>
      <c r="D458" s="14">
        <f>Tableau1[[#This Row],[Colonne1]]-1</f>
        <v>-1</v>
      </c>
      <c r="E458" s="14" t="str">
        <f>_xlfn.CONCAT("0",Tableau1[[#This Row],[N° Semaine]])</f>
        <v>0-1</v>
      </c>
      <c r="F458" s="14" t="str">
        <f>_xlfn.CONCAT("S",Tableau1[[#This Row],[Colonne2]])</f>
        <v>S0-1</v>
      </c>
      <c r="G458" t="str">
        <f>TEXT(Tableau1[[#This Row],[Date ]],"mmmm")</f>
        <v>janvier</v>
      </c>
      <c r="K458" s="14">
        <f t="shared" si="7"/>
        <v>0</v>
      </c>
      <c r="L458" t="str">
        <f>CONCATENATE(Tableau1[[#This Row],[Usine]],"-",Tableau1[[#This Row],[Semaine ]])</f>
        <v>-S0-1</v>
      </c>
    </row>
    <row r="459" spans="1:12" x14ac:dyDescent="0.3">
      <c r="A459" s="1"/>
      <c r="B459" s="15"/>
      <c r="C459" s="14">
        <f>WEEKNUM(Tableau1[[#This Row],[Date ]])</f>
        <v>0</v>
      </c>
      <c r="D459" s="14">
        <f>Tableau1[[#This Row],[Colonne1]]-1</f>
        <v>-1</v>
      </c>
      <c r="E459" s="14" t="str">
        <f>_xlfn.CONCAT("0",Tableau1[[#This Row],[N° Semaine]])</f>
        <v>0-1</v>
      </c>
      <c r="F459" s="14" t="str">
        <f>_xlfn.CONCAT("S",Tableau1[[#This Row],[Colonne2]])</f>
        <v>S0-1</v>
      </c>
      <c r="G459" t="str">
        <f>TEXT(Tableau1[[#This Row],[Date ]],"mmmm")</f>
        <v>janvier</v>
      </c>
      <c r="K459" s="14">
        <f t="shared" si="7"/>
        <v>0</v>
      </c>
      <c r="L459" t="str">
        <f>CONCATENATE(Tableau1[[#This Row],[Usine]],"-",Tableau1[[#This Row],[Semaine ]])</f>
        <v>-S0-1</v>
      </c>
    </row>
    <row r="460" spans="1:12" x14ac:dyDescent="0.3">
      <c r="A460" s="1"/>
      <c r="B460" s="15"/>
      <c r="C460" s="14">
        <f>WEEKNUM(Tableau1[[#This Row],[Date ]])</f>
        <v>0</v>
      </c>
      <c r="D460" s="14">
        <f>Tableau1[[#This Row],[Colonne1]]-1</f>
        <v>-1</v>
      </c>
      <c r="E460" s="14" t="str">
        <f>_xlfn.CONCAT("0",Tableau1[[#This Row],[N° Semaine]])</f>
        <v>0-1</v>
      </c>
      <c r="F460" s="14" t="str">
        <f>_xlfn.CONCAT("S",Tableau1[[#This Row],[Colonne2]])</f>
        <v>S0-1</v>
      </c>
      <c r="G460" t="str">
        <f>TEXT(Tableau1[[#This Row],[Date ]],"mmmm")</f>
        <v>janvier</v>
      </c>
      <c r="K460" s="14">
        <f t="shared" si="7"/>
        <v>0</v>
      </c>
      <c r="L460" t="str">
        <f>CONCATENATE(Tableau1[[#This Row],[Usine]],"-",Tableau1[[#This Row],[Semaine ]])</f>
        <v>-S0-1</v>
      </c>
    </row>
    <row r="461" spans="1:12" x14ac:dyDescent="0.3">
      <c r="A461" s="1"/>
      <c r="B461" s="15"/>
      <c r="C461" s="14">
        <f>WEEKNUM(Tableau1[[#This Row],[Date ]])</f>
        <v>0</v>
      </c>
      <c r="D461" s="14">
        <f>Tableau1[[#This Row],[Colonne1]]-1</f>
        <v>-1</v>
      </c>
      <c r="E461" s="14" t="str">
        <f>_xlfn.CONCAT("0",Tableau1[[#This Row],[N° Semaine]])</f>
        <v>0-1</v>
      </c>
      <c r="F461" s="14" t="str">
        <f>_xlfn.CONCAT("S",Tableau1[[#This Row],[Colonne2]])</f>
        <v>S0-1</v>
      </c>
      <c r="G461" t="str">
        <f>TEXT(Tableau1[[#This Row],[Date ]],"mmmm")</f>
        <v>janvier</v>
      </c>
      <c r="K461" s="14">
        <f t="shared" si="7"/>
        <v>0</v>
      </c>
      <c r="L461" t="str">
        <f>CONCATENATE(Tableau1[[#This Row],[Usine]],"-",Tableau1[[#This Row],[Semaine ]])</f>
        <v>-S0-1</v>
      </c>
    </row>
    <row r="462" spans="1:12" x14ac:dyDescent="0.3">
      <c r="A462" s="1"/>
      <c r="B462" s="15"/>
      <c r="C462" s="14">
        <f>WEEKNUM(Tableau1[[#This Row],[Date ]])</f>
        <v>0</v>
      </c>
      <c r="D462" s="14">
        <f>Tableau1[[#This Row],[Colonne1]]-1</f>
        <v>-1</v>
      </c>
      <c r="E462" s="14" t="str">
        <f>_xlfn.CONCAT("0",Tableau1[[#This Row],[N° Semaine]])</f>
        <v>0-1</v>
      </c>
      <c r="F462" s="14" t="str">
        <f>_xlfn.CONCAT("S",Tableau1[[#This Row],[Colonne2]])</f>
        <v>S0-1</v>
      </c>
      <c r="G462" t="str">
        <f>TEXT(Tableau1[[#This Row],[Date ]],"mmmm")</f>
        <v>janvier</v>
      </c>
      <c r="K462" s="14">
        <f t="shared" si="7"/>
        <v>0</v>
      </c>
      <c r="L462" t="str">
        <f>CONCATENATE(Tableau1[[#This Row],[Usine]],"-",Tableau1[[#This Row],[Semaine ]])</f>
        <v>-S0-1</v>
      </c>
    </row>
    <row r="463" spans="1:12" x14ac:dyDescent="0.3">
      <c r="A463" s="1"/>
      <c r="B463" s="15"/>
      <c r="C463" s="14">
        <f>WEEKNUM(Tableau1[[#This Row],[Date ]])</f>
        <v>0</v>
      </c>
      <c r="D463" s="14">
        <f>Tableau1[[#This Row],[Colonne1]]-1</f>
        <v>-1</v>
      </c>
      <c r="E463" s="14" t="str">
        <f>_xlfn.CONCAT("0",Tableau1[[#This Row],[N° Semaine]])</f>
        <v>0-1</v>
      </c>
      <c r="F463" s="14" t="str">
        <f>_xlfn.CONCAT("S",Tableau1[[#This Row],[Colonne2]])</f>
        <v>S0-1</v>
      </c>
      <c r="G463" t="str">
        <f>TEXT(Tableau1[[#This Row],[Date ]],"mmmm")</f>
        <v>janvier</v>
      </c>
      <c r="K463" s="14">
        <f t="shared" si="7"/>
        <v>0</v>
      </c>
      <c r="L463" t="str">
        <f>CONCATENATE(Tableau1[[#This Row],[Usine]],"-",Tableau1[[#This Row],[Semaine ]])</f>
        <v>-S0-1</v>
      </c>
    </row>
    <row r="464" spans="1:12" x14ac:dyDescent="0.3">
      <c r="A464" s="1"/>
      <c r="B464" s="15"/>
      <c r="C464" s="14">
        <f>WEEKNUM(Tableau1[[#This Row],[Date ]])</f>
        <v>0</v>
      </c>
      <c r="D464" s="14">
        <f>Tableau1[[#This Row],[Colonne1]]-1</f>
        <v>-1</v>
      </c>
      <c r="E464" s="14" t="str">
        <f>_xlfn.CONCAT("0",Tableau1[[#This Row],[N° Semaine]])</f>
        <v>0-1</v>
      </c>
      <c r="F464" s="14" t="str">
        <f>_xlfn.CONCAT("S",Tableau1[[#This Row],[Colonne2]])</f>
        <v>S0-1</v>
      </c>
      <c r="G464" t="str">
        <f>TEXT(Tableau1[[#This Row],[Date ]],"mmmm")</f>
        <v>janvier</v>
      </c>
      <c r="K464" s="14">
        <f t="shared" si="7"/>
        <v>0</v>
      </c>
      <c r="L464" t="str">
        <f>CONCATENATE(Tableau1[[#This Row],[Usine]],"-",Tableau1[[#This Row],[Semaine ]])</f>
        <v>-S0-1</v>
      </c>
    </row>
    <row r="465" spans="1:12" x14ac:dyDescent="0.3">
      <c r="A465" s="1"/>
      <c r="B465" s="15"/>
      <c r="C465" s="14">
        <f>WEEKNUM(Tableau1[[#This Row],[Date ]])</f>
        <v>0</v>
      </c>
      <c r="D465" s="14">
        <f>Tableau1[[#This Row],[Colonne1]]-1</f>
        <v>-1</v>
      </c>
      <c r="E465" s="14" t="str">
        <f>_xlfn.CONCAT("0",Tableau1[[#This Row],[N° Semaine]])</f>
        <v>0-1</v>
      </c>
      <c r="F465" s="14" t="str">
        <f>_xlfn.CONCAT("S",Tableau1[[#This Row],[Colonne2]])</f>
        <v>S0-1</v>
      </c>
      <c r="G465" t="str">
        <f>TEXT(Tableau1[[#This Row],[Date ]],"mmmm")</f>
        <v>janvier</v>
      </c>
      <c r="K465" s="14">
        <f t="shared" si="7"/>
        <v>0</v>
      </c>
      <c r="L465" t="str">
        <f>CONCATENATE(Tableau1[[#This Row],[Usine]],"-",Tableau1[[#This Row],[Semaine ]])</f>
        <v>-S0-1</v>
      </c>
    </row>
    <row r="466" spans="1:12" x14ac:dyDescent="0.3">
      <c r="A466" s="1"/>
      <c r="B466" s="15"/>
      <c r="C466" s="14">
        <f>WEEKNUM(Tableau1[[#This Row],[Date ]])</f>
        <v>0</v>
      </c>
      <c r="D466" s="14">
        <f>Tableau1[[#This Row],[Colonne1]]-1</f>
        <v>-1</v>
      </c>
      <c r="E466" s="14" t="str">
        <f>_xlfn.CONCAT("0",Tableau1[[#This Row],[N° Semaine]])</f>
        <v>0-1</v>
      </c>
      <c r="F466" s="14" t="str">
        <f>_xlfn.CONCAT("S",Tableau1[[#This Row],[Colonne2]])</f>
        <v>S0-1</v>
      </c>
      <c r="G466" t="str">
        <f>TEXT(Tableau1[[#This Row],[Date ]],"mmmm")</f>
        <v>janvier</v>
      </c>
      <c r="K466" s="14">
        <f t="shared" si="7"/>
        <v>0</v>
      </c>
      <c r="L466" t="str">
        <f>CONCATENATE(Tableau1[[#This Row],[Usine]],"-",Tableau1[[#This Row],[Semaine ]])</f>
        <v>-S0-1</v>
      </c>
    </row>
    <row r="467" spans="1:12" x14ac:dyDescent="0.3">
      <c r="A467" s="1"/>
      <c r="B467" s="15"/>
      <c r="C467" s="14">
        <f>WEEKNUM(Tableau1[[#This Row],[Date ]])</f>
        <v>0</v>
      </c>
      <c r="D467" s="14">
        <f>Tableau1[[#This Row],[Colonne1]]-1</f>
        <v>-1</v>
      </c>
      <c r="E467" s="14" t="str">
        <f>_xlfn.CONCAT("0",Tableau1[[#This Row],[N° Semaine]])</f>
        <v>0-1</v>
      </c>
      <c r="F467" s="14" t="str">
        <f>_xlfn.CONCAT("S",Tableau1[[#This Row],[Colonne2]])</f>
        <v>S0-1</v>
      </c>
      <c r="G467" t="str">
        <f>TEXT(Tableau1[[#This Row],[Date ]],"mmmm")</f>
        <v>janvier</v>
      </c>
      <c r="K467" s="14">
        <f t="shared" si="7"/>
        <v>0</v>
      </c>
      <c r="L467" t="str">
        <f>CONCATENATE(Tableau1[[#This Row],[Usine]],"-",Tableau1[[#This Row],[Semaine ]])</f>
        <v>-S0-1</v>
      </c>
    </row>
    <row r="468" spans="1:12" x14ac:dyDescent="0.3">
      <c r="A468" s="1"/>
      <c r="B468" s="15"/>
      <c r="C468" s="14">
        <f>WEEKNUM(Tableau1[[#This Row],[Date ]])</f>
        <v>0</v>
      </c>
      <c r="D468" s="14">
        <f>Tableau1[[#This Row],[Colonne1]]-1</f>
        <v>-1</v>
      </c>
      <c r="E468" s="14" t="str">
        <f>_xlfn.CONCAT("0",Tableau1[[#This Row],[N° Semaine]])</f>
        <v>0-1</v>
      </c>
      <c r="F468" s="14" t="str">
        <f>_xlfn.CONCAT("S",Tableau1[[#This Row],[Colonne2]])</f>
        <v>S0-1</v>
      </c>
      <c r="G468" t="str">
        <f>TEXT(Tableau1[[#This Row],[Date ]],"mmmm")</f>
        <v>janvier</v>
      </c>
      <c r="K468" s="14">
        <f t="shared" si="7"/>
        <v>0</v>
      </c>
      <c r="L468" t="str">
        <f>CONCATENATE(Tableau1[[#This Row],[Usine]],"-",Tableau1[[#This Row],[Semaine ]])</f>
        <v>-S0-1</v>
      </c>
    </row>
    <row r="469" spans="1:12" x14ac:dyDescent="0.3">
      <c r="A469" s="1"/>
      <c r="B469" s="15"/>
      <c r="C469" s="14">
        <f>WEEKNUM(Tableau1[[#This Row],[Date ]])</f>
        <v>0</v>
      </c>
      <c r="D469" s="14">
        <f>Tableau1[[#This Row],[Colonne1]]-1</f>
        <v>-1</v>
      </c>
      <c r="E469" s="14" t="str">
        <f>_xlfn.CONCAT("0",Tableau1[[#This Row],[N° Semaine]])</f>
        <v>0-1</v>
      </c>
      <c r="F469" s="14" t="str">
        <f>_xlfn.CONCAT("S",Tableau1[[#This Row],[Colonne2]])</f>
        <v>S0-1</v>
      </c>
      <c r="G469" t="str">
        <f>TEXT(Tableau1[[#This Row],[Date ]],"mmmm")</f>
        <v>janvier</v>
      </c>
      <c r="K469" s="14">
        <f t="shared" si="7"/>
        <v>0</v>
      </c>
      <c r="L469" t="str">
        <f>CONCATENATE(Tableau1[[#This Row],[Usine]],"-",Tableau1[[#This Row],[Semaine ]])</f>
        <v>-S0-1</v>
      </c>
    </row>
    <row r="470" spans="1:12" x14ac:dyDescent="0.3">
      <c r="A470" s="1"/>
      <c r="B470" s="15"/>
      <c r="C470" s="14">
        <f>WEEKNUM(Tableau1[[#This Row],[Date ]])</f>
        <v>0</v>
      </c>
      <c r="D470" s="14">
        <f>Tableau1[[#This Row],[Colonne1]]-1</f>
        <v>-1</v>
      </c>
      <c r="E470" s="14" t="str">
        <f>_xlfn.CONCAT("0",Tableau1[[#This Row],[N° Semaine]])</f>
        <v>0-1</v>
      </c>
      <c r="F470" s="14" t="str">
        <f>_xlfn.CONCAT("S",Tableau1[[#This Row],[Colonne2]])</f>
        <v>S0-1</v>
      </c>
      <c r="G470" t="str">
        <f>TEXT(Tableau1[[#This Row],[Date ]],"mmmm")</f>
        <v>janvier</v>
      </c>
      <c r="K470" s="14">
        <f t="shared" si="7"/>
        <v>0</v>
      </c>
      <c r="L470" t="str">
        <f>CONCATENATE(Tableau1[[#This Row],[Usine]],"-",Tableau1[[#This Row],[Semaine ]])</f>
        <v>-S0-1</v>
      </c>
    </row>
    <row r="471" spans="1:12" x14ac:dyDescent="0.3">
      <c r="A471" s="1"/>
      <c r="B471" s="15"/>
      <c r="C471" s="14">
        <f>WEEKNUM(Tableau1[[#This Row],[Date ]])</f>
        <v>0</v>
      </c>
      <c r="D471" s="14">
        <f>Tableau1[[#This Row],[Colonne1]]-1</f>
        <v>-1</v>
      </c>
      <c r="E471" s="14" t="str">
        <f>_xlfn.CONCAT("0",Tableau1[[#This Row],[N° Semaine]])</f>
        <v>0-1</v>
      </c>
      <c r="F471" s="14" t="str">
        <f>_xlfn.CONCAT("S",Tableau1[[#This Row],[Colonne2]])</f>
        <v>S0-1</v>
      </c>
      <c r="G471" t="str">
        <f>TEXT(Tableau1[[#This Row],[Date ]],"mmmm")</f>
        <v>janvier</v>
      </c>
      <c r="K471" s="14">
        <f t="shared" si="7"/>
        <v>0</v>
      </c>
      <c r="L471" t="str">
        <f>CONCATENATE(Tableau1[[#This Row],[Usine]],"-",Tableau1[[#This Row],[Semaine ]])</f>
        <v>-S0-1</v>
      </c>
    </row>
    <row r="472" spans="1:12" x14ac:dyDescent="0.3">
      <c r="A472" s="1"/>
      <c r="B472" s="15"/>
      <c r="C472" s="14">
        <f>WEEKNUM(Tableau1[[#This Row],[Date ]])</f>
        <v>0</v>
      </c>
      <c r="D472" s="14">
        <f>Tableau1[[#This Row],[Colonne1]]-1</f>
        <v>-1</v>
      </c>
      <c r="E472" s="14" t="str">
        <f>_xlfn.CONCAT("0",Tableau1[[#This Row],[N° Semaine]])</f>
        <v>0-1</v>
      </c>
      <c r="F472" s="14" t="str">
        <f>_xlfn.CONCAT("S",Tableau1[[#This Row],[Colonne2]])</f>
        <v>S0-1</v>
      </c>
      <c r="G472" t="str">
        <f>TEXT(Tableau1[[#This Row],[Date ]],"mmmm")</f>
        <v>janvier</v>
      </c>
      <c r="K472" s="14">
        <f t="shared" si="7"/>
        <v>0</v>
      </c>
      <c r="L472" t="str">
        <f>CONCATENATE(Tableau1[[#This Row],[Usine]],"-",Tableau1[[#This Row],[Semaine ]])</f>
        <v>-S0-1</v>
      </c>
    </row>
    <row r="473" spans="1:12" x14ac:dyDescent="0.3">
      <c r="A473" s="1"/>
      <c r="B473" s="15"/>
      <c r="C473" s="14">
        <f>WEEKNUM(Tableau1[[#This Row],[Date ]])</f>
        <v>0</v>
      </c>
      <c r="D473" s="14">
        <f>Tableau1[[#This Row],[Colonne1]]-1</f>
        <v>-1</v>
      </c>
      <c r="E473" s="14" t="str">
        <f>_xlfn.CONCAT("0",Tableau1[[#This Row],[N° Semaine]])</f>
        <v>0-1</v>
      </c>
      <c r="F473" s="14" t="str">
        <f>_xlfn.CONCAT("S",Tableau1[[#This Row],[Colonne2]])</f>
        <v>S0-1</v>
      </c>
      <c r="G473" t="str">
        <f>TEXT(Tableau1[[#This Row],[Date ]],"mmmm")</f>
        <v>janvier</v>
      </c>
      <c r="K473" s="14">
        <f t="shared" si="7"/>
        <v>0</v>
      </c>
      <c r="L473" t="str">
        <f>CONCATENATE(Tableau1[[#This Row],[Usine]],"-",Tableau1[[#This Row],[Semaine ]])</f>
        <v>-S0-1</v>
      </c>
    </row>
    <row r="474" spans="1:12" x14ac:dyDescent="0.3">
      <c r="A474" s="1"/>
      <c r="B474" s="15"/>
      <c r="C474" s="14">
        <f>WEEKNUM(Tableau1[[#This Row],[Date ]])</f>
        <v>0</v>
      </c>
      <c r="D474" s="14">
        <f>Tableau1[[#This Row],[Colonne1]]-1</f>
        <v>-1</v>
      </c>
      <c r="E474" s="14" t="str">
        <f>_xlfn.CONCAT("0",Tableau1[[#This Row],[N° Semaine]])</f>
        <v>0-1</v>
      </c>
      <c r="F474" s="14" t="str">
        <f>_xlfn.CONCAT("S",Tableau1[[#This Row],[Colonne2]])</f>
        <v>S0-1</v>
      </c>
      <c r="G474" t="str">
        <f>TEXT(Tableau1[[#This Row],[Date ]],"mmmm")</f>
        <v>janvier</v>
      </c>
      <c r="K474" s="14">
        <f t="shared" si="7"/>
        <v>0</v>
      </c>
      <c r="L474" t="str">
        <f>CONCATENATE(Tableau1[[#This Row],[Usine]],"-",Tableau1[[#This Row],[Semaine ]])</f>
        <v>-S0-1</v>
      </c>
    </row>
    <row r="475" spans="1:12" x14ac:dyDescent="0.3">
      <c r="A475" s="1"/>
      <c r="B475" s="15"/>
      <c r="C475" s="14">
        <f>WEEKNUM(Tableau1[[#This Row],[Date ]])</f>
        <v>0</v>
      </c>
      <c r="D475" s="14">
        <f>Tableau1[[#This Row],[Colonne1]]-1</f>
        <v>-1</v>
      </c>
      <c r="E475" s="14" t="str">
        <f>_xlfn.CONCAT("0",Tableau1[[#This Row],[N° Semaine]])</f>
        <v>0-1</v>
      </c>
      <c r="F475" s="14" t="str">
        <f>_xlfn.CONCAT("S",Tableau1[[#This Row],[Colonne2]])</f>
        <v>S0-1</v>
      </c>
      <c r="G475" t="str">
        <f>TEXT(Tableau1[[#This Row],[Date ]],"mmmm")</f>
        <v>janvier</v>
      </c>
      <c r="K475" s="14">
        <f t="shared" si="7"/>
        <v>0</v>
      </c>
      <c r="L475" t="str">
        <f>CONCATENATE(Tableau1[[#This Row],[Usine]],"-",Tableau1[[#This Row],[Semaine ]])</f>
        <v>-S0-1</v>
      </c>
    </row>
    <row r="476" spans="1:12" x14ac:dyDescent="0.3">
      <c r="A476" s="1"/>
      <c r="B476" s="15"/>
      <c r="C476" s="14">
        <f>WEEKNUM(Tableau1[[#This Row],[Date ]])</f>
        <v>0</v>
      </c>
      <c r="D476" s="14">
        <f>Tableau1[[#This Row],[Colonne1]]-1</f>
        <v>-1</v>
      </c>
      <c r="E476" s="14" t="str">
        <f>_xlfn.CONCAT("0",Tableau1[[#This Row],[N° Semaine]])</f>
        <v>0-1</v>
      </c>
      <c r="F476" s="14" t="str">
        <f>_xlfn.CONCAT("S",Tableau1[[#This Row],[Colonne2]])</f>
        <v>S0-1</v>
      </c>
      <c r="G476" t="str">
        <f>TEXT(Tableau1[[#This Row],[Date ]],"mmmm")</f>
        <v>janvier</v>
      </c>
      <c r="K476" s="14">
        <f t="shared" si="7"/>
        <v>0</v>
      </c>
      <c r="L476" t="str">
        <f>CONCATENATE(Tableau1[[#This Row],[Usine]],"-",Tableau1[[#This Row],[Semaine ]])</f>
        <v>-S0-1</v>
      </c>
    </row>
    <row r="477" spans="1:12" x14ac:dyDescent="0.3">
      <c r="A477" s="1"/>
      <c r="B477" s="15"/>
      <c r="C477" s="14">
        <f>WEEKNUM(Tableau1[[#This Row],[Date ]])</f>
        <v>0</v>
      </c>
      <c r="D477" s="14">
        <f>Tableau1[[#This Row],[Colonne1]]-1</f>
        <v>-1</v>
      </c>
      <c r="E477" s="14" t="str">
        <f>_xlfn.CONCAT("0",Tableau1[[#This Row],[N° Semaine]])</f>
        <v>0-1</v>
      </c>
      <c r="F477" s="14" t="str">
        <f>_xlfn.CONCAT("S",Tableau1[[#This Row],[Colonne2]])</f>
        <v>S0-1</v>
      </c>
      <c r="G477" t="str">
        <f>TEXT(Tableau1[[#This Row],[Date ]],"mmmm")</f>
        <v>janvier</v>
      </c>
      <c r="K477" s="14">
        <f t="shared" si="7"/>
        <v>0</v>
      </c>
      <c r="L477" t="str">
        <f>CONCATENATE(Tableau1[[#This Row],[Usine]],"-",Tableau1[[#This Row],[Semaine ]])</f>
        <v>-S0-1</v>
      </c>
    </row>
    <row r="478" spans="1:12" x14ac:dyDescent="0.3">
      <c r="A478" s="1"/>
      <c r="B478" s="15"/>
      <c r="C478" s="14">
        <f>WEEKNUM(Tableau1[[#This Row],[Date ]])</f>
        <v>0</v>
      </c>
      <c r="D478" s="14">
        <f>Tableau1[[#This Row],[Colonne1]]-1</f>
        <v>-1</v>
      </c>
      <c r="E478" s="14" t="str">
        <f>_xlfn.CONCAT("0",Tableau1[[#This Row],[N° Semaine]])</f>
        <v>0-1</v>
      </c>
      <c r="F478" s="14" t="str">
        <f>_xlfn.CONCAT("S",Tableau1[[#This Row],[Colonne2]])</f>
        <v>S0-1</v>
      </c>
      <c r="G478" t="str">
        <f>TEXT(Tableau1[[#This Row],[Date ]],"mmmm")</f>
        <v>janvier</v>
      </c>
      <c r="K478" s="14">
        <f t="shared" si="7"/>
        <v>0</v>
      </c>
      <c r="L478" t="str">
        <f>CONCATENATE(Tableau1[[#This Row],[Usine]],"-",Tableau1[[#This Row],[Semaine ]])</f>
        <v>-S0-1</v>
      </c>
    </row>
    <row r="479" spans="1:12" x14ac:dyDescent="0.3">
      <c r="A479" s="1"/>
      <c r="B479" s="15"/>
      <c r="C479" s="14">
        <f>WEEKNUM(Tableau1[[#This Row],[Date ]])</f>
        <v>0</v>
      </c>
      <c r="D479" s="14">
        <f>Tableau1[[#This Row],[Colonne1]]-1</f>
        <v>-1</v>
      </c>
      <c r="E479" s="14" t="str">
        <f>_xlfn.CONCAT("0",Tableau1[[#This Row],[N° Semaine]])</f>
        <v>0-1</v>
      </c>
      <c r="F479" s="14" t="str">
        <f>_xlfn.CONCAT("S",Tableau1[[#This Row],[Colonne2]])</f>
        <v>S0-1</v>
      </c>
      <c r="G479" t="str">
        <f>TEXT(Tableau1[[#This Row],[Date ]],"mmmm")</f>
        <v>janvier</v>
      </c>
      <c r="K479" s="14">
        <f t="shared" si="7"/>
        <v>0</v>
      </c>
      <c r="L479" t="str">
        <f>CONCATENATE(Tableau1[[#This Row],[Usine]],"-",Tableau1[[#This Row],[Semaine ]])</f>
        <v>-S0-1</v>
      </c>
    </row>
    <row r="480" spans="1:12" x14ac:dyDescent="0.3">
      <c r="A480" s="1"/>
      <c r="B480" s="15"/>
      <c r="C480" s="14">
        <f>WEEKNUM(Tableau1[[#This Row],[Date ]])</f>
        <v>0</v>
      </c>
      <c r="D480" s="14">
        <f>Tableau1[[#This Row],[Colonne1]]-1</f>
        <v>-1</v>
      </c>
      <c r="E480" s="14" t="str">
        <f>_xlfn.CONCAT("0",Tableau1[[#This Row],[N° Semaine]])</f>
        <v>0-1</v>
      </c>
      <c r="F480" s="14" t="str">
        <f>_xlfn.CONCAT("S",Tableau1[[#This Row],[Colonne2]])</f>
        <v>S0-1</v>
      </c>
      <c r="G480" t="str">
        <f>TEXT(Tableau1[[#This Row],[Date ]],"mmmm")</f>
        <v>janvier</v>
      </c>
      <c r="K480" s="14">
        <f t="shared" si="7"/>
        <v>0</v>
      </c>
      <c r="L480" t="str">
        <f>CONCATENATE(Tableau1[[#This Row],[Usine]],"-",Tableau1[[#This Row],[Semaine ]])</f>
        <v>-S0-1</v>
      </c>
    </row>
    <row r="481" spans="1:12" x14ac:dyDescent="0.3">
      <c r="A481" s="1"/>
      <c r="B481" s="15"/>
      <c r="C481" s="14">
        <f>WEEKNUM(Tableau1[[#This Row],[Date ]])</f>
        <v>0</v>
      </c>
      <c r="D481" s="14">
        <f>Tableau1[[#This Row],[Colonne1]]-1</f>
        <v>-1</v>
      </c>
      <c r="E481" s="14" t="str">
        <f>_xlfn.CONCAT("0",Tableau1[[#This Row],[N° Semaine]])</f>
        <v>0-1</v>
      </c>
      <c r="F481" s="14" t="str">
        <f>_xlfn.CONCAT("S",Tableau1[[#This Row],[Colonne2]])</f>
        <v>S0-1</v>
      </c>
      <c r="G481" t="str">
        <f>TEXT(Tableau1[[#This Row],[Date ]],"mmmm")</f>
        <v>janvier</v>
      </c>
      <c r="K481" s="14">
        <f t="shared" si="7"/>
        <v>0</v>
      </c>
      <c r="L481" t="str">
        <f>CONCATENATE(Tableau1[[#This Row],[Usine]],"-",Tableau1[[#This Row],[Semaine ]])</f>
        <v>-S0-1</v>
      </c>
    </row>
    <row r="482" spans="1:12" x14ac:dyDescent="0.3">
      <c r="A482" s="1"/>
      <c r="B482" s="15"/>
      <c r="C482" s="14">
        <f>WEEKNUM(Tableau1[[#This Row],[Date ]])</f>
        <v>0</v>
      </c>
      <c r="D482" s="14">
        <f>Tableau1[[#This Row],[Colonne1]]-1</f>
        <v>-1</v>
      </c>
      <c r="E482" s="14" t="str">
        <f>_xlfn.CONCAT("0",Tableau1[[#This Row],[N° Semaine]])</f>
        <v>0-1</v>
      </c>
      <c r="F482" s="14" t="str">
        <f>_xlfn.CONCAT("S",Tableau1[[#This Row],[Colonne2]])</f>
        <v>S0-1</v>
      </c>
      <c r="G482" t="str">
        <f>TEXT(Tableau1[[#This Row],[Date ]],"mmmm")</f>
        <v>janvier</v>
      </c>
      <c r="K482" s="14">
        <f t="shared" si="7"/>
        <v>0</v>
      </c>
      <c r="L482" t="str">
        <f>CONCATENATE(Tableau1[[#This Row],[Usine]],"-",Tableau1[[#This Row],[Semaine ]])</f>
        <v>-S0-1</v>
      </c>
    </row>
    <row r="483" spans="1:12" x14ac:dyDescent="0.3">
      <c r="A483" s="1"/>
      <c r="B483" s="15"/>
      <c r="C483" s="14">
        <f>WEEKNUM(Tableau1[[#This Row],[Date ]])</f>
        <v>0</v>
      </c>
      <c r="D483" s="14">
        <f>Tableau1[[#This Row],[Colonne1]]-1</f>
        <v>-1</v>
      </c>
      <c r="E483" s="14" t="str">
        <f>_xlfn.CONCAT("0",Tableau1[[#This Row],[N° Semaine]])</f>
        <v>0-1</v>
      </c>
      <c r="F483" s="14" t="str">
        <f>_xlfn.CONCAT("S",Tableau1[[#This Row],[Colonne2]])</f>
        <v>S0-1</v>
      </c>
      <c r="G483" t="str">
        <f>TEXT(Tableau1[[#This Row],[Date ]],"mmmm")</f>
        <v>janvier</v>
      </c>
      <c r="K483" s="14">
        <f t="shared" si="7"/>
        <v>0</v>
      </c>
      <c r="L483" t="str">
        <f>CONCATENATE(Tableau1[[#This Row],[Usine]],"-",Tableau1[[#This Row],[Semaine ]])</f>
        <v>-S0-1</v>
      </c>
    </row>
    <row r="484" spans="1:12" x14ac:dyDescent="0.3">
      <c r="A484" s="1"/>
      <c r="B484" s="15"/>
      <c r="C484" s="14">
        <f>WEEKNUM(Tableau1[[#This Row],[Date ]])</f>
        <v>0</v>
      </c>
      <c r="D484" s="14">
        <f>Tableau1[[#This Row],[Colonne1]]-1</f>
        <v>-1</v>
      </c>
      <c r="E484" s="14" t="str">
        <f>_xlfn.CONCAT("0",Tableau1[[#This Row],[N° Semaine]])</f>
        <v>0-1</v>
      </c>
      <c r="F484" s="14" t="str">
        <f>_xlfn.CONCAT("S",Tableau1[[#This Row],[Colonne2]])</f>
        <v>S0-1</v>
      </c>
      <c r="G484" t="str">
        <f>TEXT(Tableau1[[#This Row],[Date ]],"mmmm")</f>
        <v>janvier</v>
      </c>
      <c r="K484" s="14">
        <f t="shared" si="7"/>
        <v>0</v>
      </c>
      <c r="L484" t="str">
        <f>CONCATENATE(Tableau1[[#This Row],[Usine]],"-",Tableau1[[#This Row],[Semaine ]])</f>
        <v>-S0-1</v>
      </c>
    </row>
    <row r="485" spans="1:12" x14ac:dyDescent="0.3">
      <c r="A485" s="1"/>
      <c r="B485" s="15"/>
      <c r="C485" s="14">
        <f>WEEKNUM(Tableau1[[#This Row],[Date ]])</f>
        <v>0</v>
      </c>
      <c r="D485" s="14">
        <f>Tableau1[[#This Row],[Colonne1]]-1</f>
        <v>-1</v>
      </c>
      <c r="E485" s="14" t="str">
        <f>_xlfn.CONCAT("0",Tableau1[[#This Row],[N° Semaine]])</f>
        <v>0-1</v>
      </c>
      <c r="F485" s="14" t="str">
        <f>_xlfn.CONCAT("S",Tableau1[[#This Row],[Colonne2]])</f>
        <v>S0-1</v>
      </c>
      <c r="G485" t="str">
        <f>TEXT(Tableau1[[#This Row],[Date ]],"mmmm")</f>
        <v>janvier</v>
      </c>
      <c r="K485" s="14">
        <f t="shared" si="7"/>
        <v>0</v>
      </c>
      <c r="L485" t="str">
        <f>CONCATENATE(Tableau1[[#This Row],[Usine]],"-",Tableau1[[#This Row],[Semaine ]])</f>
        <v>-S0-1</v>
      </c>
    </row>
    <row r="486" spans="1:12" x14ac:dyDescent="0.3">
      <c r="A486" s="1"/>
      <c r="B486" s="15"/>
      <c r="C486" s="14">
        <f>WEEKNUM(Tableau1[[#This Row],[Date ]])</f>
        <v>0</v>
      </c>
      <c r="D486" s="14">
        <f>Tableau1[[#This Row],[Colonne1]]-1</f>
        <v>-1</v>
      </c>
      <c r="E486" s="14" t="str">
        <f>_xlfn.CONCAT("0",Tableau1[[#This Row],[N° Semaine]])</f>
        <v>0-1</v>
      </c>
      <c r="F486" s="14" t="str">
        <f>_xlfn.CONCAT("S",Tableau1[[#This Row],[Colonne2]])</f>
        <v>S0-1</v>
      </c>
      <c r="G486" t="str">
        <f>TEXT(Tableau1[[#This Row],[Date ]],"mmmm")</f>
        <v>janvier</v>
      </c>
      <c r="K486" s="14">
        <f t="shared" si="7"/>
        <v>0</v>
      </c>
      <c r="L486" t="str">
        <f>CONCATENATE(Tableau1[[#This Row],[Usine]],"-",Tableau1[[#This Row],[Semaine ]])</f>
        <v>-S0-1</v>
      </c>
    </row>
    <row r="487" spans="1:12" x14ac:dyDescent="0.3">
      <c r="A487" s="1"/>
      <c r="B487" s="15"/>
      <c r="C487" s="14">
        <f>WEEKNUM(Tableau1[[#This Row],[Date ]])</f>
        <v>0</v>
      </c>
      <c r="D487" s="14">
        <f>Tableau1[[#This Row],[Colonne1]]-1</f>
        <v>-1</v>
      </c>
      <c r="E487" s="14" t="str">
        <f>_xlfn.CONCAT("0",Tableau1[[#This Row],[N° Semaine]])</f>
        <v>0-1</v>
      </c>
      <c r="F487" s="14" t="str">
        <f>_xlfn.CONCAT("S",Tableau1[[#This Row],[Colonne2]])</f>
        <v>S0-1</v>
      </c>
      <c r="G487" t="str">
        <f>TEXT(Tableau1[[#This Row],[Date ]],"mmmm")</f>
        <v>janvier</v>
      </c>
      <c r="K487" s="14">
        <f t="shared" si="7"/>
        <v>0</v>
      </c>
      <c r="L487" t="str">
        <f>CONCATENATE(Tableau1[[#This Row],[Usine]],"-",Tableau1[[#This Row],[Semaine ]])</f>
        <v>-S0-1</v>
      </c>
    </row>
    <row r="488" spans="1:12" x14ac:dyDescent="0.3">
      <c r="A488" s="1"/>
      <c r="B488" s="15"/>
      <c r="C488" s="14">
        <f>WEEKNUM(Tableau1[[#This Row],[Date ]])</f>
        <v>0</v>
      </c>
      <c r="D488" s="14">
        <f>Tableau1[[#This Row],[Colonne1]]-1</f>
        <v>-1</v>
      </c>
      <c r="E488" s="14" t="str">
        <f>_xlfn.CONCAT("0",Tableau1[[#This Row],[N° Semaine]])</f>
        <v>0-1</v>
      </c>
      <c r="F488" s="14" t="str">
        <f>_xlfn.CONCAT("S",Tableau1[[#This Row],[Colonne2]])</f>
        <v>S0-1</v>
      </c>
      <c r="G488" t="str">
        <f>TEXT(Tableau1[[#This Row],[Date ]],"mmmm")</f>
        <v>janvier</v>
      </c>
      <c r="K488" s="14">
        <f t="shared" si="7"/>
        <v>0</v>
      </c>
      <c r="L488" t="str">
        <f>CONCATENATE(Tableau1[[#This Row],[Usine]],"-",Tableau1[[#This Row],[Semaine ]])</f>
        <v>-S0-1</v>
      </c>
    </row>
    <row r="489" spans="1:12" x14ac:dyDescent="0.3">
      <c r="A489" s="1"/>
      <c r="B489" s="15"/>
      <c r="C489" s="14">
        <f>WEEKNUM(Tableau1[[#This Row],[Date ]])</f>
        <v>0</v>
      </c>
      <c r="D489" s="14">
        <f>Tableau1[[#This Row],[Colonne1]]-1</f>
        <v>-1</v>
      </c>
      <c r="E489" s="14" t="str">
        <f>_xlfn.CONCAT("0",Tableau1[[#This Row],[N° Semaine]])</f>
        <v>0-1</v>
      </c>
      <c r="F489" s="14" t="str">
        <f>_xlfn.CONCAT("S",Tableau1[[#This Row],[Colonne2]])</f>
        <v>S0-1</v>
      </c>
      <c r="G489" t="str">
        <f>TEXT(Tableau1[[#This Row],[Date ]],"mmmm")</f>
        <v>janvier</v>
      </c>
      <c r="K489" s="14">
        <f t="shared" si="7"/>
        <v>0</v>
      </c>
      <c r="L489" t="str">
        <f>CONCATENATE(Tableau1[[#This Row],[Usine]],"-",Tableau1[[#This Row],[Semaine ]])</f>
        <v>-S0-1</v>
      </c>
    </row>
    <row r="490" spans="1:12" x14ac:dyDescent="0.3">
      <c r="A490" s="1"/>
      <c r="B490" s="15"/>
      <c r="C490" s="14">
        <f>WEEKNUM(Tableau1[[#This Row],[Date ]])</f>
        <v>0</v>
      </c>
      <c r="D490" s="14">
        <f>Tableau1[[#This Row],[Colonne1]]-1</f>
        <v>-1</v>
      </c>
      <c r="E490" s="14" t="str">
        <f>_xlfn.CONCAT("0",Tableau1[[#This Row],[N° Semaine]])</f>
        <v>0-1</v>
      </c>
      <c r="F490" s="14" t="str">
        <f>_xlfn.CONCAT("S",Tableau1[[#This Row],[Colonne2]])</f>
        <v>S0-1</v>
      </c>
      <c r="G490" t="str">
        <f>TEXT(Tableau1[[#This Row],[Date ]],"mmmm")</f>
        <v>janvier</v>
      </c>
      <c r="K490" s="14">
        <f t="shared" si="7"/>
        <v>0</v>
      </c>
      <c r="L490" t="str">
        <f>CONCATENATE(Tableau1[[#This Row],[Usine]],"-",Tableau1[[#This Row],[Semaine ]])</f>
        <v>-S0-1</v>
      </c>
    </row>
    <row r="491" spans="1:12" x14ac:dyDescent="0.3">
      <c r="A491" s="1"/>
      <c r="B491" s="15"/>
      <c r="C491" s="14">
        <f>WEEKNUM(Tableau1[[#This Row],[Date ]])</f>
        <v>0</v>
      </c>
      <c r="D491" s="14">
        <f>Tableau1[[#This Row],[Colonne1]]-1</f>
        <v>-1</v>
      </c>
      <c r="E491" s="14" t="str">
        <f>_xlfn.CONCAT("0",Tableau1[[#This Row],[N° Semaine]])</f>
        <v>0-1</v>
      </c>
      <c r="F491" s="14" t="str">
        <f>_xlfn.CONCAT("S",Tableau1[[#This Row],[Colonne2]])</f>
        <v>S0-1</v>
      </c>
      <c r="G491" t="str">
        <f>TEXT(Tableau1[[#This Row],[Date ]],"mmmm")</f>
        <v>janvier</v>
      </c>
      <c r="K491" s="14">
        <f t="shared" si="7"/>
        <v>0</v>
      </c>
      <c r="L491" t="str">
        <f>CONCATENATE(Tableau1[[#This Row],[Usine]],"-",Tableau1[[#This Row],[Semaine ]])</f>
        <v>-S0-1</v>
      </c>
    </row>
    <row r="492" spans="1:12" x14ac:dyDescent="0.3">
      <c r="A492" s="1"/>
      <c r="B492" s="15"/>
      <c r="C492" s="14">
        <f>WEEKNUM(Tableau1[[#This Row],[Date ]])</f>
        <v>0</v>
      </c>
      <c r="D492" s="14">
        <f>Tableau1[[#This Row],[Colonne1]]-1</f>
        <v>-1</v>
      </c>
      <c r="E492" s="14" t="str">
        <f>_xlfn.CONCAT("0",Tableau1[[#This Row],[N° Semaine]])</f>
        <v>0-1</v>
      </c>
      <c r="F492" s="14" t="str">
        <f>_xlfn.CONCAT("S",Tableau1[[#This Row],[Colonne2]])</f>
        <v>S0-1</v>
      </c>
      <c r="G492" t="str">
        <f>TEXT(Tableau1[[#This Row],[Date ]],"mmmm")</f>
        <v>janvier</v>
      </c>
      <c r="K492" s="14">
        <f t="shared" si="7"/>
        <v>0</v>
      </c>
      <c r="L492" t="str">
        <f>CONCATENATE(Tableau1[[#This Row],[Usine]],"-",Tableau1[[#This Row],[Semaine ]])</f>
        <v>-S0-1</v>
      </c>
    </row>
    <row r="493" spans="1:12" x14ac:dyDescent="0.3">
      <c r="A493" s="1"/>
      <c r="B493" s="15"/>
      <c r="C493" s="14">
        <f>WEEKNUM(Tableau1[[#This Row],[Date ]])</f>
        <v>0</v>
      </c>
      <c r="D493" s="14">
        <f>Tableau1[[#This Row],[Colonne1]]-1</f>
        <v>-1</v>
      </c>
      <c r="E493" s="14" t="str">
        <f>_xlfn.CONCAT("0",Tableau1[[#This Row],[N° Semaine]])</f>
        <v>0-1</v>
      </c>
      <c r="F493" s="14" t="str">
        <f>_xlfn.CONCAT("S",Tableau1[[#This Row],[Colonne2]])</f>
        <v>S0-1</v>
      </c>
      <c r="G493" t="str">
        <f>TEXT(Tableau1[[#This Row],[Date ]],"mmmm")</f>
        <v>janvier</v>
      </c>
      <c r="K493" s="14">
        <f t="shared" si="7"/>
        <v>0</v>
      </c>
      <c r="L493" t="str">
        <f>CONCATENATE(Tableau1[[#This Row],[Usine]],"-",Tableau1[[#This Row],[Semaine ]])</f>
        <v>-S0-1</v>
      </c>
    </row>
    <row r="494" spans="1:12" x14ac:dyDescent="0.3">
      <c r="A494" s="1"/>
      <c r="B494" s="15"/>
      <c r="C494" s="14">
        <f>WEEKNUM(Tableau1[[#This Row],[Date ]])</f>
        <v>0</v>
      </c>
      <c r="D494" s="14">
        <f>Tableau1[[#This Row],[Colonne1]]-1</f>
        <v>-1</v>
      </c>
      <c r="E494" s="14" t="str">
        <f>_xlfn.CONCAT("0",Tableau1[[#This Row],[N° Semaine]])</f>
        <v>0-1</v>
      </c>
      <c r="F494" s="14" t="str">
        <f>_xlfn.CONCAT("S",Tableau1[[#This Row],[Colonne2]])</f>
        <v>S0-1</v>
      </c>
      <c r="G494" t="str">
        <f>TEXT(Tableau1[[#This Row],[Date ]],"mmmm")</f>
        <v>janvier</v>
      </c>
      <c r="K494" s="14">
        <f t="shared" si="7"/>
        <v>0</v>
      </c>
      <c r="L494" t="str">
        <f>CONCATENATE(Tableau1[[#This Row],[Usine]],"-",Tableau1[[#This Row],[Semaine ]])</f>
        <v>-S0-1</v>
      </c>
    </row>
    <row r="495" spans="1:12" x14ac:dyDescent="0.3">
      <c r="A495" s="1"/>
      <c r="B495" s="15"/>
      <c r="C495" s="14">
        <f>WEEKNUM(Tableau1[[#This Row],[Date ]])</f>
        <v>0</v>
      </c>
      <c r="D495" s="14">
        <f>Tableau1[[#This Row],[Colonne1]]-1</f>
        <v>-1</v>
      </c>
      <c r="E495" s="14" t="str">
        <f>_xlfn.CONCAT("0",Tableau1[[#This Row],[N° Semaine]])</f>
        <v>0-1</v>
      </c>
      <c r="F495" s="14" t="str">
        <f>_xlfn.CONCAT("S",Tableau1[[#This Row],[Colonne2]])</f>
        <v>S0-1</v>
      </c>
      <c r="G495" t="str">
        <f>TEXT(Tableau1[[#This Row],[Date ]],"mmmm")</f>
        <v>janvier</v>
      </c>
      <c r="K495" s="14">
        <f t="shared" si="7"/>
        <v>0</v>
      </c>
      <c r="L495" t="str">
        <f>CONCATENATE(Tableau1[[#This Row],[Usine]],"-",Tableau1[[#This Row],[Semaine ]])</f>
        <v>-S0-1</v>
      </c>
    </row>
    <row r="496" spans="1:12" x14ac:dyDescent="0.3">
      <c r="A496" s="1"/>
      <c r="B496" s="15"/>
      <c r="C496" s="14">
        <f>WEEKNUM(Tableau1[[#This Row],[Date ]])</f>
        <v>0</v>
      </c>
      <c r="D496" s="14">
        <f>Tableau1[[#This Row],[Colonne1]]-1</f>
        <v>-1</v>
      </c>
      <c r="E496" s="14" t="str">
        <f>_xlfn.CONCAT("0",Tableau1[[#This Row],[N° Semaine]])</f>
        <v>0-1</v>
      </c>
      <c r="F496" s="14" t="str">
        <f>_xlfn.CONCAT("S",Tableau1[[#This Row],[Colonne2]])</f>
        <v>S0-1</v>
      </c>
      <c r="G496" t="str">
        <f>TEXT(Tableau1[[#This Row],[Date ]],"mmmm")</f>
        <v>janvier</v>
      </c>
      <c r="K496" s="14">
        <f t="shared" si="7"/>
        <v>0</v>
      </c>
      <c r="L496" t="str">
        <f>CONCATENATE(Tableau1[[#This Row],[Usine]],"-",Tableau1[[#This Row],[Semaine ]])</f>
        <v>-S0-1</v>
      </c>
    </row>
    <row r="497" spans="1:12" x14ac:dyDescent="0.3">
      <c r="A497" s="1"/>
      <c r="B497" s="15"/>
      <c r="C497" s="14">
        <f>WEEKNUM(Tableau1[[#This Row],[Date ]])</f>
        <v>0</v>
      </c>
      <c r="D497" s="14">
        <f>Tableau1[[#This Row],[Colonne1]]-1</f>
        <v>-1</v>
      </c>
      <c r="E497" s="14" t="str">
        <f>_xlfn.CONCAT("0",Tableau1[[#This Row],[N° Semaine]])</f>
        <v>0-1</v>
      </c>
      <c r="F497" s="14" t="str">
        <f>_xlfn.CONCAT("S",Tableau1[[#This Row],[Colonne2]])</f>
        <v>S0-1</v>
      </c>
      <c r="G497" t="str">
        <f>TEXT(Tableau1[[#This Row],[Date ]],"mmmm")</f>
        <v>janvier</v>
      </c>
      <c r="K497" s="14">
        <f t="shared" si="7"/>
        <v>0</v>
      </c>
      <c r="L497" t="str">
        <f>CONCATENATE(Tableau1[[#This Row],[Usine]],"-",Tableau1[[#This Row],[Semaine ]])</f>
        <v>-S0-1</v>
      </c>
    </row>
    <row r="498" spans="1:12" x14ac:dyDescent="0.3">
      <c r="A498" s="1"/>
      <c r="B498" s="15"/>
      <c r="C498" s="14">
        <f>WEEKNUM(Tableau1[[#This Row],[Date ]])</f>
        <v>0</v>
      </c>
      <c r="D498" s="14">
        <f>Tableau1[[#This Row],[Colonne1]]-1</f>
        <v>-1</v>
      </c>
      <c r="E498" s="14" t="str">
        <f>_xlfn.CONCAT("0",Tableau1[[#This Row],[N° Semaine]])</f>
        <v>0-1</v>
      </c>
      <c r="F498" s="14" t="str">
        <f>_xlfn.CONCAT("S",Tableau1[[#This Row],[Colonne2]])</f>
        <v>S0-1</v>
      </c>
      <c r="G498" t="str">
        <f>TEXT(Tableau1[[#This Row],[Date ]],"mmmm")</f>
        <v>janvier</v>
      </c>
      <c r="K498" s="14">
        <f t="shared" si="7"/>
        <v>0</v>
      </c>
      <c r="L498" t="str">
        <f>CONCATENATE(Tableau1[[#This Row],[Usine]],"-",Tableau1[[#This Row],[Semaine ]])</f>
        <v>-S0-1</v>
      </c>
    </row>
    <row r="499" spans="1:12" x14ac:dyDescent="0.3">
      <c r="A499" s="1"/>
      <c r="B499" s="15"/>
      <c r="C499" s="14">
        <f>WEEKNUM(Tableau1[[#This Row],[Date ]])</f>
        <v>0</v>
      </c>
      <c r="D499" s="14">
        <f>Tableau1[[#This Row],[Colonne1]]-1</f>
        <v>-1</v>
      </c>
      <c r="E499" s="14" t="str">
        <f>_xlfn.CONCAT("0",Tableau1[[#This Row],[N° Semaine]])</f>
        <v>0-1</v>
      </c>
      <c r="F499" s="14" t="str">
        <f>_xlfn.CONCAT("S",Tableau1[[#This Row],[Colonne2]])</f>
        <v>S0-1</v>
      </c>
      <c r="G499" t="str">
        <f>TEXT(Tableau1[[#This Row],[Date ]],"mmmm")</f>
        <v>janvier</v>
      </c>
      <c r="K499" s="14">
        <f t="shared" si="7"/>
        <v>0</v>
      </c>
      <c r="L499" t="str">
        <f>CONCATENATE(Tableau1[[#This Row],[Usine]],"-",Tableau1[[#This Row],[Semaine ]])</f>
        <v>-S0-1</v>
      </c>
    </row>
    <row r="500" spans="1:12" x14ac:dyDescent="0.3">
      <c r="A500" s="1"/>
      <c r="B500" s="15"/>
      <c r="C500" s="14">
        <f>WEEKNUM(Tableau1[[#This Row],[Date ]])</f>
        <v>0</v>
      </c>
      <c r="D500" s="14">
        <f>Tableau1[[#This Row],[Colonne1]]-1</f>
        <v>-1</v>
      </c>
      <c r="E500" s="14" t="str">
        <f>_xlfn.CONCAT("0",Tableau1[[#This Row],[N° Semaine]])</f>
        <v>0-1</v>
      </c>
      <c r="F500" s="14" t="str">
        <f>_xlfn.CONCAT("S",Tableau1[[#This Row],[Colonne2]])</f>
        <v>S0-1</v>
      </c>
      <c r="G500" t="str">
        <f>TEXT(Tableau1[[#This Row],[Date ]],"mmmm")</f>
        <v>janvier</v>
      </c>
      <c r="K500" s="14">
        <f t="shared" si="7"/>
        <v>0</v>
      </c>
      <c r="L500" t="str">
        <f>CONCATENATE(Tableau1[[#This Row],[Usine]],"-",Tableau1[[#This Row],[Semaine ]])</f>
        <v>-S0-1</v>
      </c>
    </row>
    <row r="501" spans="1:12" x14ac:dyDescent="0.3">
      <c r="A501" s="1"/>
      <c r="B501" s="15"/>
      <c r="C501" s="14">
        <f>WEEKNUM(Tableau1[[#This Row],[Date ]])</f>
        <v>0</v>
      </c>
      <c r="D501" s="14">
        <f>Tableau1[[#This Row],[Colonne1]]-1</f>
        <v>-1</v>
      </c>
      <c r="E501" s="14" t="str">
        <f>_xlfn.CONCAT("0",Tableau1[[#This Row],[N° Semaine]])</f>
        <v>0-1</v>
      </c>
      <c r="F501" s="14" t="str">
        <f>_xlfn.CONCAT("S",Tableau1[[#This Row],[Colonne2]])</f>
        <v>S0-1</v>
      </c>
      <c r="G501" t="str">
        <f>TEXT(Tableau1[[#This Row],[Date ]],"mmmm")</f>
        <v>janvier</v>
      </c>
      <c r="K501" s="14">
        <f t="shared" si="7"/>
        <v>0</v>
      </c>
      <c r="L501" t="str">
        <f>CONCATENATE(Tableau1[[#This Row],[Usine]],"-",Tableau1[[#This Row],[Semaine ]])</f>
        <v>-S0-1</v>
      </c>
    </row>
    <row r="502" spans="1:12" x14ac:dyDescent="0.3">
      <c r="A502" s="1"/>
      <c r="B502" s="15"/>
      <c r="C502" s="14">
        <f>WEEKNUM(Tableau1[[#This Row],[Date ]])</f>
        <v>0</v>
      </c>
      <c r="D502" s="14">
        <f>Tableau1[[#This Row],[Colonne1]]-1</f>
        <v>-1</v>
      </c>
      <c r="E502" s="14" t="str">
        <f>_xlfn.CONCAT("0",Tableau1[[#This Row],[N° Semaine]])</f>
        <v>0-1</v>
      </c>
      <c r="F502" s="14" t="str">
        <f>_xlfn.CONCAT("S",Tableau1[[#This Row],[Colonne2]])</f>
        <v>S0-1</v>
      </c>
      <c r="G502" t="str">
        <f>TEXT(Tableau1[[#This Row],[Date ]],"mmmm")</f>
        <v>janvier</v>
      </c>
      <c r="K502" s="14">
        <f t="shared" si="7"/>
        <v>0</v>
      </c>
      <c r="L502" t="str">
        <f>CONCATENATE(Tableau1[[#This Row],[Usine]],"-",Tableau1[[#This Row],[Semaine ]])</f>
        <v>-S0-1</v>
      </c>
    </row>
    <row r="503" spans="1:12" x14ac:dyDescent="0.3">
      <c r="A503" s="1"/>
      <c r="B503" s="15"/>
      <c r="C503" s="14">
        <f>WEEKNUM(Tableau1[[#This Row],[Date ]])</f>
        <v>0</v>
      </c>
      <c r="D503" s="14">
        <f>Tableau1[[#This Row],[Colonne1]]-1</f>
        <v>-1</v>
      </c>
      <c r="E503" s="14" t="str">
        <f>_xlfn.CONCAT("0",Tableau1[[#This Row],[N° Semaine]])</f>
        <v>0-1</v>
      </c>
      <c r="F503" s="14" t="str">
        <f>_xlfn.CONCAT("S",Tableau1[[#This Row],[Colonne2]])</f>
        <v>S0-1</v>
      </c>
      <c r="G503" t="str">
        <f>TEXT(Tableau1[[#This Row],[Date ]],"mmmm")</f>
        <v>janvier</v>
      </c>
      <c r="K503" s="14">
        <f t="shared" si="7"/>
        <v>0</v>
      </c>
      <c r="L503" t="str">
        <f>CONCATENATE(Tableau1[[#This Row],[Usine]],"-",Tableau1[[#This Row],[Semaine ]])</f>
        <v>-S0-1</v>
      </c>
    </row>
    <row r="504" spans="1:12" x14ac:dyDescent="0.3">
      <c r="A504" s="1"/>
      <c r="B504" s="15"/>
      <c r="C504" s="14">
        <f>WEEKNUM(Tableau1[[#This Row],[Date ]])</f>
        <v>0</v>
      </c>
      <c r="D504" s="14">
        <f>Tableau1[[#This Row],[Colonne1]]-1</f>
        <v>-1</v>
      </c>
      <c r="E504" s="14" t="str">
        <f>_xlfn.CONCAT("0",Tableau1[[#This Row],[N° Semaine]])</f>
        <v>0-1</v>
      </c>
      <c r="F504" s="14" t="str">
        <f>_xlfn.CONCAT("S",Tableau1[[#This Row],[Colonne2]])</f>
        <v>S0-1</v>
      </c>
      <c r="G504" t="str">
        <f>TEXT(Tableau1[[#This Row],[Date ]],"mmmm")</f>
        <v>janvier</v>
      </c>
      <c r="K504" s="14">
        <f t="shared" si="7"/>
        <v>0</v>
      </c>
      <c r="L504" t="str">
        <f>CONCATENATE(Tableau1[[#This Row],[Usine]],"-",Tableau1[[#This Row],[Semaine ]])</f>
        <v>-S0-1</v>
      </c>
    </row>
    <row r="505" spans="1:12" x14ac:dyDescent="0.3">
      <c r="A505" s="1"/>
      <c r="B505" s="15"/>
      <c r="C505" s="14">
        <f>WEEKNUM(Tableau1[[#This Row],[Date ]])</f>
        <v>0</v>
      </c>
      <c r="D505" s="14">
        <f>Tableau1[[#This Row],[Colonne1]]-1</f>
        <v>-1</v>
      </c>
      <c r="E505" s="14" t="str">
        <f>_xlfn.CONCAT("0",Tableau1[[#This Row],[N° Semaine]])</f>
        <v>0-1</v>
      </c>
      <c r="F505" s="14" t="str">
        <f>_xlfn.CONCAT("S",Tableau1[[#This Row],[Colonne2]])</f>
        <v>S0-1</v>
      </c>
      <c r="G505" t="str">
        <f>TEXT(Tableau1[[#This Row],[Date ]],"mmmm")</f>
        <v>janvier</v>
      </c>
      <c r="K505" s="14">
        <f t="shared" si="7"/>
        <v>0</v>
      </c>
      <c r="L505" t="str">
        <f>CONCATENATE(Tableau1[[#This Row],[Usine]],"-",Tableau1[[#This Row],[Semaine ]])</f>
        <v>-S0-1</v>
      </c>
    </row>
    <row r="506" spans="1:12" x14ac:dyDescent="0.3">
      <c r="A506" s="1"/>
      <c r="B506" s="15"/>
      <c r="C506" s="14">
        <f>WEEKNUM(Tableau1[[#This Row],[Date ]])</f>
        <v>0</v>
      </c>
      <c r="D506" s="14">
        <f>Tableau1[[#This Row],[Colonne1]]-1</f>
        <v>-1</v>
      </c>
      <c r="E506" s="14" t="str">
        <f>_xlfn.CONCAT("0",Tableau1[[#This Row],[N° Semaine]])</f>
        <v>0-1</v>
      </c>
      <c r="F506" s="14" t="str">
        <f>_xlfn.CONCAT("S",Tableau1[[#This Row],[Colonne2]])</f>
        <v>S0-1</v>
      </c>
      <c r="G506" t="str">
        <f>TEXT(Tableau1[[#This Row],[Date ]],"mmmm")</f>
        <v>janvier</v>
      </c>
      <c r="K506" s="14">
        <f t="shared" si="7"/>
        <v>0</v>
      </c>
      <c r="L506" t="str">
        <f>CONCATENATE(Tableau1[[#This Row],[Usine]],"-",Tableau1[[#This Row],[Semaine ]])</f>
        <v>-S0-1</v>
      </c>
    </row>
    <row r="507" spans="1:12" x14ac:dyDescent="0.3">
      <c r="A507" s="1"/>
      <c r="B507" s="15"/>
      <c r="C507" s="14">
        <f>WEEKNUM(Tableau1[[#This Row],[Date ]])</f>
        <v>0</v>
      </c>
      <c r="D507" s="14">
        <f>Tableau1[[#This Row],[Colonne1]]-1</f>
        <v>-1</v>
      </c>
      <c r="E507" s="14" t="str">
        <f>_xlfn.CONCAT("0",Tableau1[[#This Row],[N° Semaine]])</f>
        <v>0-1</v>
      </c>
      <c r="F507" s="14" t="str">
        <f>_xlfn.CONCAT("S",Tableau1[[#This Row],[Colonne2]])</f>
        <v>S0-1</v>
      </c>
      <c r="G507" t="str">
        <f>TEXT(Tableau1[[#This Row],[Date ]],"mmmm")</f>
        <v>janvier</v>
      </c>
      <c r="K507" s="14">
        <f t="shared" si="7"/>
        <v>0</v>
      </c>
      <c r="L507" t="str">
        <f>CONCATENATE(Tableau1[[#This Row],[Usine]],"-",Tableau1[[#This Row],[Semaine ]])</f>
        <v>-S0-1</v>
      </c>
    </row>
    <row r="508" spans="1:12" x14ac:dyDescent="0.3">
      <c r="A508" s="1"/>
      <c r="B508" s="15"/>
      <c r="C508" s="14">
        <f>WEEKNUM(Tableau1[[#This Row],[Date ]])</f>
        <v>0</v>
      </c>
      <c r="D508" s="14">
        <f>Tableau1[[#This Row],[Colonne1]]-1</f>
        <v>-1</v>
      </c>
      <c r="E508" s="14" t="str">
        <f>_xlfn.CONCAT("0",Tableau1[[#This Row],[N° Semaine]])</f>
        <v>0-1</v>
      </c>
      <c r="F508" s="14" t="str">
        <f>_xlfn.CONCAT("S",Tableau1[[#This Row],[Colonne2]])</f>
        <v>S0-1</v>
      </c>
      <c r="G508" t="str">
        <f>TEXT(Tableau1[[#This Row],[Date ]],"mmmm")</f>
        <v>janvier</v>
      </c>
      <c r="K508" s="14">
        <f t="shared" si="7"/>
        <v>0</v>
      </c>
      <c r="L508" t="str">
        <f>CONCATENATE(Tableau1[[#This Row],[Usine]],"-",Tableau1[[#This Row],[Semaine ]])</f>
        <v>-S0-1</v>
      </c>
    </row>
    <row r="509" spans="1:12" x14ac:dyDescent="0.3">
      <c r="A509" s="1"/>
      <c r="B509" s="15"/>
      <c r="C509" s="14">
        <f>WEEKNUM(Tableau1[[#This Row],[Date ]])</f>
        <v>0</v>
      </c>
      <c r="D509" s="14">
        <f>Tableau1[[#This Row],[Colonne1]]-1</f>
        <v>-1</v>
      </c>
      <c r="E509" s="14" t="str">
        <f>_xlfn.CONCAT("0",Tableau1[[#This Row],[N° Semaine]])</f>
        <v>0-1</v>
      </c>
      <c r="F509" s="14" t="str">
        <f>_xlfn.CONCAT("S",Tableau1[[#This Row],[Colonne2]])</f>
        <v>S0-1</v>
      </c>
      <c r="G509" t="str">
        <f>TEXT(Tableau1[[#This Row],[Date ]],"mmmm")</f>
        <v>janvier</v>
      </c>
      <c r="K509" s="14">
        <f t="shared" si="7"/>
        <v>0</v>
      </c>
      <c r="L509" t="str">
        <f>CONCATENATE(Tableau1[[#This Row],[Usine]],"-",Tableau1[[#This Row],[Semaine ]])</f>
        <v>-S0-1</v>
      </c>
    </row>
    <row r="510" spans="1:12" x14ac:dyDescent="0.3">
      <c r="A510" s="1"/>
      <c r="B510" s="15"/>
      <c r="C510" s="14">
        <f>WEEKNUM(Tableau1[[#This Row],[Date ]])</f>
        <v>0</v>
      </c>
      <c r="D510" s="14">
        <f>Tableau1[[#This Row],[Colonne1]]-1</f>
        <v>-1</v>
      </c>
      <c r="E510" s="14" t="str">
        <f>_xlfn.CONCAT("0",Tableau1[[#This Row],[N° Semaine]])</f>
        <v>0-1</v>
      </c>
      <c r="F510" s="14" t="str">
        <f>_xlfn.CONCAT("S",Tableau1[[#This Row],[Colonne2]])</f>
        <v>S0-1</v>
      </c>
      <c r="G510" t="str">
        <f>TEXT(Tableau1[[#This Row],[Date ]],"mmmm")</f>
        <v>janvier</v>
      </c>
      <c r="K510" s="14">
        <f t="shared" si="7"/>
        <v>0</v>
      </c>
      <c r="L510" t="str">
        <f>CONCATENATE(Tableau1[[#This Row],[Usine]],"-",Tableau1[[#This Row],[Semaine ]])</f>
        <v>-S0-1</v>
      </c>
    </row>
    <row r="511" spans="1:12" x14ac:dyDescent="0.3">
      <c r="A511" s="1"/>
      <c r="B511" s="15"/>
      <c r="C511" s="14">
        <f>WEEKNUM(Tableau1[[#This Row],[Date ]])</f>
        <v>0</v>
      </c>
      <c r="D511" s="14">
        <f>Tableau1[[#This Row],[Colonne1]]-1</f>
        <v>-1</v>
      </c>
      <c r="E511" s="14" t="str">
        <f>_xlfn.CONCAT("0",Tableau1[[#This Row],[N° Semaine]])</f>
        <v>0-1</v>
      </c>
      <c r="F511" s="14" t="str">
        <f>_xlfn.CONCAT("S",Tableau1[[#This Row],[Colonne2]])</f>
        <v>S0-1</v>
      </c>
      <c r="G511" t="str">
        <f>TEXT(Tableau1[[#This Row],[Date ]],"mmmm")</f>
        <v>janvier</v>
      </c>
      <c r="K511" s="14">
        <f t="shared" si="7"/>
        <v>0</v>
      </c>
      <c r="L511" t="str">
        <f>CONCATENATE(Tableau1[[#This Row],[Usine]],"-",Tableau1[[#This Row],[Semaine ]])</f>
        <v>-S0-1</v>
      </c>
    </row>
    <row r="512" spans="1:12" x14ac:dyDescent="0.3">
      <c r="A512" s="1"/>
      <c r="B512" s="15"/>
      <c r="C512" s="14">
        <f>WEEKNUM(Tableau1[[#This Row],[Date ]])</f>
        <v>0</v>
      </c>
      <c r="D512" s="14">
        <f>Tableau1[[#This Row],[Colonne1]]-1</f>
        <v>-1</v>
      </c>
      <c r="E512" s="14" t="str">
        <f>_xlfn.CONCAT("0",Tableau1[[#This Row],[N° Semaine]])</f>
        <v>0-1</v>
      </c>
      <c r="F512" s="14" t="str">
        <f>_xlfn.CONCAT("S",Tableau1[[#This Row],[Colonne2]])</f>
        <v>S0-1</v>
      </c>
      <c r="G512" t="str">
        <f>TEXT(Tableau1[[#This Row],[Date ]],"mmmm")</f>
        <v>janvier</v>
      </c>
      <c r="K512" s="14">
        <f t="shared" si="7"/>
        <v>0</v>
      </c>
      <c r="L512" t="str">
        <f>CONCATENATE(Tableau1[[#This Row],[Usine]],"-",Tableau1[[#This Row],[Semaine ]])</f>
        <v>-S0-1</v>
      </c>
    </row>
    <row r="513" spans="1:12" x14ac:dyDescent="0.3">
      <c r="A513" s="1"/>
      <c r="B513" s="15"/>
      <c r="C513" s="14">
        <f>WEEKNUM(Tableau1[[#This Row],[Date ]])</f>
        <v>0</v>
      </c>
      <c r="D513" s="14">
        <f>Tableau1[[#This Row],[Colonne1]]-1</f>
        <v>-1</v>
      </c>
      <c r="E513" s="14" t="str">
        <f>_xlfn.CONCAT("0",Tableau1[[#This Row],[N° Semaine]])</f>
        <v>0-1</v>
      </c>
      <c r="F513" s="14" t="str">
        <f>_xlfn.CONCAT("S",Tableau1[[#This Row],[Colonne2]])</f>
        <v>S0-1</v>
      </c>
      <c r="G513" t="str">
        <f>TEXT(Tableau1[[#This Row],[Date ]],"mmmm")</f>
        <v>janvier</v>
      </c>
      <c r="K513" s="14">
        <f t="shared" si="7"/>
        <v>0</v>
      </c>
      <c r="L513" t="str">
        <f>CONCATENATE(Tableau1[[#This Row],[Usine]],"-",Tableau1[[#This Row],[Semaine ]])</f>
        <v>-S0-1</v>
      </c>
    </row>
    <row r="514" spans="1:12" x14ac:dyDescent="0.3">
      <c r="A514" s="1"/>
      <c r="B514" s="15"/>
      <c r="C514" s="14">
        <f>WEEKNUM(Tableau1[[#This Row],[Date ]])</f>
        <v>0</v>
      </c>
      <c r="D514" s="14">
        <f>Tableau1[[#This Row],[Colonne1]]-1</f>
        <v>-1</v>
      </c>
      <c r="E514" s="14" t="str">
        <f>_xlfn.CONCAT("0",Tableau1[[#This Row],[N° Semaine]])</f>
        <v>0-1</v>
      </c>
      <c r="F514" s="14" t="str">
        <f>_xlfn.CONCAT("S",Tableau1[[#This Row],[Colonne2]])</f>
        <v>S0-1</v>
      </c>
      <c r="G514" t="str">
        <f>TEXT(Tableau1[[#This Row],[Date ]],"mmmm")</f>
        <v>janvier</v>
      </c>
      <c r="K514" s="14">
        <f t="shared" ref="K514:K522" si="8">SUM(H514:J515)</f>
        <v>0</v>
      </c>
      <c r="L514" t="str">
        <f>CONCATENATE(Tableau1[[#This Row],[Usine]],"-",Tableau1[[#This Row],[Semaine ]])</f>
        <v>-S0-1</v>
      </c>
    </row>
    <row r="515" spans="1:12" x14ac:dyDescent="0.3">
      <c r="A515" s="1"/>
      <c r="B515" s="15"/>
      <c r="C515" s="14">
        <f>WEEKNUM(Tableau1[[#This Row],[Date ]])</f>
        <v>0</v>
      </c>
      <c r="D515" s="14">
        <f>Tableau1[[#This Row],[Colonne1]]-1</f>
        <v>-1</v>
      </c>
      <c r="E515" s="14" t="str">
        <f>_xlfn.CONCAT("0",Tableau1[[#This Row],[N° Semaine]])</f>
        <v>0-1</v>
      </c>
      <c r="F515" s="14" t="str">
        <f>_xlfn.CONCAT("S",Tableau1[[#This Row],[Colonne2]])</f>
        <v>S0-1</v>
      </c>
      <c r="G515" t="str">
        <f>TEXT(Tableau1[[#This Row],[Date ]],"mmmm")</f>
        <v>janvier</v>
      </c>
      <c r="K515" s="14">
        <f t="shared" si="8"/>
        <v>0</v>
      </c>
      <c r="L515" t="str">
        <f>CONCATENATE(Tableau1[[#This Row],[Usine]],"-",Tableau1[[#This Row],[Semaine ]])</f>
        <v>-S0-1</v>
      </c>
    </row>
    <row r="516" spans="1:12" x14ac:dyDescent="0.3">
      <c r="A516" s="1"/>
      <c r="B516" s="15"/>
      <c r="C516" s="14">
        <f>WEEKNUM(Tableau1[[#This Row],[Date ]])</f>
        <v>0</v>
      </c>
      <c r="D516" s="14">
        <f>Tableau1[[#This Row],[Colonne1]]-1</f>
        <v>-1</v>
      </c>
      <c r="E516" s="14" t="str">
        <f>_xlfn.CONCAT("0",Tableau1[[#This Row],[N° Semaine]])</f>
        <v>0-1</v>
      </c>
      <c r="F516" s="14" t="str">
        <f>_xlfn.CONCAT("S",Tableau1[[#This Row],[Colonne2]])</f>
        <v>S0-1</v>
      </c>
      <c r="G516" t="str">
        <f>TEXT(Tableau1[[#This Row],[Date ]],"mmmm")</f>
        <v>janvier</v>
      </c>
      <c r="K516" s="14">
        <f t="shared" si="8"/>
        <v>0</v>
      </c>
      <c r="L516" t="str">
        <f>CONCATENATE(Tableau1[[#This Row],[Usine]],"-",Tableau1[[#This Row],[Semaine ]])</f>
        <v>-S0-1</v>
      </c>
    </row>
    <row r="517" spans="1:12" x14ac:dyDescent="0.3">
      <c r="A517" s="1"/>
      <c r="B517" s="15"/>
      <c r="C517" s="14">
        <f>WEEKNUM(Tableau1[[#This Row],[Date ]])</f>
        <v>0</v>
      </c>
      <c r="D517" s="14">
        <f>Tableau1[[#This Row],[Colonne1]]-1</f>
        <v>-1</v>
      </c>
      <c r="E517" s="14" t="str">
        <f>_xlfn.CONCAT("0",Tableau1[[#This Row],[N° Semaine]])</f>
        <v>0-1</v>
      </c>
      <c r="F517" s="14" t="str">
        <f>_xlfn.CONCAT("S",Tableau1[[#This Row],[Colonne2]])</f>
        <v>S0-1</v>
      </c>
      <c r="G517" t="str">
        <f>TEXT(Tableau1[[#This Row],[Date ]],"mmmm")</f>
        <v>janvier</v>
      </c>
      <c r="K517" s="14">
        <f t="shared" si="8"/>
        <v>0</v>
      </c>
      <c r="L517" t="str">
        <f>CONCATENATE(Tableau1[[#This Row],[Usine]],"-",Tableau1[[#This Row],[Semaine ]])</f>
        <v>-S0-1</v>
      </c>
    </row>
    <row r="518" spans="1:12" x14ac:dyDescent="0.3">
      <c r="A518" s="1"/>
      <c r="B518" s="15"/>
      <c r="C518" s="14">
        <f>WEEKNUM(Tableau1[[#This Row],[Date ]])</f>
        <v>0</v>
      </c>
      <c r="D518" s="14">
        <f>Tableau1[[#This Row],[Colonne1]]-1</f>
        <v>-1</v>
      </c>
      <c r="E518" s="14" t="str">
        <f>_xlfn.CONCAT("0",Tableau1[[#This Row],[N° Semaine]])</f>
        <v>0-1</v>
      </c>
      <c r="F518" s="14" t="str">
        <f>_xlfn.CONCAT("S",Tableau1[[#This Row],[Colonne2]])</f>
        <v>S0-1</v>
      </c>
      <c r="G518" t="str">
        <f>TEXT(Tableau1[[#This Row],[Date ]],"mmmm")</f>
        <v>janvier</v>
      </c>
      <c r="K518" s="14">
        <f t="shared" si="8"/>
        <v>0</v>
      </c>
      <c r="L518" t="str">
        <f>CONCATENATE(Tableau1[[#This Row],[Usine]],"-",Tableau1[[#This Row],[Semaine ]])</f>
        <v>-S0-1</v>
      </c>
    </row>
    <row r="519" spans="1:12" x14ac:dyDescent="0.3">
      <c r="A519" s="1"/>
      <c r="B519" s="15"/>
      <c r="C519" s="14">
        <f>WEEKNUM(Tableau1[[#This Row],[Date ]])</f>
        <v>0</v>
      </c>
      <c r="D519" s="14">
        <f>Tableau1[[#This Row],[Colonne1]]-1</f>
        <v>-1</v>
      </c>
      <c r="E519" s="14" t="str">
        <f>_xlfn.CONCAT("0",Tableau1[[#This Row],[N° Semaine]])</f>
        <v>0-1</v>
      </c>
      <c r="F519" s="14" t="str">
        <f>_xlfn.CONCAT("S",Tableau1[[#This Row],[Colonne2]])</f>
        <v>S0-1</v>
      </c>
      <c r="G519" t="str">
        <f>TEXT(Tableau1[[#This Row],[Date ]],"mmmm")</f>
        <v>janvier</v>
      </c>
      <c r="K519" s="14">
        <f t="shared" si="8"/>
        <v>0</v>
      </c>
      <c r="L519" t="str">
        <f>CONCATENATE(Tableau1[[#This Row],[Usine]],"-",Tableau1[[#This Row],[Semaine ]])</f>
        <v>-S0-1</v>
      </c>
    </row>
    <row r="520" spans="1:12" x14ac:dyDescent="0.3">
      <c r="A520" s="1"/>
      <c r="B520" s="15"/>
      <c r="C520" s="14">
        <f>WEEKNUM(Tableau1[[#This Row],[Date ]])</f>
        <v>0</v>
      </c>
      <c r="D520" s="14">
        <f>Tableau1[[#This Row],[Colonne1]]-1</f>
        <v>-1</v>
      </c>
      <c r="E520" s="14" t="str">
        <f>_xlfn.CONCAT("0",Tableau1[[#This Row],[N° Semaine]])</f>
        <v>0-1</v>
      </c>
      <c r="F520" s="14" t="str">
        <f>_xlfn.CONCAT("S",Tableau1[[#This Row],[Colonne2]])</f>
        <v>S0-1</v>
      </c>
      <c r="G520" t="str">
        <f>TEXT(Tableau1[[#This Row],[Date ]],"mmmm")</f>
        <v>janvier</v>
      </c>
      <c r="K520" s="14">
        <f t="shared" si="8"/>
        <v>0</v>
      </c>
      <c r="L520" t="str">
        <f>CONCATENATE(Tableau1[[#This Row],[Usine]],"-",Tableau1[[#This Row],[Semaine ]])</f>
        <v>-S0-1</v>
      </c>
    </row>
    <row r="521" spans="1:12" x14ac:dyDescent="0.3">
      <c r="A521" s="1"/>
      <c r="B521" s="15"/>
      <c r="C521" s="14">
        <f>WEEKNUM(Tableau1[[#This Row],[Date ]])</f>
        <v>0</v>
      </c>
      <c r="D521" s="14">
        <f>Tableau1[[#This Row],[Colonne1]]-1</f>
        <v>-1</v>
      </c>
      <c r="E521" s="14" t="str">
        <f>_xlfn.CONCAT("0",Tableau1[[#This Row],[N° Semaine]])</f>
        <v>0-1</v>
      </c>
      <c r="F521" s="14" t="str">
        <f>_xlfn.CONCAT("S",Tableau1[[#This Row],[Colonne2]])</f>
        <v>S0-1</v>
      </c>
      <c r="G521" t="str">
        <f>TEXT(Tableau1[[#This Row],[Date ]],"mmmm")</f>
        <v>janvier</v>
      </c>
      <c r="K521" s="14">
        <f t="shared" si="8"/>
        <v>0</v>
      </c>
      <c r="L521" t="str">
        <f>CONCATENATE(Tableau1[[#This Row],[Usine]],"-",Tableau1[[#This Row],[Semaine ]])</f>
        <v>-S0-1</v>
      </c>
    </row>
    <row r="522" spans="1:12" x14ac:dyDescent="0.3">
      <c r="A522" s="1"/>
      <c r="B522" s="15"/>
      <c r="C522" s="14">
        <f>WEEKNUM(Tableau1[[#This Row],[Date ]])</f>
        <v>0</v>
      </c>
      <c r="D522" s="14">
        <f>Tableau1[[#This Row],[Colonne1]]-1</f>
        <v>-1</v>
      </c>
      <c r="E522" s="14" t="str">
        <f>_xlfn.CONCAT("0",Tableau1[[#This Row],[N° Semaine]])</f>
        <v>0-1</v>
      </c>
      <c r="F522" s="14" t="str">
        <f>_xlfn.CONCAT("S",Tableau1[[#This Row],[Colonne2]])</f>
        <v>S0-1</v>
      </c>
      <c r="G522" t="str">
        <f>TEXT(Tableau1[[#This Row],[Date ]],"mmmm")</f>
        <v>janvier</v>
      </c>
      <c r="K522" s="14">
        <f t="shared" si="8"/>
        <v>0</v>
      </c>
      <c r="L522" t="str">
        <f>CONCATENATE(Tableau1[[#This Row],[Usine]],"-",Tableau1[[#This Row],[Semaine ]])</f>
        <v>-S0-1</v>
      </c>
    </row>
  </sheetData>
  <phoneticPr fontId="1" type="noConversion"/>
  <pageMargins left="0.7" right="0.7" top="0.75" bottom="0.75" header="0.3" footer="0.3"/>
  <pageSetup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Global en heures</vt:lpstr>
      <vt:lpstr>Global en %</vt:lpstr>
      <vt:lpstr>Graph mensu MWE</vt:lpstr>
      <vt:lpstr>Biamonique</vt:lpstr>
      <vt:lpstr>Autres</vt:lpstr>
      <vt:lpstr>D1</vt:lpstr>
      <vt:lpstr>Fertilisants</vt:lpstr>
      <vt:lpstr>Maintenance</vt:lpstr>
      <vt:lpstr>Silox</vt:lpstr>
      <vt:lpstr>P2O5</vt:lpstr>
      <vt:lpstr>STPP</vt:lpstr>
      <vt:lpstr>S&amp;E</vt:lpstr>
      <vt:lpstr>Zéoline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Eggen</dc:creator>
  <cp:lastModifiedBy>Laetitia Eggen</cp:lastModifiedBy>
  <dcterms:created xsi:type="dcterms:W3CDTF">2021-03-17T13:55:58Z</dcterms:created>
  <dcterms:modified xsi:type="dcterms:W3CDTF">2022-07-07T07:10:46Z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01 - KPI annuel - par division de production.xlsx</vt:lpwstr>
  </property>
</Properties>
</file>