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FFBE5E84-8723-49FB-A1DD-044BA21037ED}" xr6:coauthVersionLast="47" xr6:coauthVersionMax="47" xr10:uidLastSave="{00000000-0000-0000-0000-000000000000}"/>
  <bookViews>
    <workbookView xWindow="-120" yWindow="-120" windowWidth="20730" windowHeight="11160" tabRatio="599" activeTab="3" xr2:uid="{FE6C12A7-D74B-4557-9382-879B24E1CA96}"/>
  </bookViews>
  <sheets>
    <sheet name="BASE DE DONNEE" sheetId="1" r:id="rId1"/>
    <sheet name="BASE DE DONNEE1" sheetId="2" r:id="rId2"/>
    <sheet name="Liste" sheetId="4" r:id="rId3"/>
    <sheet name="bulletin" sheetId="3" r:id="rId4"/>
  </sheets>
  <definedNames>
    <definedName name="_xlnm._FilterDatabase" localSheetId="1" hidden="1">'BASE DE DONNEE1'!$C$5:$AW$5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" i="2" l="1"/>
  <c r="F4" i="2"/>
  <c r="AC6" i="2"/>
  <c r="AD6" i="2" s="1"/>
  <c r="Y6" i="2"/>
  <c r="Z6" i="2" s="1"/>
  <c r="U6" i="2"/>
  <c r="V6" i="2" s="1"/>
  <c r="M6" i="2"/>
  <c r="N6" i="2" s="1"/>
  <c r="I6" i="2"/>
  <c r="J6" i="2" s="1"/>
  <c r="E6" i="2"/>
  <c r="F6" i="2" s="1"/>
  <c r="AC5" i="2"/>
  <c r="AD5" i="2" s="1"/>
  <c r="Y5" i="2"/>
  <c r="Z5" i="2" s="1"/>
  <c r="U5" i="2"/>
  <c r="V5" i="2" s="1"/>
  <c r="M5" i="2"/>
  <c r="N5" i="2" s="1"/>
  <c r="I5" i="2"/>
  <c r="J5" i="2" s="1"/>
  <c r="E5" i="2"/>
  <c r="AC4" i="2"/>
  <c r="AD4" i="2" s="1"/>
  <c r="Y4" i="2"/>
  <c r="Z4" i="2" s="1"/>
  <c r="U4" i="2"/>
  <c r="V4" i="2" s="1"/>
  <c r="AE4" i="2" s="1"/>
  <c r="M4" i="2"/>
  <c r="N4" i="2" s="1"/>
  <c r="I4" i="2"/>
  <c r="J4" i="2" s="1"/>
  <c r="E4" i="2"/>
  <c r="AF2" i="2"/>
  <c r="P2" i="2"/>
  <c r="AS6" i="2"/>
  <c r="AT6" i="2" s="1"/>
  <c r="AO6" i="2"/>
  <c r="AP6" i="2" s="1"/>
  <c r="AK6" i="2"/>
  <c r="AL6" i="2" s="1"/>
  <c r="AS5" i="2"/>
  <c r="AT5" i="2" s="1"/>
  <c r="AO5" i="2"/>
  <c r="AP5" i="2" s="1"/>
  <c r="AK5" i="2"/>
  <c r="AL5" i="2" s="1"/>
  <c r="AS4" i="2"/>
  <c r="AT4" i="2" s="1"/>
  <c r="AO4" i="2"/>
  <c r="AP4" i="2" s="1"/>
  <c r="AK4" i="2"/>
  <c r="AL4" i="2" s="1"/>
  <c r="AV2" i="2"/>
  <c r="P2" i="1"/>
  <c r="AF2" i="1"/>
  <c r="AV2" i="1"/>
  <c r="AK4" i="1"/>
  <c r="AL4" i="1" s="1"/>
  <c r="AS6" i="1"/>
  <c r="AT6" i="1" s="1"/>
  <c r="AO6" i="1"/>
  <c r="AP6" i="1" s="1"/>
  <c r="AK6" i="1"/>
  <c r="AL6" i="1" s="1"/>
  <c r="AS5" i="1"/>
  <c r="AT5" i="1" s="1"/>
  <c r="AO5" i="1"/>
  <c r="AP5" i="1" s="1"/>
  <c r="AK5" i="1"/>
  <c r="AL5" i="1" s="1"/>
  <c r="AS4" i="1"/>
  <c r="AT4" i="1" s="1"/>
  <c r="AO4" i="1"/>
  <c r="AP4" i="1" s="1"/>
  <c r="O5" i="2" l="1"/>
  <c r="AE6" i="2"/>
  <c r="AF6" i="2"/>
  <c r="O4" i="2"/>
  <c r="P4" i="2" s="1"/>
  <c r="O6" i="2"/>
  <c r="P6" i="2" s="1"/>
  <c r="AE5" i="2"/>
  <c r="AF4" i="2"/>
  <c r="P5" i="2"/>
  <c r="AF5" i="2"/>
  <c r="AU4" i="2"/>
  <c r="AV4" i="2" s="1"/>
  <c r="AU5" i="2"/>
  <c r="AV5" i="2" s="1"/>
  <c r="AU6" i="2"/>
  <c r="AV6" i="2" s="1"/>
  <c r="AU4" i="1"/>
  <c r="AU6" i="1"/>
  <c r="AV6" i="1" s="1"/>
  <c r="AU5" i="1"/>
  <c r="U4" i="1"/>
  <c r="V4" i="1" s="1"/>
  <c r="U5" i="1"/>
  <c r="V5" i="1" s="1"/>
  <c r="U6" i="1"/>
  <c r="V6" i="1" s="1"/>
  <c r="E5" i="1"/>
  <c r="E4" i="1"/>
  <c r="F4" i="1" s="1"/>
  <c r="E6" i="1"/>
  <c r="F6" i="1" s="1"/>
  <c r="AC6" i="1"/>
  <c r="AD6" i="1" s="1"/>
  <c r="Y6" i="1"/>
  <c r="Z6" i="1" s="1"/>
  <c r="AC5" i="1"/>
  <c r="AD5" i="1" s="1"/>
  <c r="Y5" i="1"/>
  <c r="Z5" i="1" s="1"/>
  <c r="AC4" i="1"/>
  <c r="AD4" i="1" s="1"/>
  <c r="Y4" i="1"/>
  <c r="Z4" i="1" s="1"/>
  <c r="M6" i="1"/>
  <c r="I6" i="1"/>
  <c r="M5" i="1"/>
  <c r="I5" i="1"/>
  <c r="M4" i="1"/>
  <c r="I4" i="1"/>
  <c r="J4" i="1" s="1"/>
  <c r="AV5" i="1" l="1"/>
  <c r="AV4" i="1"/>
  <c r="AE6" i="1"/>
  <c r="AF6" i="1" s="1"/>
  <c r="AE5" i="1"/>
  <c r="AF5" i="1" s="1"/>
  <c r="AE4" i="1"/>
  <c r="AF4" i="1" s="1"/>
  <c r="J5" i="1"/>
  <c r="N6" i="1"/>
  <c r="N5" i="1"/>
  <c r="J6" i="1"/>
  <c r="F5" i="1"/>
  <c r="N4" i="1"/>
  <c r="O5" i="1" l="1"/>
  <c r="P5" i="1" s="1"/>
  <c r="O6" i="1"/>
  <c r="P6" i="1" s="1"/>
  <c r="O4" i="1"/>
  <c r="P4" i="1" s="1"/>
</calcChain>
</file>

<file path=xl/sharedStrings.xml><?xml version="1.0" encoding="utf-8"?>
<sst xmlns="http://schemas.openxmlformats.org/spreadsheetml/2006/main" count="169" uniqueCount="47">
  <si>
    <t>Pnd</t>
  </si>
  <si>
    <t>TABLEAU1</t>
  </si>
  <si>
    <t>T. L</t>
  </si>
  <si>
    <t>F1</t>
  </si>
  <si>
    <t>F2</t>
  </si>
  <si>
    <t xml:space="preserve">H1 </t>
  </si>
  <si>
    <t>H  2</t>
  </si>
  <si>
    <t xml:space="preserve">A 1 </t>
  </si>
  <si>
    <t xml:space="preserve">A 2 </t>
  </si>
  <si>
    <t>TABLEAU2</t>
  </si>
  <si>
    <t>Coef</t>
  </si>
  <si>
    <t>Pnd2</t>
  </si>
  <si>
    <t>MNY</t>
  </si>
  <si>
    <t>FR1</t>
  </si>
  <si>
    <t>FR2</t>
  </si>
  <si>
    <t>Coef2</t>
  </si>
  <si>
    <t>RIZ</t>
  </si>
  <si>
    <t>MAIS</t>
  </si>
  <si>
    <t>ARC</t>
  </si>
  <si>
    <t>TABLEAU3</t>
  </si>
  <si>
    <t>H2</t>
  </si>
  <si>
    <t>Pnd3</t>
  </si>
  <si>
    <t>Coef3</t>
  </si>
  <si>
    <t>Cof3</t>
  </si>
  <si>
    <t>Cof2</t>
  </si>
  <si>
    <t>Cof</t>
  </si>
  <si>
    <t>arachide</t>
  </si>
  <si>
    <t>manioc</t>
  </si>
  <si>
    <t>blé</t>
  </si>
  <si>
    <t>Nom</t>
  </si>
  <si>
    <t>H</t>
  </si>
  <si>
    <t>A</t>
  </si>
  <si>
    <t>valeur2</t>
  </si>
  <si>
    <t>coff</t>
  </si>
  <si>
    <t>valeur1</t>
  </si>
  <si>
    <t>Rapport de sortie</t>
  </si>
  <si>
    <t>T.L</t>
  </si>
  <si>
    <t>MANIOC</t>
  </si>
  <si>
    <t>HARIKO</t>
  </si>
  <si>
    <t>PALM</t>
  </si>
  <si>
    <t>FR</t>
  </si>
  <si>
    <t>SOJA</t>
  </si>
  <si>
    <t>KARITE</t>
  </si>
  <si>
    <t>AVOCAT</t>
  </si>
  <si>
    <t>MELON</t>
  </si>
  <si>
    <t>CHOUX</t>
  </si>
  <si>
    <t>POIVRE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</si>
</sst>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Bodoni MT"/>
      <family val="1"/>
    </font>
    <font>
      <b/>
      <sz val="10"/>
      <color theme="1"/>
      <name val="Bodoni MT"/>
      <family val="1"/>
    </font>
    <font>
      <b/>
      <sz val="11"/>
      <name val="Bodoni MT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Arial Black"/>
      <family val="2"/>
    </font>
    <font>
      <sz val="8"/>
      <name val="Calibri"/>
      <family val="2"/>
      <scheme val="minor"/>
    </font>
    <font>
      <b/>
      <sz val="11"/>
      <color theme="1"/>
      <name val="Cambria"/>
      <family val="1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5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Fill="1" applyProtection="1">
      <protection locked="0"/>
    </xf>
    <xf numFmtId="0" fontId="0" fillId="0" borderId="0" xfId="0" applyFill="1"/>
    <xf numFmtId="2" fontId="0" fillId="7" borderId="1" xfId="0" applyNumberFormat="1" applyFill="1" applyBorder="1" applyProtection="1">
      <protection locked="0"/>
    </xf>
    <xf numFmtId="2" fontId="1" fillId="7" borderId="1" xfId="0" applyNumberFormat="1" applyFont="1" applyFill="1" applyBorder="1" applyProtection="1">
      <protection hidden="1"/>
    </xf>
    <xf numFmtId="2" fontId="5" fillId="6" borderId="1" xfId="0" applyNumberFormat="1" applyFont="1" applyFill="1" applyBorder="1" applyProtection="1">
      <protection locked="0"/>
    </xf>
    <xf numFmtId="2" fontId="6" fillId="6" borderId="1" xfId="0" applyNumberFormat="1" applyFont="1" applyFill="1" applyBorder="1" applyProtection="1">
      <protection hidden="1"/>
    </xf>
    <xf numFmtId="2" fontId="5" fillId="8" borderId="1" xfId="0" applyNumberFormat="1" applyFont="1" applyFill="1" applyBorder="1" applyProtection="1">
      <protection locked="0"/>
    </xf>
    <xf numFmtId="2" fontId="6" fillId="8" borderId="1" xfId="0" applyNumberFormat="1" applyFont="1" applyFill="1" applyBorder="1" applyProtection="1">
      <protection hidden="1"/>
    </xf>
    <xf numFmtId="2" fontId="1" fillId="5" borderId="1" xfId="0" applyNumberFormat="1" applyFont="1" applyFill="1" applyBorder="1" applyProtection="1">
      <protection hidden="1"/>
    </xf>
    <xf numFmtId="2" fontId="0" fillId="8" borderId="1" xfId="0" applyNumberFormat="1" applyFill="1" applyBorder="1" applyProtection="1">
      <protection locked="0"/>
    </xf>
    <xf numFmtId="2" fontId="1" fillId="8" borderId="1" xfId="0" applyNumberFormat="1" applyFont="1" applyFill="1" applyBorder="1" applyProtection="1">
      <protection hidden="1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2" fillId="4" borderId="7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7" borderId="7" xfId="0" applyFont="1" applyFill="1" applyBorder="1" applyAlignment="1" applyProtection="1">
      <alignment horizontal="center" vertical="center"/>
      <protection locked="0"/>
    </xf>
    <xf numFmtId="0" fontId="2" fillId="7" borderId="7" xfId="0" applyFont="1" applyFill="1" applyBorder="1" applyAlignment="1" applyProtection="1">
      <alignment horizontal="center" vertical="center"/>
      <protection locked="0"/>
    </xf>
    <xf numFmtId="0" fontId="4" fillId="5" borderId="7" xfId="0" applyFont="1" applyFill="1" applyBorder="1" applyAlignment="1" applyProtection="1">
      <alignment horizontal="center" vertical="center"/>
      <protection locked="0"/>
    </xf>
    <xf numFmtId="2" fontId="0" fillId="7" borderId="2" xfId="0" applyNumberFormat="1" applyFill="1" applyBorder="1" applyProtection="1">
      <protection locked="0"/>
    </xf>
    <xf numFmtId="2" fontId="0" fillId="7" borderId="9" xfId="0" applyNumberFormat="1" applyFill="1" applyBorder="1" applyProtection="1">
      <protection locked="0"/>
    </xf>
    <xf numFmtId="2" fontId="0" fillId="7" borderId="10" xfId="0" applyNumberFormat="1" applyFill="1" applyBorder="1" applyProtection="1">
      <protection locked="0"/>
    </xf>
    <xf numFmtId="2" fontId="1" fillId="7" borderId="10" xfId="0" applyNumberFormat="1" applyFont="1" applyFill="1" applyBorder="1" applyProtection="1">
      <protection hidden="1"/>
    </xf>
    <xf numFmtId="2" fontId="5" fillId="6" borderId="10" xfId="0" applyNumberFormat="1" applyFont="1" applyFill="1" applyBorder="1" applyProtection="1">
      <protection locked="0"/>
    </xf>
    <xf numFmtId="2" fontId="6" fillId="6" borderId="10" xfId="0" applyNumberFormat="1" applyFont="1" applyFill="1" applyBorder="1" applyProtection="1">
      <protection hidden="1"/>
    </xf>
    <xf numFmtId="2" fontId="0" fillId="8" borderId="10" xfId="0" applyNumberFormat="1" applyFill="1" applyBorder="1" applyProtection="1">
      <protection locked="0"/>
    </xf>
    <xf numFmtId="2" fontId="1" fillId="8" borderId="10" xfId="0" applyNumberFormat="1" applyFont="1" applyFill="1" applyBorder="1" applyProtection="1">
      <protection hidden="1"/>
    </xf>
    <xf numFmtId="2" fontId="1" fillId="5" borderId="10" xfId="0" applyNumberFormat="1" applyFont="1" applyFill="1" applyBorder="1" applyProtection="1">
      <protection hidden="1"/>
    </xf>
    <xf numFmtId="2" fontId="5" fillId="9" borderId="1" xfId="0" applyNumberFormat="1" applyFont="1" applyFill="1" applyBorder="1"/>
    <xf numFmtId="2" fontId="0" fillId="7" borderId="13" xfId="0" applyNumberFormat="1" applyFill="1" applyBorder="1" applyProtection="1">
      <protection locked="0"/>
    </xf>
    <xf numFmtId="2" fontId="0" fillId="7" borderId="14" xfId="0" applyNumberFormat="1" applyFill="1" applyBorder="1" applyProtection="1">
      <protection locked="0"/>
    </xf>
    <xf numFmtId="0" fontId="9" fillId="3" borderId="6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top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7" borderId="7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vertical="center"/>
      <protection locked="0"/>
    </xf>
    <xf numFmtId="0" fontId="6" fillId="3" borderId="1" xfId="0" applyFont="1" applyFill="1" applyBorder="1" applyAlignment="1" applyProtection="1">
      <alignment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6" fillId="7" borderId="1" xfId="0" applyFont="1" applyFill="1" applyBorder="1" applyProtection="1">
      <protection locked="0"/>
    </xf>
    <xf numFmtId="0" fontId="6" fillId="5" borderId="8" xfId="0" applyFont="1" applyFill="1" applyBorder="1" applyProtection="1">
      <protection locked="0"/>
    </xf>
    <xf numFmtId="2" fontId="1" fillId="5" borderId="8" xfId="0" applyNumberFormat="1" applyFont="1" applyFill="1" applyBorder="1" applyProtection="1">
      <protection hidden="1"/>
    </xf>
    <xf numFmtId="2" fontId="6" fillId="5" borderId="8" xfId="0" applyNumberFormat="1" applyFont="1" applyFill="1" applyBorder="1" applyProtection="1">
      <protection locked="0"/>
    </xf>
    <xf numFmtId="2" fontId="1" fillId="5" borderId="11" xfId="0" applyNumberFormat="1" applyFont="1" applyFill="1" applyBorder="1" applyProtection="1">
      <protection hidden="1"/>
    </xf>
    <xf numFmtId="2" fontId="0" fillId="0" borderId="0" xfId="0" applyNumberFormat="1" applyFill="1" applyProtection="1">
      <protection locked="0"/>
    </xf>
    <xf numFmtId="0" fontId="0" fillId="0" borderId="1" xfId="0" applyBorder="1"/>
    <xf numFmtId="2" fontId="0" fillId="12" borderId="1" xfId="0" applyNumberFormat="1" applyFont="1" applyFill="1" applyBorder="1" applyAlignment="1"/>
    <xf numFmtId="0" fontId="0" fillId="0" borderId="8" xfId="0" applyBorder="1"/>
    <xf numFmtId="0" fontId="11" fillId="0" borderId="2" xfId="0" applyFont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vertical="center"/>
    </xf>
    <xf numFmtId="0" fontId="0" fillId="0" borderId="0" xfId="0" applyFill="1" applyBorder="1" applyAlignment="1"/>
    <xf numFmtId="0" fontId="11" fillId="0" borderId="9" xfId="0" applyFont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1" fillId="13" borderId="25" xfId="0" applyFont="1" applyFill="1" applyBorder="1" applyAlignment="1">
      <alignment horizontal="center" vertical="center"/>
    </xf>
    <xf numFmtId="0" fontId="12" fillId="13" borderId="24" xfId="0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4" xfId="0" applyFont="1" applyFill="1" applyBorder="1" applyAlignment="1" applyProtection="1">
      <alignment horizontal="center"/>
      <protection locked="0"/>
    </xf>
    <xf numFmtId="0" fontId="7" fillId="2" borderId="5" xfId="0" applyFont="1" applyFill="1" applyBorder="1" applyAlignment="1" applyProtection="1">
      <alignment horizontal="center"/>
      <protection locked="0"/>
    </xf>
    <xf numFmtId="0" fontId="7" fillId="10" borderId="3" xfId="0" applyFont="1" applyFill="1" applyBorder="1" applyAlignment="1" applyProtection="1">
      <alignment horizontal="center"/>
      <protection locked="0"/>
    </xf>
    <xf numFmtId="0" fontId="7" fillId="10" borderId="12" xfId="0" applyFont="1" applyFill="1" applyBorder="1" applyAlignment="1" applyProtection="1">
      <alignment horizontal="center"/>
      <protection locked="0"/>
    </xf>
    <xf numFmtId="0" fontId="7" fillId="10" borderId="4" xfId="0" applyFont="1" applyFill="1" applyBorder="1" applyAlignment="1" applyProtection="1">
      <alignment horizontal="center"/>
      <protection locked="0"/>
    </xf>
    <xf numFmtId="0" fontId="7" fillId="10" borderId="5" xfId="0" applyFont="1" applyFill="1" applyBorder="1" applyAlignment="1" applyProtection="1">
      <alignment horizontal="center"/>
      <protection locked="0"/>
    </xf>
    <xf numFmtId="0" fontId="7" fillId="9" borderId="3" xfId="0" applyFont="1" applyFill="1" applyBorder="1" applyAlignment="1" applyProtection="1">
      <alignment horizontal="center"/>
      <protection locked="0"/>
    </xf>
    <xf numFmtId="0" fontId="7" fillId="9" borderId="12" xfId="0" applyFont="1" applyFill="1" applyBorder="1" applyAlignment="1" applyProtection="1">
      <alignment horizontal="center"/>
      <protection locked="0"/>
    </xf>
    <xf numFmtId="0" fontId="7" fillId="9" borderId="4" xfId="0" applyFont="1" applyFill="1" applyBorder="1" applyAlignment="1" applyProtection="1">
      <alignment horizontal="center"/>
      <protection locked="0"/>
    </xf>
    <xf numFmtId="0" fontId="7" fillId="9" borderId="5" xfId="0" applyFont="1" applyFill="1" applyBorder="1" applyAlignment="1" applyProtection="1">
      <alignment horizontal="center"/>
      <protection locked="0"/>
    </xf>
    <xf numFmtId="0" fontId="2" fillId="3" borderId="15" xfId="0" applyFont="1" applyFill="1" applyBorder="1" applyAlignment="1" applyProtection="1">
      <alignment horizontal="center" vertical="center"/>
      <protection locked="0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0" fontId="3" fillId="4" borderId="17" xfId="0" applyFont="1" applyFill="1" applyBorder="1" applyAlignment="1" applyProtection="1">
      <alignment horizontal="center" vertical="center"/>
      <protection locked="0"/>
    </xf>
    <xf numFmtId="0" fontId="3" fillId="4" borderId="12" xfId="0" applyFont="1" applyFill="1" applyBorder="1" applyAlignment="1" applyProtection="1">
      <alignment horizontal="center" vertical="center"/>
      <protection locked="0"/>
    </xf>
    <xf numFmtId="0" fontId="3" fillId="7" borderId="17" xfId="0" applyFont="1" applyFill="1" applyBorder="1" applyAlignment="1" applyProtection="1">
      <alignment horizontal="center" vertical="center"/>
      <protection locked="0"/>
    </xf>
    <xf numFmtId="0" fontId="3" fillId="7" borderId="12" xfId="0" applyFont="1" applyFill="1" applyBorder="1" applyAlignment="1" applyProtection="1">
      <alignment horizontal="center" vertical="center"/>
      <protection locked="0"/>
    </xf>
    <xf numFmtId="0" fontId="13" fillId="7" borderId="21" xfId="0" applyFont="1" applyFill="1" applyBorder="1" applyAlignment="1">
      <alignment horizontal="center"/>
    </xf>
    <xf numFmtId="0" fontId="13" fillId="7" borderId="22" xfId="0" applyFont="1" applyFill="1" applyBorder="1" applyAlignment="1">
      <alignment horizontal="center"/>
    </xf>
    <xf numFmtId="0" fontId="13" fillId="7" borderId="23" xfId="0" applyFont="1" applyFill="1" applyBorder="1" applyAlignment="1">
      <alignment horizontal="center"/>
    </xf>
    <xf numFmtId="0" fontId="12" fillId="11" borderId="19" xfId="0" applyFont="1" applyFill="1" applyBorder="1" applyAlignment="1">
      <alignment horizontal="center" vertical="center"/>
    </xf>
    <xf numFmtId="0" fontId="12" fillId="11" borderId="20" xfId="0" applyFont="1" applyFill="1" applyBorder="1" applyAlignment="1">
      <alignment horizontal="center" vertical="center"/>
    </xf>
    <xf numFmtId="0" fontId="12" fillId="11" borderId="18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top"/>
    </xf>
    <xf numFmtId="0" fontId="11" fillId="3" borderId="16" xfId="0" applyFont="1" applyFill="1" applyBorder="1" applyAlignment="1">
      <alignment horizontal="center" vertical="top"/>
    </xf>
    <xf numFmtId="0" fontId="11" fillId="3" borderId="2" xfId="0" applyFont="1" applyFill="1" applyBorder="1" applyAlignment="1">
      <alignment vertical="top"/>
    </xf>
  </cellXfs>
  <cellStyles count="1">
    <cellStyle name="Normal" xfId="0" builtinId="0"/>
  </cellStyles>
  <dxfs count="2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FFC5FF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FFC5FF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C5FF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C5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FFC5FF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C5FF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C5FF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C5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protection locked="0" hidden="0"/>
    </dxf>
    <dxf>
      <border>
        <bottom style="medium">
          <color rgb="FFFFFC0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FFC5FF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C5FF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C5FF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C5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FFC5FF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C5FF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C5FF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C5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FFC5FF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FFC5FF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C5FF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C5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FFC5FF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C5FF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C5FF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C5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protection locked="0" hidden="0"/>
    </dxf>
    <dxf>
      <border>
        <bottom style="medium">
          <color rgb="FFFFFC0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403F228-532E-4692-9AF5-7E3B6A69A400}" name="tableau1" displayName="tableau1" ref="B3:P6" headerRowDxfId="210" dataDxfId="208" totalsRowDxfId="206" headerRowBorderDxfId="209" tableBorderDxfId="207" totalsRowBorderDxfId="205">
  <tableColumns count="15">
    <tableColumn id="13" xr3:uid="{2FA03AFA-BFEF-42F2-ACC0-CBA73571C8D8}" name="Nom" dataDxfId="204" totalsRowDxfId="203"/>
    <tableColumn id="1" xr3:uid="{E0A84AAC-9487-498D-B073-54974EC7D365}" name="FR1" dataDxfId="202" totalsRowDxfId="201"/>
    <tableColumn id="14" xr3:uid="{577BC498-7EE0-46B9-8A7C-40BBCB6D7185}" name="FR2" dataDxfId="200" totalsRowDxfId="199"/>
    <tableColumn id="15" xr3:uid="{BB6A96A2-C8E5-4A2E-ADAD-029654F63EB4}" name="Cof" dataDxfId="198" totalsRowDxfId="197">
      <calculatedColumnFormula>((tableau1[[#This Row],[FR1]])*(0.6)+(tableau1[[#This Row],[FR2]])*(0.4))</calculatedColumnFormula>
    </tableColumn>
    <tableColumn id="16" xr3:uid="{71D72996-4EC1-4473-827B-56567C0EB970}" name="Pnd" dataDxfId="196" totalsRowDxfId="195">
      <calculatedColumnFormula>tableau1[[#This Row],[Cof]]*$E$2</calculatedColumnFormula>
    </tableColumn>
    <tableColumn id="18" xr3:uid="{37440397-CBB3-4DF1-948C-C70299BD3A42}" name="H1 " dataDxfId="194" totalsRowDxfId="193"/>
    <tableColumn id="19" xr3:uid="{8AB98D0D-80E2-4B24-AB75-799D5471D091}" name="H  2" dataDxfId="192" totalsRowDxfId="191"/>
    <tableColumn id="20" xr3:uid="{704DDF6C-8D6F-4A1A-8A43-F2F199FD3CBB}" name="Cof2" dataDxfId="190" totalsRowDxfId="189">
      <calculatedColumnFormula>((tableau1[[#This Row],[H1 ]])*(0.6)+(tableau1[[#This Row],[H  2]])*(0.4))</calculatedColumnFormula>
    </tableColumn>
    <tableColumn id="21" xr3:uid="{3A2E5EC6-2636-4464-8758-8DFB7B28C319}" name="Pnd2" dataDxfId="188" totalsRowDxfId="187">
      <calculatedColumnFormula>tableau1[[#This Row],[Cof2]]*$I$2</calculatedColumnFormula>
    </tableColumn>
    <tableColumn id="23" xr3:uid="{4CF84143-7DD0-4DEE-9C06-6929054E4493}" name="A 1 " dataDxfId="186" totalsRowDxfId="185"/>
    <tableColumn id="24" xr3:uid="{A0991BE8-CCA5-4334-9C15-02DEA096E37F}" name="A 2 " dataDxfId="184" totalsRowDxfId="183"/>
    <tableColumn id="25" xr3:uid="{94BB2EA8-0B55-4D24-9E96-6088BF02ADAA}" name="Cof3" dataDxfId="182" totalsRowDxfId="181">
      <calculatedColumnFormula>((tableau1[[#This Row],[A 1 ]])*(0.6)+(tableau1[[#This Row],[A 2 ]])*(0.4))</calculatedColumnFormula>
    </tableColumn>
    <tableColumn id="26" xr3:uid="{228294D2-1025-4E73-AFBD-C1AA36108BC4}" name="Pnd3" dataDxfId="180" totalsRowDxfId="179">
      <calculatedColumnFormula>tableau1[[#This Row],[Cof3]]*$M$2</calculatedColumnFormula>
    </tableColumn>
    <tableColumn id="28" xr3:uid="{38470306-2A45-4EEA-BF11-1D5B71772FA6}" name="T. L" dataDxfId="178" totalsRowDxfId="177">
      <calculatedColumnFormula>tableau1[[#This Row],[Pnd]]+tableau1[[#This Row],[Pnd2]]+tableau1[[#This Row],[Pnd3]]</calculatedColumnFormula>
    </tableColumn>
    <tableColumn id="29" xr3:uid="{BFCD6BBF-3C3B-4BF0-AE6F-61CEC17DFFEB}" name="MNY" dataDxfId="176" totalsRowDxfId="175">
      <calculatedColumnFormula>(tableau1[[#This Row],[T. L]]/($P$2))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7D6B9EA-AAD0-4154-A1AE-D7AE4C7E23C3}" name="tableau2" displayName="tableau2" ref="R3:AF6" dataDxfId="173" totalsRowDxfId="171" headerRowBorderDxfId="174" tableBorderDxfId="172" totalsRowBorderDxfId="170">
  <tableColumns count="15">
    <tableColumn id="13" xr3:uid="{BC4C9160-D966-4AAE-8216-C6A753103128}" name="Nom" dataDxfId="169" totalsRowDxfId="168"/>
    <tableColumn id="1" xr3:uid="{42A6396E-77F6-45E5-AABD-ACAE865C7B30}" name="FR1" dataDxfId="167" totalsRowDxfId="166"/>
    <tableColumn id="14" xr3:uid="{220094A8-285D-4246-A7E1-09291E0A9B27}" name="FR2" dataDxfId="165" totalsRowDxfId="164"/>
    <tableColumn id="15" xr3:uid="{7CBA8F49-5396-48F0-9F07-E0A149985E97}" name="Coef" dataDxfId="163" totalsRowDxfId="162">
      <calculatedColumnFormula>((tableau2[[#This Row],[FR1]])*(0.6)+(tableau2[[#This Row],[FR2]])*(0.4))</calculatedColumnFormula>
    </tableColumn>
    <tableColumn id="16" xr3:uid="{73D630D7-61AB-40DB-895C-5B2C097F8F73}" name="Pnd" dataDxfId="161" totalsRowDxfId="160">
      <calculatedColumnFormula>tableau2[[#This Row],[Coef]]*$E$2</calculatedColumnFormula>
    </tableColumn>
    <tableColumn id="18" xr3:uid="{C4D75DBC-152B-4739-9C51-808E14D94314}" name="H1 " dataDxfId="159" totalsRowDxfId="158"/>
    <tableColumn id="19" xr3:uid="{67C65670-A1F9-4BE1-BBA6-E43ACD7E8428}" name="H2" dataDxfId="157" totalsRowDxfId="156"/>
    <tableColumn id="20" xr3:uid="{5977E00F-21DD-40BE-A41C-C132908BC93C}" name="Coef2" dataDxfId="155" totalsRowDxfId="154">
      <calculatedColumnFormula>((tableau2[[#This Row],[H1 ]])*(0.6)+(tableau2[[#This Row],[H2]])*(0.4))</calculatedColumnFormula>
    </tableColumn>
    <tableColumn id="21" xr3:uid="{3E55E0DC-9DA9-4499-8317-6930446B3E06}" name="Pnd2" dataDxfId="153" totalsRowDxfId="152">
      <calculatedColumnFormula>tableau2[[#This Row],[Coef2]]*$I$2</calculatedColumnFormula>
    </tableColumn>
    <tableColumn id="23" xr3:uid="{15B1C55F-8837-43F0-A8D9-F068CBB2FE9A}" name="A 1 " dataDxfId="151" totalsRowDxfId="150"/>
    <tableColumn id="24" xr3:uid="{A98C3DF3-AD18-4FB4-9024-64594CA24EAD}" name="A 2 " dataDxfId="149" totalsRowDxfId="148"/>
    <tableColumn id="25" xr3:uid="{597DB716-4097-412D-A1E7-A95B30595A87}" name="Coef3" dataDxfId="147" totalsRowDxfId="146">
      <calculatedColumnFormula>((tableau2[[#This Row],[A 1 ]])*(0.6)+(tableau2[[#This Row],[A 2 ]])*(0.4))</calculatedColumnFormula>
    </tableColumn>
    <tableColumn id="26" xr3:uid="{6722CB98-2E78-4410-BDD9-54FCFAE6F979}" name="Pnd3" dataDxfId="145" totalsRowDxfId="144">
      <calculatedColumnFormula>tableau2[[#This Row],[Coef3]]*$M$2</calculatedColumnFormula>
    </tableColumn>
    <tableColumn id="28" xr3:uid="{7596D892-41F5-4C36-8CDB-64D1585E111C}" name="T. L" dataDxfId="143" totalsRowDxfId="142">
      <calculatedColumnFormula>tableau2[[#This Row],[Pnd]]+tableau2[[#This Row],[Pnd2]]+tableau2[[#This Row],[Pnd3]]</calculatedColumnFormula>
    </tableColumn>
    <tableColumn id="29" xr3:uid="{86A4C862-6C91-42C4-9C10-4CDE4BAE1E33}" name="MNY" dataDxfId="141" totalsRowDxfId="140">
      <calculatedColumnFormula>(tableau2[[#This Row],[T. L]]/($P$2))</calculatedColumnFormula>
    </tableColumn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379BE8-2B02-4210-9B48-AE34981B1216}" name="tableau3" displayName="tableau3" ref="AH3:AV6" dataDxfId="138" totalsRowDxfId="136" headerRowBorderDxfId="139" tableBorderDxfId="137" totalsRowBorderDxfId="135">
  <tableColumns count="15">
    <tableColumn id="13" xr3:uid="{00A3B36D-6878-4C61-AB66-0D4CCDC71F51}" name="Nom" dataDxfId="134" totalsRowDxfId="133"/>
    <tableColumn id="1" xr3:uid="{4CFA7654-329A-4262-8101-303745B20651}" name="FR1" dataDxfId="132" totalsRowDxfId="131"/>
    <tableColumn id="14" xr3:uid="{9C8F8802-4CCD-4C40-A4D6-C46EAD1F802D}" name="FR2" dataDxfId="130" totalsRowDxfId="129"/>
    <tableColumn id="15" xr3:uid="{656ABE98-D045-4A08-9924-E5E8901092D4}" name="Coef" dataDxfId="128" totalsRowDxfId="127">
      <calculatedColumnFormula>((tableau3[[#This Row],[FR1]])*(0.6)+(tableau3[[#This Row],[FR2]])*(0.4))</calculatedColumnFormula>
    </tableColumn>
    <tableColumn id="16" xr3:uid="{191E2990-5EEF-4B33-8830-AA238BF98AEB}" name="Pnd" dataDxfId="126" totalsRowDxfId="125">
      <calculatedColumnFormula>tableau3[[#This Row],[Coef]]*$E$2</calculatedColumnFormula>
    </tableColumn>
    <tableColumn id="18" xr3:uid="{602BFCD0-6820-4BB6-A40D-E16EA219033B}" name="H1 " dataDxfId="124" totalsRowDxfId="123"/>
    <tableColumn id="19" xr3:uid="{82F0F7A5-337C-4EF5-AEDB-013D83C1A5F9}" name="H2" dataDxfId="122" totalsRowDxfId="121"/>
    <tableColumn id="20" xr3:uid="{1C5C0EFF-5679-4188-8008-7036E0178D44}" name="Coef2" dataDxfId="120" totalsRowDxfId="119">
      <calculatedColumnFormula>((tableau3[[#This Row],[H1 ]])*(0.6)+(tableau3[[#This Row],[H2]])*(0.4))</calculatedColumnFormula>
    </tableColumn>
    <tableColumn id="21" xr3:uid="{E32849A4-30FF-436A-964D-E409B4B5F364}" name="Pnd2" dataDxfId="118" totalsRowDxfId="117">
      <calculatedColumnFormula>tableau3[[#This Row],[Coef2]]*$I$2</calculatedColumnFormula>
    </tableColumn>
    <tableColumn id="23" xr3:uid="{B1A0F5F6-0EA1-405B-A05B-9AFFCDDD3E37}" name="A 1 " dataDxfId="116" totalsRowDxfId="115"/>
    <tableColumn id="24" xr3:uid="{8A2A2254-7EBB-4E67-A45E-1B9FE243F991}" name="A 2 " dataDxfId="114" totalsRowDxfId="113"/>
    <tableColumn id="25" xr3:uid="{A40939E2-191E-4351-AD54-27FC7282097F}" name="Coef3" dataDxfId="112" totalsRowDxfId="111">
      <calculatedColumnFormula>((tableau3[[#This Row],[A 1 ]])*(0.6)+(tableau3[[#This Row],[A 2 ]])*(0.4))</calculatedColumnFormula>
    </tableColumn>
    <tableColumn id="26" xr3:uid="{DACD0382-774B-42FE-AE05-7D66F2872EF4}" name="Pnd3" dataDxfId="110" totalsRowDxfId="109">
      <calculatedColumnFormula>tableau3[[#This Row],[Coef3]]*$M$2</calculatedColumnFormula>
    </tableColumn>
    <tableColumn id="28" xr3:uid="{05A556A7-3F9E-415F-A54F-A0FA8E212A0A}" name="T. L" dataDxfId="108" totalsRowDxfId="107">
      <calculatedColumnFormula>tableau3[[#This Row],[Pnd]]+tableau3[[#This Row],[Pnd2]]+tableau3[[#This Row],[Pnd3]]</calculatedColumnFormula>
    </tableColumn>
    <tableColumn id="29" xr3:uid="{C238F1C7-A0CE-443B-BA8B-5B8B6B7ED724}" name="MNY" dataDxfId="106" totalsRowDxfId="105">
      <calculatedColumnFormula>(tableau3[[#This Row],[T. L]]/($P$2))</calculatedColumnFormula>
    </tableColumn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516F81E-4C76-414C-BFA0-47FF07D8E879}" name="tableau6" displayName="tableau6" ref="AH3:AV6" dataDxfId="103" totalsRowDxfId="101" headerRowBorderDxfId="104" tableBorderDxfId="102" totalsRowBorderDxfId="100">
  <tableColumns count="15">
    <tableColumn id="13" xr3:uid="{22D7EEC4-EB5C-431C-BB5D-3B81E1592BD5}" name="Nom" dataDxfId="99" totalsRowDxfId="98"/>
    <tableColumn id="1" xr3:uid="{EB0E7F4C-175F-41DE-AB81-158323525A3D}" name="FR1" dataDxfId="97" totalsRowDxfId="96"/>
    <tableColumn id="14" xr3:uid="{149BD7FE-8178-4B21-8CAA-D1EB604C4B35}" name="FR2" dataDxfId="95" totalsRowDxfId="94"/>
    <tableColumn id="15" xr3:uid="{72337982-D5B3-4B64-B62B-F8CA850106E9}" name="Coef" dataDxfId="93" totalsRowDxfId="92">
      <calculatedColumnFormula>((tableau6[[#This Row],[FR1]])*(0.6)+(tableau6[[#This Row],[FR2]])*(0.4))</calculatedColumnFormula>
    </tableColumn>
    <tableColumn id="16" xr3:uid="{62836506-2598-45AA-A26F-7C2EF3E447EF}" name="Pnd" dataDxfId="91" totalsRowDxfId="90">
      <calculatedColumnFormula>tableau6[[#This Row],[Coef]]*$E$2</calculatedColumnFormula>
    </tableColumn>
    <tableColumn id="18" xr3:uid="{056094E7-1DBA-4999-A893-877C605567EB}" name="H1 " dataDxfId="89" totalsRowDxfId="88"/>
    <tableColumn id="19" xr3:uid="{E735DE04-B0B1-4FEE-8B4F-D5B6A4F4805F}" name="H2" dataDxfId="87" totalsRowDxfId="86"/>
    <tableColumn id="20" xr3:uid="{C85FB943-6D09-420B-B57C-ACA983CDE904}" name="Coef2" dataDxfId="85" totalsRowDxfId="84">
      <calculatedColumnFormula>((tableau6[[#This Row],[H1 ]])*(0.6)+(tableau6[[#This Row],[H2]])*(0.4))</calculatedColumnFormula>
    </tableColumn>
    <tableColumn id="21" xr3:uid="{3429F3F9-5E3F-4FCE-B155-610138F05AE3}" name="Pnd2" dataDxfId="83" totalsRowDxfId="82">
      <calculatedColumnFormula>tableau6[[#This Row],[Coef2]]*$I$2</calculatedColumnFormula>
    </tableColumn>
    <tableColumn id="23" xr3:uid="{4211675E-9561-43FA-9C64-9E3C5489BA03}" name="A 1 " dataDxfId="81" totalsRowDxfId="80"/>
    <tableColumn id="24" xr3:uid="{9718CA0C-8778-4929-8B62-E0751A73E887}" name="A 2 " dataDxfId="79" totalsRowDxfId="78"/>
    <tableColumn id="25" xr3:uid="{4545C7F2-3AC7-4703-83AB-F6299D1183B2}" name="Coef3" dataDxfId="77" totalsRowDxfId="76">
      <calculatedColumnFormula>((tableau6[[#This Row],[A 1 ]])*(0.6)+(tableau6[[#This Row],[A 2 ]])*(0.4))</calculatedColumnFormula>
    </tableColumn>
    <tableColumn id="26" xr3:uid="{1923D987-D290-4166-AB53-89073FBD2969}" name="Pnd3" dataDxfId="75" totalsRowDxfId="74">
      <calculatedColumnFormula>tableau6[[#This Row],[Coef3]]*$M$2</calculatedColumnFormula>
    </tableColumn>
    <tableColumn id="28" xr3:uid="{FA484AB1-16A3-4F8E-BBFE-457BF57F84CD}" name="T. L" dataDxfId="73" totalsRowDxfId="72">
      <calculatedColumnFormula>tableau6[[#This Row],[Pnd]]+tableau6[[#This Row],[Pnd2]]+tableau6[[#This Row],[Pnd3]]</calculatedColumnFormula>
    </tableColumn>
    <tableColumn id="29" xr3:uid="{EB0DE803-79A5-40D5-8FBE-C669E92698DF}" name="MNY" dataDxfId="71" totalsRowDxfId="70">
      <calculatedColumnFormula>(tableau6[[#This Row],[T. L]]/($P$2))</calculatedColumnFormula>
    </tableColumn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BFBA4C6-4252-4149-80F6-1E3E7FBA4394}" name="tableau15" displayName="tableau15" ref="B3:P6" headerRowDxfId="69" dataDxfId="67" totalsRowDxfId="65" headerRowBorderDxfId="68" tableBorderDxfId="66" totalsRowBorderDxfId="64">
  <tableColumns count="15">
    <tableColumn id="13" xr3:uid="{FAB0960D-3A2A-44A5-ADCA-93F4A268DB0E}" name="Nom" dataDxfId="63" totalsRowDxfId="62"/>
    <tableColumn id="1" xr3:uid="{81F4E231-0E00-4D24-A111-9C842A1312F3}" name="FR1" dataDxfId="61" totalsRowDxfId="60"/>
    <tableColumn id="14" xr3:uid="{940F36F1-C521-4BCA-8752-4CCC5F363E70}" name="FR2" dataDxfId="59" totalsRowDxfId="58"/>
    <tableColumn id="15" xr3:uid="{3D35DE3A-7170-40A0-8621-AFAFF264F0C1}" name="Cof" dataDxfId="57" totalsRowDxfId="56">
      <calculatedColumnFormula>((tableau15[[#This Row],[FR1]])*(0.6)+(tableau15[[#This Row],[FR2]])*(0.4))</calculatedColumnFormula>
    </tableColumn>
    <tableColumn id="16" xr3:uid="{EF669C9F-063A-460D-829A-99746B531EB6}" name="Pnd" dataDxfId="55">
      <calculatedColumnFormula>tableau15[[#This Row],[Cof]]*$E$2</calculatedColumnFormula>
    </tableColumn>
    <tableColumn id="18" xr3:uid="{6EE4CF0A-A8BD-49BC-B570-F72B660CF6F4}" name="H1 " dataDxfId="54" totalsRowDxfId="53"/>
    <tableColumn id="19" xr3:uid="{B9726B96-0325-4EFE-A7FE-BC1B8FF6FEE5}" name="H  2" dataDxfId="52" totalsRowDxfId="51"/>
    <tableColumn id="20" xr3:uid="{5163FF22-1A47-4F45-B949-8A1E69944B1A}" name="Cof2" dataDxfId="50" totalsRowDxfId="49">
      <calculatedColumnFormula>((tableau15[[#This Row],[H1 ]])*(0.6)+(tableau15[[#This Row],[H  2]])*(0.4))</calculatedColumnFormula>
    </tableColumn>
    <tableColumn id="21" xr3:uid="{AD856719-16C3-4E34-9A73-5BDD7F55E982}" name="Pnd2" dataDxfId="48" totalsRowDxfId="47">
      <calculatedColumnFormula>tableau15[[#This Row],[Cof2]]*$I$2</calculatedColumnFormula>
    </tableColumn>
    <tableColumn id="23" xr3:uid="{F6464C44-09FE-44C6-844F-CA896075A86F}" name="A 1 " dataDxfId="46" totalsRowDxfId="45"/>
    <tableColumn id="24" xr3:uid="{6BCF9438-60F4-4CA5-A4F0-2B2D89D42F3A}" name="A 2 " dataDxfId="44" totalsRowDxfId="43"/>
    <tableColumn id="25" xr3:uid="{740DB3DE-7909-4195-8C04-3FEAFD20F9C4}" name="Cof3" dataDxfId="42" totalsRowDxfId="41">
      <calculatedColumnFormula>((tableau15[[#This Row],[A 1 ]])*(0.6)+(tableau15[[#This Row],[A 2 ]])*(0.4))</calculatedColumnFormula>
    </tableColumn>
    <tableColumn id="26" xr3:uid="{62096976-1E50-4740-A56B-0B8FA4F02D3B}" name="Pnd3" dataDxfId="40" totalsRowDxfId="39">
      <calculatedColumnFormula>tableau15[[#This Row],[Cof3]]*$M$2</calculatedColumnFormula>
    </tableColumn>
    <tableColumn id="28" xr3:uid="{A1BCFF9E-3077-4484-AE4B-5F2E12E38418}" name="T. L" dataDxfId="38" totalsRowDxfId="37">
      <calculatedColumnFormula>tableau15[[#This Row],[Pnd]]+tableau15[[#This Row],[Pnd2]]+tableau15[[#This Row],[Pnd3]]</calculatedColumnFormula>
    </tableColumn>
    <tableColumn id="29" xr3:uid="{DBC5BCDE-86DB-4DE2-B41C-C0CE0973C24B}" name="MNY" dataDxfId="36" totalsRowDxfId="35">
      <calculatedColumnFormula>(tableau15[[#This Row],[T. L]]/($P$2))</calculatedColumnFormula>
    </tableColumn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2583679-832B-401B-84EF-BF893EEED75A}" name="tableau26" displayName="tableau26" ref="R3:AF6" dataDxfId="33" totalsRowDxfId="31" headerRowBorderDxfId="34" tableBorderDxfId="32" totalsRowBorderDxfId="30">
  <tableColumns count="15">
    <tableColumn id="13" xr3:uid="{E5FA9269-A895-4F0E-BA7F-9AD3882C21A5}" name="Nom" dataDxfId="29" totalsRowDxfId="28"/>
    <tableColumn id="1" xr3:uid="{62E30404-AD6B-4728-9BC9-71073DA8D8AF}" name="FR1" dataDxfId="27" totalsRowDxfId="26"/>
    <tableColumn id="14" xr3:uid="{47CBCB69-0889-4B88-965C-64A51C58E3DA}" name="FR2" dataDxfId="25" totalsRowDxfId="24"/>
    <tableColumn id="15" xr3:uid="{1F96CE15-D5DA-4F7B-99A5-6689C094661D}" name="Coef" dataDxfId="23" totalsRowDxfId="22">
      <calculatedColumnFormula>((tableau26[[#This Row],[FR1]])*(0.6)+(tableau26[[#This Row],[FR2]])*(0.4))</calculatedColumnFormula>
    </tableColumn>
    <tableColumn id="16" xr3:uid="{85BA1939-CB3B-4D31-B425-DB804FD9159B}" name="Pnd" dataDxfId="21" totalsRowDxfId="20">
      <calculatedColumnFormula>tableau26[[#This Row],[Coef]]*$E$2</calculatedColumnFormula>
    </tableColumn>
    <tableColumn id="18" xr3:uid="{AA0B98A0-63B5-48B3-B06D-1ADD95BB62F5}" name="H1 " dataDxfId="19" totalsRowDxfId="18"/>
    <tableColumn id="19" xr3:uid="{5368F7BE-35D7-403B-8D33-E527B4BF5A67}" name="H2" dataDxfId="17" totalsRowDxfId="16"/>
    <tableColumn id="20" xr3:uid="{A044F5F1-6258-43F8-A9F5-8E3B605E1340}" name="Coef2" dataDxfId="15" totalsRowDxfId="14">
      <calculatedColumnFormula>((tableau26[[#This Row],[H1 ]])*(0.6)+(tableau26[[#This Row],[H2]])*(0.4))</calculatedColumnFormula>
    </tableColumn>
    <tableColumn id="21" xr3:uid="{DE572ECB-16A3-47D5-9F70-1D4F88437A01}" name="Pnd2" dataDxfId="13" totalsRowDxfId="12">
      <calculatedColumnFormula>tableau26[[#This Row],[Coef2]]*$I$2</calculatedColumnFormula>
    </tableColumn>
    <tableColumn id="23" xr3:uid="{AF61ADDC-9D9B-4785-B814-9F002C39F71B}" name="A 1 " dataDxfId="11" totalsRowDxfId="10"/>
    <tableColumn id="24" xr3:uid="{11D28912-FE79-4596-B102-99DEEF3CF158}" name="A 2 " dataDxfId="9" totalsRowDxfId="8"/>
    <tableColumn id="25" xr3:uid="{87068269-03A8-4E79-8D61-AA42ACA64A66}" name="Coef3" dataDxfId="7" totalsRowDxfId="6">
      <calculatedColumnFormula>((tableau26[[#This Row],[A 1 ]])*(0.6)+(tableau26[[#This Row],[A 2 ]])*(0.4))</calculatedColumnFormula>
    </tableColumn>
    <tableColumn id="26" xr3:uid="{7EB5EE4F-A59A-4620-B539-5AA3D5E98AE0}" name="Pnd3" dataDxfId="5" totalsRowDxfId="4">
      <calculatedColumnFormula>tableau26[[#This Row],[Coef3]]*$M$2</calculatedColumnFormula>
    </tableColumn>
    <tableColumn id="28" xr3:uid="{C4F1DD7D-AA94-4737-B589-C9E61BDB71A6}" name="T. L" dataDxfId="3" totalsRowDxfId="2">
      <calculatedColumnFormula>tableau26[[#This Row],[Pnd]]+tableau26[[#This Row],[Pnd2]]+tableau26[[#This Row],[Pnd3]]</calculatedColumnFormula>
    </tableColumn>
    <tableColumn id="29" xr3:uid="{0B63C413-C275-4FC1-9BA7-EF6EC09B68AA}" name="MNY" dataDxfId="1" totalsRowDxfId="0">
      <calculatedColumnFormula>(tableau26[[#This Row],[T. L]]/($P$2))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54050-44DF-4C80-BB98-459E56D8CE1C}">
  <sheetPr codeName="Feuil1"/>
  <dimension ref="B1:AV6"/>
  <sheetViews>
    <sheetView workbookViewId="0">
      <selection activeCell="N22" sqref="N22"/>
    </sheetView>
  </sheetViews>
  <sheetFormatPr baseColWidth="10" defaultRowHeight="15" x14ac:dyDescent="0.25"/>
  <cols>
    <col min="1" max="1" width="11.42578125" style="2"/>
    <col min="2" max="2" width="22.5703125" style="1" customWidth="1"/>
    <col min="3" max="4" width="5.7109375" style="1" customWidth="1"/>
    <col min="5" max="5" width="5.5703125" style="1" bestFit="1" customWidth="1"/>
    <col min="6" max="6" width="6.85546875" style="1" customWidth="1"/>
    <col min="7" max="8" width="5.7109375" style="1" customWidth="1"/>
    <col min="9" max="10" width="5.5703125" style="1" bestFit="1" customWidth="1"/>
    <col min="11" max="12" width="6.7109375" style="1" customWidth="1"/>
    <col min="13" max="13" width="6.5703125" style="1" customWidth="1"/>
    <col min="14" max="14" width="8.28515625" style="1" customWidth="1"/>
    <col min="15" max="15" width="8.42578125" style="1" customWidth="1"/>
    <col min="16" max="16" width="8.140625" style="45" customWidth="1"/>
    <col min="17" max="17" width="11.42578125" style="2"/>
    <col min="18" max="18" width="26" style="1" customWidth="1"/>
    <col min="19" max="19" width="5.5703125" style="1" customWidth="1"/>
    <col min="20" max="20" width="6" style="1" customWidth="1"/>
    <col min="21" max="22" width="5.5703125" style="1" customWidth="1"/>
    <col min="23" max="23" width="5.42578125" style="1" customWidth="1"/>
    <col min="24" max="24" width="5.28515625" style="1" customWidth="1"/>
    <col min="25" max="25" width="5.85546875" style="1" customWidth="1"/>
    <col min="26" max="26" width="6.28515625" style="1" customWidth="1"/>
    <col min="27" max="27" width="5.5703125" style="1" customWidth="1"/>
    <col min="28" max="28" width="6" style="1" customWidth="1"/>
    <col min="29" max="32" width="6.28515625" style="1" customWidth="1"/>
    <col min="33" max="33" width="11.42578125" style="2"/>
    <col min="34" max="34" width="26" style="1" customWidth="1"/>
    <col min="35" max="35" width="5.5703125" style="1" customWidth="1"/>
    <col min="36" max="36" width="6" style="1" customWidth="1"/>
    <col min="37" max="38" width="5.5703125" style="1" customWidth="1"/>
    <col min="39" max="39" width="5.42578125" style="1" customWidth="1"/>
    <col min="40" max="40" width="5.28515625" style="1" customWidth="1"/>
    <col min="41" max="41" width="5.85546875" style="1" customWidth="1"/>
    <col min="42" max="42" width="6.28515625" style="1" customWidth="1"/>
    <col min="43" max="44" width="6.7109375" style="1" customWidth="1"/>
    <col min="45" max="47" width="6.85546875" style="1" customWidth="1"/>
    <col min="48" max="48" width="6.7109375" style="45" customWidth="1"/>
    <col min="49" max="16384" width="11.42578125" style="2"/>
  </cols>
  <sheetData>
    <row r="1" spans="2:48" ht="23.25" thickBot="1" x14ac:dyDescent="0.5">
      <c r="B1" s="58" t="s">
        <v>1</v>
      </c>
      <c r="C1" s="59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1"/>
      <c r="R1" s="66" t="s">
        <v>9</v>
      </c>
      <c r="S1" s="67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9"/>
      <c r="AH1" s="62" t="s">
        <v>19</v>
      </c>
      <c r="AI1" s="63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5"/>
    </row>
    <row r="2" spans="2:48" customFormat="1" ht="15.75" thickBot="1" x14ac:dyDescent="0.3">
      <c r="B2" s="31"/>
      <c r="C2" s="70" t="s">
        <v>3</v>
      </c>
      <c r="D2" s="71"/>
      <c r="E2" s="28">
        <v>3</v>
      </c>
      <c r="F2" s="13"/>
      <c r="G2" s="72" t="s">
        <v>5</v>
      </c>
      <c r="H2" s="73"/>
      <c r="I2" s="28">
        <v>2</v>
      </c>
      <c r="J2" s="14" t="s">
        <v>0</v>
      </c>
      <c r="K2" s="74" t="s">
        <v>7</v>
      </c>
      <c r="L2" s="75"/>
      <c r="M2" s="28">
        <v>2</v>
      </c>
      <c r="N2" s="17"/>
      <c r="O2" s="18" t="s">
        <v>2</v>
      </c>
      <c r="P2" s="28">
        <f>$I$2+$M$2+$E$2</f>
        <v>7</v>
      </c>
      <c r="R2" s="12"/>
      <c r="S2" s="70" t="s">
        <v>3</v>
      </c>
      <c r="T2" s="71"/>
      <c r="U2" s="28">
        <v>3</v>
      </c>
      <c r="V2" s="13" t="s">
        <v>0</v>
      </c>
      <c r="W2" s="72" t="s">
        <v>5</v>
      </c>
      <c r="X2" s="73"/>
      <c r="Y2" s="28">
        <v>2</v>
      </c>
      <c r="Z2" s="14" t="s">
        <v>0</v>
      </c>
      <c r="AA2" s="74" t="s">
        <v>7</v>
      </c>
      <c r="AB2" s="75"/>
      <c r="AC2" s="28">
        <v>2</v>
      </c>
      <c r="AD2" s="17" t="s">
        <v>0</v>
      </c>
      <c r="AE2" s="18" t="s">
        <v>2</v>
      </c>
      <c r="AF2" s="28">
        <f>$I$2+$M$2+$E$2</f>
        <v>7</v>
      </c>
      <c r="AH2" s="12"/>
      <c r="AI2" s="12" t="s">
        <v>3</v>
      </c>
      <c r="AJ2" s="13" t="s">
        <v>4</v>
      </c>
      <c r="AK2" s="28">
        <v>3</v>
      </c>
      <c r="AL2" s="13" t="s">
        <v>0</v>
      </c>
      <c r="AM2" s="15" t="s">
        <v>5</v>
      </c>
      <c r="AN2" s="15" t="s">
        <v>6</v>
      </c>
      <c r="AO2" s="28">
        <v>2</v>
      </c>
      <c r="AP2" s="14" t="s">
        <v>0</v>
      </c>
      <c r="AQ2" s="16" t="s">
        <v>7</v>
      </c>
      <c r="AR2" s="16" t="s">
        <v>8</v>
      </c>
      <c r="AS2" s="28">
        <v>2</v>
      </c>
      <c r="AT2" s="17" t="s">
        <v>0</v>
      </c>
      <c r="AU2" s="18" t="s">
        <v>2</v>
      </c>
      <c r="AV2" s="28">
        <f>$I$2+$M$2+$E$2</f>
        <v>7</v>
      </c>
    </row>
    <row r="3" spans="2:48" customFormat="1" x14ac:dyDescent="0.25">
      <c r="B3" s="33" t="s">
        <v>29</v>
      </c>
      <c r="C3" s="37" t="s">
        <v>13</v>
      </c>
      <c r="D3" s="38" t="s">
        <v>14</v>
      </c>
      <c r="E3" s="32" t="s">
        <v>25</v>
      </c>
      <c r="F3" s="32" t="s">
        <v>0</v>
      </c>
      <c r="G3" s="34" t="s">
        <v>5</v>
      </c>
      <c r="H3" s="34" t="s">
        <v>6</v>
      </c>
      <c r="I3" s="39" t="s">
        <v>24</v>
      </c>
      <c r="J3" s="34" t="s">
        <v>11</v>
      </c>
      <c r="K3" s="35" t="s">
        <v>7</v>
      </c>
      <c r="L3" s="35" t="s">
        <v>8</v>
      </c>
      <c r="M3" s="40" t="s">
        <v>23</v>
      </c>
      <c r="N3" s="35" t="s">
        <v>21</v>
      </c>
      <c r="O3" s="36" t="s">
        <v>2</v>
      </c>
      <c r="P3" s="43" t="s">
        <v>12</v>
      </c>
      <c r="R3" s="33" t="s">
        <v>29</v>
      </c>
      <c r="S3" s="37" t="s">
        <v>13</v>
      </c>
      <c r="T3" s="38" t="s">
        <v>14</v>
      </c>
      <c r="U3" s="32" t="s">
        <v>10</v>
      </c>
      <c r="V3" s="32" t="s">
        <v>0</v>
      </c>
      <c r="W3" s="34" t="s">
        <v>5</v>
      </c>
      <c r="X3" s="34" t="s">
        <v>20</v>
      </c>
      <c r="Y3" s="39" t="s">
        <v>15</v>
      </c>
      <c r="Z3" s="34" t="s">
        <v>11</v>
      </c>
      <c r="AA3" s="35" t="s">
        <v>7</v>
      </c>
      <c r="AB3" s="35" t="s">
        <v>8</v>
      </c>
      <c r="AC3" s="40" t="s">
        <v>22</v>
      </c>
      <c r="AD3" s="35" t="s">
        <v>21</v>
      </c>
      <c r="AE3" s="36" t="s">
        <v>2</v>
      </c>
      <c r="AF3" s="41" t="s">
        <v>12</v>
      </c>
      <c r="AH3" s="33" t="s">
        <v>29</v>
      </c>
      <c r="AI3" s="37" t="s">
        <v>13</v>
      </c>
      <c r="AJ3" s="38" t="s">
        <v>14</v>
      </c>
      <c r="AK3" s="32" t="s">
        <v>10</v>
      </c>
      <c r="AL3" s="32" t="s">
        <v>0</v>
      </c>
      <c r="AM3" s="34" t="s">
        <v>5</v>
      </c>
      <c r="AN3" s="34" t="s">
        <v>20</v>
      </c>
      <c r="AO3" s="39" t="s">
        <v>15</v>
      </c>
      <c r="AP3" s="34" t="s">
        <v>11</v>
      </c>
      <c r="AQ3" s="35" t="s">
        <v>7</v>
      </c>
      <c r="AR3" s="35" t="s">
        <v>8</v>
      </c>
      <c r="AS3" s="40" t="s">
        <v>22</v>
      </c>
      <c r="AT3" s="35" t="s">
        <v>21</v>
      </c>
      <c r="AU3" s="36" t="s">
        <v>2</v>
      </c>
      <c r="AV3" s="41" t="s">
        <v>12</v>
      </c>
    </row>
    <row r="4" spans="2:48" customFormat="1" x14ac:dyDescent="0.25">
      <c r="B4" s="19" t="s">
        <v>16</v>
      </c>
      <c r="C4" s="19">
        <v>12</v>
      </c>
      <c r="D4" s="3">
        <v>12</v>
      </c>
      <c r="E4" s="4">
        <f>((tableau1[[#This Row],[FR1]])*(0.6)+(tableau1[[#This Row],[FR2]])*(0.4))</f>
        <v>12</v>
      </c>
      <c r="F4" s="4">
        <f>tableau1[[#This Row],[Cof]]*$E$2</f>
        <v>36</v>
      </c>
      <c r="G4" s="5">
        <v>17</v>
      </c>
      <c r="H4" s="5">
        <v>14</v>
      </c>
      <c r="I4" s="6">
        <f>((tableau1[[#This Row],[H1 ]])*(0.6)+(tableau1[[#This Row],[H  2]])*(0.4))</f>
        <v>15.8</v>
      </c>
      <c r="J4" s="6">
        <f>tableau1[[#This Row],[Cof2]]*$I$2</f>
        <v>31.6</v>
      </c>
      <c r="K4" s="7">
        <v>13</v>
      </c>
      <c r="L4" s="7">
        <v>18</v>
      </c>
      <c r="M4" s="8">
        <f>((tableau1[[#This Row],[A 1 ]])*(0.6)+(tableau1[[#This Row],[A 2 ]])*(0.4))</f>
        <v>15</v>
      </c>
      <c r="N4" s="8">
        <f>tableau1[[#This Row],[Cof3]]*$M$2</f>
        <v>30</v>
      </c>
      <c r="O4" s="9">
        <f>tableau1[[#This Row],[Pnd]]+tableau1[[#This Row],[Pnd2]]+tableau1[[#This Row],[Pnd3]]</f>
        <v>97.6</v>
      </c>
      <c r="P4" s="42">
        <f>(tableau1[[#This Row],[T. L]]/($P$2))</f>
        <v>13.942857142857141</v>
      </c>
      <c r="R4" s="19" t="s">
        <v>37</v>
      </c>
      <c r="S4" s="29">
        <v>17</v>
      </c>
      <c r="T4" s="3">
        <v>13</v>
      </c>
      <c r="U4" s="4">
        <f>((tableau2[[#This Row],[FR1]])*(0.6)+(tableau2[[#This Row],[FR2]])*(0.4))</f>
        <v>15.399999999999999</v>
      </c>
      <c r="V4" s="4">
        <f>tableau2[[#This Row],[Coef]]*$E$2</f>
        <v>46.199999999999996</v>
      </c>
      <c r="W4" s="5">
        <v>8</v>
      </c>
      <c r="X4" s="5">
        <v>11</v>
      </c>
      <c r="Y4" s="6">
        <f>((tableau2[[#This Row],[H1 ]])*(0.6)+(tableau2[[#This Row],[H2]])*(0.4))</f>
        <v>9.1999999999999993</v>
      </c>
      <c r="Z4" s="6">
        <f>tableau2[[#This Row],[Coef2]]*$I$2</f>
        <v>18.399999999999999</v>
      </c>
      <c r="AA4" s="7">
        <v>19</v>
      </c>
      <c r="AB4" s="7">
        <v>20</v>
      </c>
      <c r="AC4" s="8">
        <f>((tableau2[[#This Row],[A 1 ]])*(0.6)+(tableau2[[#This Row],[A 2 ]])*(0.4))</f>
        <v>19.399999999999999</v>
      </c>
      <c r="AD4" s="8">
        <f>tableau2[[#This Row],[Coef3]]*$M$2</f>
        <v>38.799999999999997</v>
      </c>
      <c r="AE4" s="9">
        <f>tableau2[[#This Row],[Pnd]]+tableau2[[#This Row],[Pnd2]]+tableau2[[#This Row],[Pnd3]]</f>
        <v>103.39999999999999</v>
      </c>
      <c r="AF4" s="42">
        <f>(tableau2[[#This Row],[T. L]]/($P$2))</f>
        <v>14.77142857142857</v>
      </c>
      <c r="AH4" s="19" t="s">
        <v>16</v>
      </c>
      <c r="AI4" s="29">
        <v>17</v>
      </c>
      <c r="AJ4" s="3">
        <v>13</v>
      </c>
      <c r="AK4" s="4">
        <f>((tableau3[[#This Row],[FR1]])*(0.6)+(tableau3[[#This Row],[FR2]])*(0.4))</f>
        <v>15.399999999999999</v>
      </c>
      <c r="AL4" s="4">
        <f>tableau3[[#This Row],[Coef]]*$E$2</f>
        <v>46.199999999999996</v>
      </c>
      <c r="AM4" s="5">
        <v>8</v>
      </c>
      <c r="AN4" s="5">
        <v>11</v>
      </c>
      <c r="AO4" s="6">
        <f>((tableau3[[#This Row],[H1 ]])*(0.6)+(tableau3[[#This Row],[H2]])*(0.4))</f>
        <v>9.1999999999999993</v>
      </c>
      <c r="AP4" s="6">
        <f>tableau3[[#This Row],[Coef2]]*$I$2</f>
        <v>18.399999999999999</v>
      </c>
      <c r="AQ4" s="7">
        <v>19</v>
      </c>
      <c r="AR4" s="7">
        <v>20</v>
      </c>
      <c r="AS4" s="8">
        <f>((tableau3[[#This Row],[A 1 ]])*(0.6)+(tableau3[[#This Row],[A 2 ]])*(0.4))</f>
        <v>19.399999999999999</v>
      </c>
      <c r="AT4" s="8">
        <f>tableau3[[#This Row],[Coef3]]*$M$2</f>
        <v>38.799999999999997</v>
      </c>
      <c r="AU4" s="9">
        <f>tableau3[[#This Row],[Pnd]]+tableau3[[#This Row],[Pnd2]]+tableau3[[#This Row],[Pnd3]]</f>
        <v>103.39999999999999</v>
      </c>
      <c r="AV4" s="42">
        <f>(tableau3[[#This Row],[T. L]]/($P$2))</f>
        <v>14.77142857142857</v>
      </c>
    </row>
    <row r="5" spans="2:48" customFormat="1" x14ac:dyDescent="0.25">
      <c r="B5" s="19" t="s">
        <v>17</v>
      </c>
      <c r="C5" s="29">
        <v>3</v>
      </c>
      <c r="D5" s="3">
        <v>17</v>
      </c>
      <c r="E5" s="4">
        <f>((tableau1[[#This Row],[FR1]])*(0.6)+(tableau1[[#This Row],[FR2]])*(0.4))</f>
        <v>8.6000000000000014</v>
      </c>
      <c r="F5" s="4">
        <f>tableau1[[#This Row],[Cof]]*$E$2</f>
        <v>25.800000000000004</v>
      </c>
      <c r="G5" s="5">
        <v>12</v>
      </c>
      <c r="H5" s="5">
        <v>11</v>
      </c>
      <c r="I5" s="6">
        <f>((tableau1[[#This Row],[H1 ]])*(0.6)+(tableau1[[#This Row],[H  2]])*(0.4))</f>
        <v>11.6</v>
      </c>
      <c r="J5" s="6">
        <f>tableau1[[#This Row],[Cof2]]*$I$2</f>
        <v>23.2</v>
      </c>
      <c r="K5" s="10">
        <v>14</v>
      </c>
      <c r="L5" s="10">
        <v>19</v>
      </c>
      <c r="M5" s="11">
        <f>((tableau1[[#This Row],[A 1 ]])*(0.6)+(tableau1[[#This Row],[A 2 ]])*(0.4))</f>
        <v>16</v>
      </c>
      <c r="N5" s="11">
        <f>tableau1[[#This Row],[Cof3]]*$M$2</f>
        <v>32</v>
      </c>
      <c r="O5" s="9">
        <f>tableau1[[#This Row],[Pnd]]+tableau1[[#This Row],[Pnd2]]+tableau1[[#This Row],[Pnd3]]</f>
        <v>81</v>
      </c>
      <c r="P5" s="42">
        <f>(tableau1[[#This Row],[T. L]]/($P$2))</f>
        <v>11.571428571428571</v>
      </c>
      <c r="R5" s="19" t="s">
        <v>38</v>
      </c>
      <c r="S5" s="29">
        <v>13</v>
      </c>
      <c r="T5" s="3">
        <v>11</v>
      </c>
      <c r="U5" s="4">
        <f>((tableau2[[#This Row],[FR1]])*(0.6)+(tableau2[[#This Row],[FR2]])*(0.4))</f>
        <v>12.2</v>
      </c>
      <c r="V5" s="4">
        <f>tableau2[[#This Row],[Coef]]*$E$2</f>
        <v>36.599999999999994</v>
      </c>
      <c r="W5" s="5">
        <v>12</v>
      </c>
      <c r="X5" s="5">
        <v>13</v>
      </c>
      <c r="Y5" s="6">
        <f>((tableau2[[#This Row],[H1 ]])*(0.6)+(tableau2[[#This Row],[H2]])*(0.4))</f>
        <v>12.399999999999999</v>
      </c>
      <c r="Z5" s="6">
        <f>tableau2[[#This Row],[Coef2]]*$I$2</f>
        <v>24.799999999999997</v>
      </c>
      <c r="AA5" s="10">
        <v>2</v>
      </c>
      <c r="AB5" s="10">
        <v>4</v>
      </c>
      <c r="AC5" s="11">
        <f>((tableau2[[#This Row],[A 1 ]])*(0.6)+(tableau2[[#This Row],[A 2 ]])*(0.4))</f>
        <v>2.8</v>
      </c>
      <c r="AD5" s="11">
        <f>tableau2[[#This Row],[Coef3]]*$M$2</f>
        <v>5.6</v>
      </c>
      <c r="AE5" s="9">
        <f>tableau2[[#This Row],[Pnd]]+tableau2[[#This Row],[Pnd2]]+tableau2[[#This Row],[Pnd3]]</f>
        <v>66.999999999999986</v>
      </c>
      <c r="AF5" s="42">
        <f>(tableau2[[#This Row],[T. L]]/($P$2))</f>
        <v>9.5714285714285694</v>
      </c>
      <c r="AH5" s="19" t="s">
        <v>17</v>
      </c>
      <c r="AI5" s="29">
        <v>12</v>
      </c>
      <c r="AJ5" s="3">
        <v>11</v>
      </c>
      <c r="AK5" s="4">
        <f>((tableau3[[#This Row],[FR1]])*(0.6)+(tableau3[[#This Row],[FR2]])*(0.4))</f>
        <v>11.6</v>
      </c>
      <c r="AL5" s="4">
        <f>tableau3[[#This Row],[Coef]]*$E$2</f>
        <v>34.799999999999997</v>
      </c>
      <c r="AM5" s="5">
        <v>9</v>
      </c>
      <c r="AN5" s="5">
        <v>8</v>
      </c>
      <c r="AO5" s="6">
        <f>((tableau3[[#This Row],[H1 ]])*(0.6)+(tableau3[[#This Row],[H2]])*(0.4))</f>
        <v>8.6</v>
      </c>
      <c r="AP5" s="6">
        <f>tableau3[[#This Row],[Coef2]]*$I$2</f>
        <v>17.2</v>
      </c>
      <c r="AQ5" s="10">
        <v>4</v>
      </c>
      <c r="AR5" s="10">
        <v>13</v>
      </c>
      <c r="AS5" s="11">
        <f>((tableau3[[#This Row],[A 1 ]])*(0.6)+(tableau3[[#This Row],[A 2 ]])*(0.4))</f>
        <v>7.6</v>
      </c>
      <c r="AT5" s="11">
        <f>tableau3[[#This Row],[Coef3]]*$M$2</f>
        <v>15.2</v>
      </c>
      <c r="AU5" s="9">
        <f>tableau3[[#This Row],[Pnd]]+tableau3[[#This Row],[Pnd2]]+tableau3[[#This Row],[Pnd3]]</f>
        <v>67.2</v>
      </c>
      <c r="AV5" s="42">
        <f>(tableau3[[#This Row],[T. L]]/($P$2))</f>
        <v>9.6</v>
      </c>
    </row>
    <row r="6" spans="2:48" customFormat="1" ht="15.75" thickBot="1" x14ac:dyDescent="0.3">
      <c r="B6" s="20" t="s">
        <v>18</v>
      </c>
      <c r="C6" s="30">
        <v>13</v>
      </c>
      <c r="D6" s="21">
        <v>2</v>
      </c>
      <c r="E6" s="22">
        <f>((tableau1[[#This Row],[FR1]])*(0.6)+(tableau1[[#This Row],[FR2]])*(0.4))</f>
        <v>8.6</v>
      </c>
      <c r="F6" s="22">
        <f>tableau1[[#This Row],[Cof]]*$E$2</f>
        <v>25.799999999999997</v>
      </c>
      <c r="G6" s="23"/>
      <c r="H6" s="23"/>
      <c r="I6" s="24">
        <f>((tableau1[[#This Row],[H1 ]])*(0.6)+(tableau1[[#This Row],[H  2]])*(0.4))</f>
        <v>0</v>
      </c>
      <c r="J6" s="24">
        <f>tableau1[[#This Row],[Cof2]]*$I$2</f>
        <v>0</v>
      </c>
      <c r="K6" s="25">
        <v>12</v>
      </c>
      <c r="L6" s="25">
        <v>12</v>
      </c>
      <c r="M6" s="26">
        <f>((tableau1[[#This Row],[A 1 ]])*(0.6)+(tableau1[[#This Row],[A 2 ]])*(0.4))</f>
        <v>12</v>
      </c>
      <c r="N6" s="26">
        <f>tableau1[[#This Row],[Cof3]]*$M$2</f>
        <v>24</v>
      </c>
      <c r="O6" s="27">
        <f>tableau1[[#This Row],[Pnd]]+tableau1[[#This Row],[Pnd2]]+tableau1[[#This Row],[Pnd3]]</f>
        <v>49.8</v>
      </c>
      <c r="P6" s="44">
        <f>(tableau1[[#This Row],[T. L]]/($P$2))</f>
        <v>7.1142857142857139</v>
      </c>
      <c r="R6" s="20" t="s">
        <v>39</v>
      </c>
      <c r="S6" s="30">
        <v>21</v>
      </c>
      <c r="T6" s="21">
        <v>3</v>
      </c>
      <c r="U6" s="22">
        <f>((tableau2[[#This Row],[FR1]])*(0.6)+(tableau2[[#This Row],[FR2]])*(0.4))</f>
        <v>13.8</v>
      </c>
      <c r="V6" s="22">
        <f>tableau2[[#This Row],[Coef]]*$E$2</f>
        <v>41.400000000000006</v>
      </c>
      <c r="W6" s="23">
        <v>45</v>
      </c>
      <c r="X6" s="23">
        <v>23</v>
      </c>
      <c r="Y6" s="24">
        <f>((tableau2[[#This Row],[H1 ]])*(0.6)+(tableau2[[#This Row],[H2]])*(0.4))</f>
        <v>36.200000000000003</v>
      </c>
      <c r="Z6" s="24">
        <f>tableau2[[#This Row],[Coef2]]*$I$2</f>
        <v>72.400000000000006</v>
      </c>
      <c r="AA6" s="25">
        <v>13</v>
      </c>
      <c r="AB6" s="25">
        <v>15</v>
      </c>
      <c r="AC6" s="26">
        <f>((tableau2[[#This Row],[A 1 ]])*(0.6)+(tableau2[[#This Row],[A 2 ]])*(0.4))</f>
        <v>13.8</v>
      </c>
      <c r="AD6" s="26">
        <f>tableau2[[#This Row],[Coef3]]*$M$2</f>
        <v>27.6</v>
      </c>
      <c r="AE6" s="27">
        <f>tableau2[[#This Row],[Pnd]]+tableau2[[#This Row],[Pnd2]]+tableau2[[#This Row],[Pnd3]]</f>
        <v>141.4</v>
      </c>
      <c r="AF6" s="42">
        <f>(tableau2[[#This Row],[T. L]]/($P$2))</f>
        <v>20.2</v>
      </c>
      <c r="AH6" s="20" t="s">
        <v>18</v>
      </c>
      <c r="AI6" s="30"/>
      <c r="AJ6" s="21"/>
      <c r="AK6" s="22">
        <f>((tableau3[[#This Row],[FR1]])*(0.6)+(tableau3[[#This Row],[FR2]])*(0.4))</f>
        <v>0</v>
      </c>
      <c r="AL6" s="22">
        <f>tableau3[[#This Row],[Coef]]*$E$2</f>
        <v>0</v>
      </c>
      <c r="AM6" s="23"/>
      <c r="AN6" s="23"/>
      <c r="AO6" s="24">
        <f>((tableau3[[#This Row],[H1 ]])*(0.6)+(tableau3[[#This Row],[H2]])*(0.4))</f>
        <v>0</v>
      </c>
      <c r="AP6" s="24">
        <f>tableau3[[#This Row],[Coef2]]*$I$2</f>
        <v>0</v>
      </c>
      <c r="AQ6" s="25"/>
      <c r="AR6" s="25"/>
      <c r="AS6" s="26">
        <f>((tableau3[[#This Row],[A 1 ]])*(0.6)+(tableau3[[#This Row],[A 2 ]])*(0.4))</f>
        <v>0</v>
      </c>
      <c r="AT6" s="26">
        <f>tableau3[[#This Row],[Coef3]]*$M$2</f>
        <v>0</v>
      </c>
      <c r="AU6" s="27">
        <f>tableau3[[#This Row],[Pnd]]+tableau3[[#This Row],[Pnd2]]+tableau3[[#This Row],[Pnd3]]</f>
        <v>0</v>
      </c>
      <c r="AV6" s="44">
        <f>(tableau3[[#This Row],[T. L]]/($P$2))</f>
        <v>0</v>
      </c>
    </row>
  </sheetData>
  <mergeCells count="9">
    <mergeCell ref="B1:P1"/>
    <mergeCell ref="AH1:AV1"/>
    <mergeCell ref="R1:AF1"/>
    <mergeCell ref="C2:D2"/>
    <mergeCell ref="G2:H2"/>
    <mergeCell ref="K2:L2"/>
    <mergeCell ref="S2:T2"/>
    <mergeCell ref="W2:X2"/>
    <mergeCell ref="AA2:AB2"/>
  </mergeCells>
  <phoneticPr fontId="8" type="noConversion"/>
  <conditionalFormatting sqref="D3">
    <cfRule type="colorScale" priority="1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3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:C2">
    <cfRule type="colorScale" priority="1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:C2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">
    <cfRule type="colorScale" priority="1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3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">
    <cfRule type="colorScale" priority="1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:F6">
    <cfRule type="colorScale" priority="1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:J6">
    <cfRule type="colorScale" priority="1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4:N6">
    <cfRule type="colorScale" priority="1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4:O6">
    <cfRule type="dataBar" priority="16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{B4CD30B3-42A9-492A-B287-FCCC33CD89C4}</x14:id>
        </ext>
      </extLst>
    </cfRule>
  </conditionalFormatting>
  <conditionalFormatting sqref="P4:P6">
    <cfRule type="dataBar" priority="16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{7166BE8C-8FD0-4791-BE61-A81E9C21D3D7}</x14:id>
        </ext>
      </extLst>
    </cfRule>
  </conditionalFormatting>
  <conditionalFormatting sqref="G2 K2">
    <cfRule type="colorScale" priority="1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 K2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:S2">
    <cfRule type="colorScale" priority="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2:S2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:V6">
    <cfRule type="colorScale" priority="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Z4:Z6">
    <cfRule type="colorScale" priority="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D4:AD6">
    <cfRule type="colorScale" priority="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E4:AE6">
    <cfRule type="dataBar" priority="10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{7B348EC2-106C-4630-9338-1F4FC3AA3910}</x14:id>
        </ext>
      </extLst>
    </cfRule>
  </conditionalFormatting>
  <conditionalFormatting sqref="AF4:AF6">
    <cfRule type="dataBar" priority="10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{876EC89A-6036-4DD6-80D2-8553AACB6A0A}</x14:id>
        </ext>
      </extLst>
    </cfRule>
  </conditionalFormatting>
  <conditionalFormatting sqref="W2 AA2">
    <cfRule type="colorScale" priority="1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W2 AA2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:H3">
    <cfRule type="colorScale" priority="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:H3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">
    <cfRule type="colorScale" priority="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3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">
    <cfRule type="colorScale" priority="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3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">
    <cfRule type="colorScale" priority="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2:AJ2">
    <cfRule type="colorScale" priority="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H2:AJ2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R2">
    <cfRule type="colorScale" priority="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R2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U2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U2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L4:AL6">
    <cfRule type="colorScale" priority="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P4:AP6">
    <cfRule type="colorScale" priority="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T4:AT6">
    <cfRule type="colorScale" priority="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U4:AU6">
    <cfRule type="dataBar" priority="5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{DCBB40D1-4FC1-40A1-A7C9-2CAB25829940}</x14:id>
        </ext>
      </extLst>
    </cfRule>
  </conditionalFormatting>
  <conditionalFormatting sqref="AV4:AV6">
    <cfRule type="dataBar" priority="53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{73D37212-1DAF-456B-8E8C-49EC9A0B8C1D}</x14:id>
        </ext>
      </extLst>
    </cfRule>
  </conditionalFormatting>
  <conditionalFormatting sqref="AM2:AN2 AQ2">
    <cfRule type="colorScale" priority="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M2:AN2 AQ2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">
    <cfRule type="colorScale" priority="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3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3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:X3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W3:X3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"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3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3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">
    <cfRule type="colorScale" priority="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3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J3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K3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K3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M3:AN3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M3:AN3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R3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R3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Q3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Q3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U3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U3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3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I3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3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H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4CD30B3-42A9-492A-B287-FCCC33CD89C4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O4:O6</xm:sqref>
        </x14:conditionalFormatting>
        <x14:conditionalFormatting xmlns:xm="http://schemas.microsoft.com/office/excel/2006/main">
          <x14:cfRule type="dataBar" id="{7166BE8C-8FD0-4791-BE61-A81E9C21D3D7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P4:P6</xm:sqref>
        </x14:conditionalFormatting>
        <x14:conditionalFormatting xmlns:xm="http://schemas.microsoft.com/office/excel/2006/main">
          <x14:cfRule type="dataBar" id="{7B348EC2-106C-4630-9338-1F4FC3AA3910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AE4:AE6</xm:sqref>
        </x14:conditionalFormatting>
        <x14:conditionalFormatting xmlns:xm="http://schemas.microsoft.com/office/excel/2006/main">
          <x14:cfRule type="dataBar" id="{876EC89A-6036-4DD6-80D2-8553AACB6A0A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AF4:AF6</xm:sqref>
        </x14:conditionalFormatting>
        <x14:conditionalFormatting xmlns:xm="http://schemas.microsoft.com/office/excel/2006/main">
          <x14:cfRule type="dataBar" id="{DCBB40D1-4FC1-40A1-A7C9-2CAB25829940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AU4:AU6</xm:sqref>
        </x14:conditionalFormatting>
        <x14:conditionalFormatting xmlns:xm="http://schemas.microsoft.com/office/excel/2006/main">
          <x14:cfRule type="dataBar" id="{73D37212-1DAF-456B-8E8C-49EC9A0B8C1D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AV4:AV6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A27FD-191E-4F87-B390-438DF87E89B2}">
  <sheetPr codeName="Feuil5"/>
  <dimension ref="B1:AV6"/>
  <sheetViews>
    <sheetView showZeros="0" zoomScaleNormal="100" workbookViewId="0">
      <selection activeCell="E15" sqref="E15:F15"/>
    </sheetView>
  </sheetViews>
  <sheetFormatPr baseColWidth="10" defaultRowHeight="15" x14ac:dyDescent="0.25"/>
  <cols>
    <col min="1" max="1" width="11.42578125" style="2"/>
    <col min="2" max="2" width="22.5703125" style="1" customWidth="1"/>
    <col min="3" max="4" width="5.7109375" style="1" customWidth="1"/>
    <col min="5" max="5" width="5.5703125" style="1" bestFit="1" customWidth="1"/>
    <col min="6" max="6" width="6.85546875" style="1" customWidth="1"/>
    <col min="7" max="8" width="5.7109375" style="1" customWidth="1"/>
    <col min="9" max="10" width="5.5703125" style="1" bestFit="1" customWidth="1"/>
    <col min="11" max="12" width="6.7109375" style="1" customWidth="1"/>
    <col min="13" max="13" width="6.5703125" style="1" customWidth="1"/>
    <col min="14" max="14" width="8.28515625" style="1" customWidth="1"/>
    <col min="15" max="15" width="8.42578125" style="1" customWidth="1"/>
    <col min="16" max="16" width="8.140625" style="45" customWidth="1"/>
    <col min="17" max="17" width="11.42578125" style="2"/>
    <col min="18" max="18" width="26" style="1" customWidth="1"/>
    <col min="19" max="19" width="5.5703125" style="1" customWidth="1"/>
    <col min="20" max="20" width="6" style="1" customWidth="1"/>
    <col min="21" max="22" width="5.5703125" style="1" customWidth="1"/>
    <col min="23" max="23" width="5.42578125" style="1" customWidth="1"/>
    <col min="24" max="24" width="5.28515625" style="1" customWidth="1"/>
    <col min="25" max="25" width="5.85546875" style="1" customWidth="1"/>
    <col min="26" max="26" width="6.28515625" style="1" customWidth="1"/>
    <col min="27" max="27" width="5.5703125" style="1" customWidth="1"/>
    <col min="28" max="28" width="6" style="1" customWidth="1"/>
    <col min="29" max="32" width="6.28515625" style="1" customWidth="1"/>
    <col min="33" max="33" width="11.42578125" style="2"/>
    <col min="34" max="34" width="26" style="1" customWidth="1"/>
    <col min="35" max="35" width="5.5703125" style="1" customWidth="1"/>
    <col min="36" max="36" width="6" style="1" customWidth="1"/>
    <col min="37" max="38" width="5.5703125" style="1" customWidth="1"/>
    <col min="39" max="39" width="5.42578125" style="1" customWidth="1"/>
    <col min="40" max="40" width="5.28515625" style="1" customWidth="1"/>
    <col min="41" max="41" width="5.85546875" style="1" customWidth="1"/>
    <col min="42" max="42" width="6.28515625" style="1" customWidth="1"/>
    <col min="43" max="44" width="6.7109375" style="1" customWidth="1"/>
    <col min="45" max="47" width="6.85546875" style="1" customWidth="1"/>
    <col min="48" max="48" width="6.7109375" style="45" customWidth="1"/>
    <col min="49" max="16384" width="11.42578125" style="2"/>
  </cols>
  <sheetData>
    <row r="1" spans="2:48" ht="23.25" thickBot="1" x14ac:dyDescent="0.5">
      <c r="B1" s="58" t="s">
        <v>1</v>
      </c>
      <c r="C1" s="59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1"/>
      <c r="R1" s="66" t="s">
        <v>9</v>
      </c>
      <c r="S1" s="67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9"/>
      <c r="AH1" s="62" t="s">
        <v>19</v>
      </c>
      <c r="AI1" s="63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5"/>
    </row>
    <row r="2" spans="2:48" customFormat="1" ht="15.75" thickBot="1" x14ac:dyDescent="0.3">
      <c r="B2" s="31"/>
      <c r="C2" s="70" t="s">
        <v>3</v>
      </c>
      <c r="D2" s="71"/>
      <c r="E2" s="28">
        <v>3</v>
      </c>
      <c r="F2" s="13"/>
      <c r="G2" s="72" t="s">
        <v>5</v>
      </c>
      <c r="H2" s="73"/>
      <c r="I2" s="28">
        <v>2</v>
      </c>
      <c r="J2" s="14" t="s">
        <v>0</v>
      </c>
      <c r="K2" s="74" t="s">
        <v>7</v>
      </c>
      <c r="L2" s="75"/>
      <c r="M2" s="28">
        <v>2</v>
      </c>
      <c r="N2" s="17"/>
      <c r="O2" s="18" t="s">
        <v>2</v>
      </c>
      <c r="P2" s="28">
        <f>$I$2+$M$2+$E$2</f>
        <v>7</v>
      </c>
      <c r="R2" s="12"/>
      <c r="S2" s="70" t="s">
        <v>3</v>
      </c>
      <c r="T2" s="71"/>
      <c r="U2" s="28">
        <v>3</v>
      </c>
      <c r="V2" s="13" t="s">
        <v>0</v>
      </c>
      <c r="W2" s="72" t="s">
        <v>5</v>
      </c>
      <c r="X2" s="73"/>
      <c r="Y2" s="28">
        <v>2</v>
      </c>
      <c r="Z2" s="14" t="s">
        <v>0</v>
      </c>
      <c r="AA2" s="74" t="s">
        <v>7</v>
      </c>
      <c r="AB2" s="75"/>
      <c r="AC2" s="28">
        <v>2</v>
      </c>
      <c r="AD2" s="17" t="s">
        <v>0</v>
      </c>
      <c r="AE2" s="18" t="s">
        <v>2</v>
      </c>
      <c r="AF2" s="28">
        <f>$I$2+$M$2+$E$2</f>
        <v>7</v>
      </c>
      <c r="AH2" s="12"/>
      <c r="AI2" s="12" t="s">
        <v>3</v>
      </c>
      <c r="AJ2" s="13" t="s">
        <v>4</v>
      </c>
      <c r="AK2" s="28">
        <v>3</v>
      </c>
      <c r="AL2" s="13" t="s">
        <v>0</v>
      </c>
      <c r="AM2" s="15" t="s">
        <v>5</v>
      </c>
      <c r="AN2" s="15" t="s">
        <v>6</v>
      </c>
      <c r="AO2" s="28">
        <v>2</v>
      </c>
      <c r="AP2" s="14" t="s">
        <v>0</v>
      </c>
      <c r="AQ2" s="16" t="s">
        <v>7</v>
      </c>
      <c r="AR2" s="16" t="s">
        <v>8</v>
      </c>
      <c r="AS2" s="28">
        <v>2</v>
      </c>
      <c r="AT2" s="17" t="s">
        <v>0</v>
      </c>
      <c r="AU2" s="18" t="s">
        <v>2</v>
      </c>
      <c r="AV2" s="28">
        <f>$I$2+$M$2+$E$2</f>
        <v>7</v>
      </c>
    </row>
    <row r="3" spans="2:48" customFormat="1" x14ac:dyDescent="0.25">
      <c r="B3" s="33" t="s">
        <v>29</v>
      </c>
      <c r="C3" s="37" t="s">
        <v>13</v>
      </c>
      <c r="D3" s="38" t="s">
        <v>14</v>
      </c>
      <c r="E3" s="32" t="s">
        <v>25</v>
      </c>
      <c r="F3" s="32" t="s">
        <v>0</v>
      </c>
      <c r="G3" s="34" t="s">
        <v>5</v>
      </c>
      <c r="H3" s="34" t="s">
        <v>6</v>
      </c>
      <c r="I3" s="39" t="s">
        <v>24</v>
      </c>
      <c r="J3" s="34" t="s">
        <v>11</v>
      </c>
      <c r="K3" s="35" t="s">
        <v>7</v>
      </c>
      <c r="L3" s="35" t="s">
        <v>8</v>
      </c>
      <c r="M3" s="40" t="s">
        <v>23</v>
      </c>
      <c r="N3" s="35" t="s">
        <v>21</v>
      </c>
      <c r="O3" s="36" t="s">
        <v>2</v>
      </c>
      <c r="P3" s="43" t="s">
        <v>12</v>
      </c>
      <c r="R3" s="33" t="s">
        <v>29</v>
      </c>
      <c r="S3" s="37" t="s">
        <v>13</v>
      </c>
      <c r="T3" s="38" t="s">
        <v>14</v>
      </c>
      <c r="U3" s="32" t="s">
        <v>10</v>
      </c>
      <c r="V3" s="32" t="s">
        <v>0</v>
      </c>
      <c r="W3" s="34" t="s">
        <v>5</v>
      </c>
      <c r="X3" s="34" t="s">
        <v>20</v>
      </c>
      <c r="Y3" s="39" t="s">
        <v>15</v>
      </c>
      <c r="Z3" s="34" t="s">
        <v>11</v>
      </c>
      <c r="AA3" s="35" t="s">
        <v>7</v>
      </c>
      <c r="AB3" s="35" t="s">
        <v>8</v>
      </c>
      <c r="AC3" s="40" t="s">
        <v>22</v>
      </c>
      <c r="AD3" s="35" t="s">
        <v>21</v>
      </c>
      <c r="AE3" s="36" t="s">
        <v>2</v>
      </c>
      <c r="AF3" s="41" t="s">
        <v>12</v>
      </c>
      <c r="AH3" s="33" t="s">
        <v>29</v>
      </c>
      <c r="AI3" s="37" t="s">
        <v>13</v>
      </c>
      <c r="AJ3" s="38" t="s">
        <v>14</v>
      </c>
      <c r="AK3" s="32" t="s">
        <v>10</v>
      </c>
      <c r="AL3" s="32" t="s">
        <v>0</v>
      </c>
      <c r="AM3" s="34" t="s">
        <v>5</v>
      </c>
      <c r="AN3" s="34" t="s">
        <v>20</v>
      </c>
      <c r="AO3" s="39" t="s">
        <v>15</v>
      </c>
      <c r="AP3" s="34" t="s">
        <v>11</v>
      </c>
      <c r="AQ3" s="35" t="s">
        <v>7</v>
      </c>
      <c r="AR3" s="35" t="s">
        <v>8</v>
      </c>
      <c r="AS3" s="40" t="s">
        <v>22</v>
      </c>
      <c r="AT3" s="35" t="s">
        <v>21</v>
      </c>
      <c r="AU3" s="36" t="s">
        <v>2</v>
      </c>
      <c r="AV3" s="41" t="s">
        <v>12</v>
      </c>
    </row>
    <row r="4" spans="2:48" customFormat="1" x14ac:dyDescent="0.25">
      <c r="B4" s="19" t="s">
        <v>41</v>
      </c>
      <c r="C4" s="19">
        <v>19</v>
      </c>
      <c r="D4" s="3">
        <v>10</v>
      </c>
      <c r="E4" s="4">
        <f>((tableau15[[#This Row],[FR1]])*(0.6)+(tableau15[[#This Row],[FR2]])*(0.4))</f>
        <v>15.4</v>
      </c>
      <c r="F4" s="4">
        <f>tableau15[[#This Row],[Cof]]*$E$2</f>
        <v>46.2</v>
      </c>
      <c r="G4" s="5">
        <v>17</v>
      </c>
      <c r="H4" s="5">
        <v>14</v>
      </c>
      <c r="I4" s="6">
        <f>((tableau15[[#This Row],[H1 ]])*(0.6)+(tableau15[[#This Row],[H  2]])*(0.4))</f>
        <v>15.8</v>
      </c>
      <c r="J4" s="6">
        <f>tableau15[[#This Row],[Cof2]]*$I$2</f>
        <v>31.6</v>
      </c>
      <c r="K4" s="7">
        <v>13</v>
      </c>
      <c r="L4" s="7">
        <v>18</v>
      </c>
      <c r="M4" s="8">
        <f>((tableau15[[#This Row],[A 1 ]])*(0.6)+(tableau15[[#This Row],[A 2 ]])*(0.4))</f>
        <v>15</v>
      </c>
      <c r="N4" s="8">
        <f>tableau15[[#This Row],[Cof3]]*$M$2</f>
        <v>30</v>
      </c>
      <c r="O4" s="9">
        <f>tableau15[[#This Row],[Pnd]]+tableau15[[#This Row],[Pnd2]]+tableau15[[#This Row],[Pnd3]]</f>
        <v>107.80000000000001</v>
      </c>
      <c r="P4" s="42">
        <f>(tableau15[[#This Row],[T. L]]/($P$2))</f>
        <v>15.400000000000002</v>
      </c>
      <c r="R4" s="19" t="s">
        <v>44</v>
      </c>
      <c r="S4" s="29">
        <v>17</v>
      </c>
      <c r="T4" s="3">
        <v>13</v>
      </c>
      <c r="U4" s="4">
        <f>((tableau26[[#This Row],[FR1]])*(0.6)+(tableau26[[#This Row],[FR2]])*(0.4))</f>
        <v>15.399999999999999</v>
      </c>
      <c r="V4" s="4">
        <f>tableau26[[#This Row],[Coef]]*$E$2</f>
        <v>46.199999999999996</v>
      </c>
      <c r="W4" s="5">
        <v>8</v>
      </c>
      <c r="X4" s="5">
        <v>11</v>
      </c>
      <c r="Y4" s="6">
        <f>((tableau26[[#This Row],[H1 ]])*(0.6)+(tableau26[[#This Row],[H2]])*(0.4))</f>
        <v>9.1999999999999993</v>
      </c>
      <c r="Z4" s="6">
        <f>tableau26[[#This Row],[Coef2]]*$I$2</f>
        <v>18.399999999999999</v>
      </c>
      <c r="AA4" s="7">
        <v>19</v>
      </c>
      <c r="AB4" s="7">
        <v>20</v>
      </c>
      <c r="AC4" s="8">
        <f>((tableau26[[#This Row],[A 1 ]])*(0.6)+(tableau26[[#This Row],[A 2 ]])*(0.4))</f>
        <v>19.399999999999999</v>
      </c>
      <c r="AD4" s="8">
        <f>tableau26[[#This Row],[Coef3]]*$M$2</f>
        <v>38.799999999999997</v>
      </c>
      <c r="AE4" s="9">
        <f>tableau26[[#This Row],[Pnd]]+tableau26[[#This Row],[Pnd2]]+tableau26[[#This Row],[Pnd3]]</f>
        <v>103.39999999999999</v>
      </c>
      <c r="AF4" s="42">
        <f>(tableau26[[#This Row],[T. L]]/($P$2))</f>
        <v>14.77142857142857</v>
      </c>
      <c r="AH4" s="19" t="s">
        <v>26</v>
      </c>
      <c r="AI4" s="29">
        <v>17</v>
      </c>
      <c r="AJ4" s="3">
        <v>13</v>
      </c>
      <c r="AK4" s="4">
        <f>((tableau6[[#This Row],[FR1]])*(0.6)+(tableau6[[#This Row],[FR2]])*(0.4))</f>
        <v>15.399999999999999</v>
      </c>
      <c r="AL4" s="4">
        <f>tableau6[[#This Row],[Coef]]*$E$2</f>
        <v>46.199999999999996</v>
      </c>
      <c r="AM4" s="5">
        <v>8</v>
      </c>
      <c r="AN4" s="5">
        <v>11</v>
      </c>
      <c r="AO4" s="6">
        <f>((tableau6[[#This Row],[H1 ]])*(0.6)+(tableau6[[#This Row],[H2]])*(0.4))</f>
        <v>9.1999999999999993</v>
      </c>
      <c r="AP4" s="6">
        <f>tableau6[[#This Row],[Coef2]]*$I$2</f>
        <v>18.399999999999999</v>
      </c>
      <c r="AQ4" s="7">
        <v>19</v>
      </c>
      <c r="AR4" s="7">
        <v>20</v>
      </c>
      <c r="AS4" s="8">
        <f>((tableau6[[#This Row],[A 1 ]])*(0.6)+(tableau6[[#This Row],[A 2 ]])*(0.4))</f>
        <v>19.399999999999999</v>
      </c>
      <c r="AT4" s="8">
        <f>tableau6[[#This Row],[Coef3]]*$M$2</f>
        <v>38.799999999999997</v>
      </c>
      <c r="AU4" s="9">
        <f>tableau6[[#This Row],[Pnd]]+tableau6[[#This Row],[Pnd2]]+tableau6[[#This Row],[Pnd3]]</f>
        <v>103.39999999999999</v>
      </c>
      <c r="AV4" s="42">
        <f>(tableau6[[#This Row],[T. L]]/($P$2))</f>
        <v>14.77142857142857</v>
      </c>
    </row>
    <row r="5" spans="2:48" customFormat="1" x14ac:dyDescent="0.25">
      <c r="B5" s="19" t="s">
        <v>42</v>
      </c>
      <c r="C5" s="29">
        <v>3</v>
      </c>
      <c r="D5" s="3">
        <v>17</v>
      </c>
      <c r="E5" s="4">
        <f>((tableau15[[#This Row],[FR1]])*(0.6)+(tableau15[[#This Row],[FR2]])*(0.4))</f>
        <v>8.6000000000000014</v>
      </c>
      <c r="F5" s="4">
        <f>tableau15[[#This Row],[Cof]]*$E$2</f>
        <v>25.800000000000004</v>
      </c>
      <c r="G5" s="5">
        <v>12</v>
      </c>
      <c r="H5" s="5">
        <v>11</v>
      </c>
      <c r="I5" s="6">
        <f>((tableau15[[#This Row],[H1 ]])*(0.6)+(tableau15[[#This Row],[H  2]])*(0.4))</f>
        <v>11.6</v>
      </c>
      <c r="J5" s="6">
        <f>tableau15[[#This Row],[Cof2]]*$I$2</f>
        <v>23.2</v>
      </c>
      <c r="K5" s="10">
        <v>13</v>
      </c>
      <c r="L5" s="10">
        <v>45</v>
      </c>
      <c r="M5" s="11">
        <f>((tableau15[[#This Row],[A 1 ]])*(0.6)+(tableau15[[#This Row],[A 2 ]])*(0.4))</f>
        <v>25.8</v>
      </c>
      <c r="N5" s="11">
        <f>tableau15[[#This Row],[Cof3]]*$M$2</f>
        <v>51.6</v>
      </c>
      <c r="O5" s="9">
        <f>tableau15[[#This Row],[Pnd]]+tableau15[[#This Row],[Pnd2]]+tableau15[[#This Row],[Pnd3]]</f>
        <v>100.6</v>
      </c>
      <c r="P5" s="42">
        <f>(tableau15[[#This Row],[T. L]]/($P$2))</f>
        <v>14.37142857142857</v>
      </c>
      <c r="R5" s="19" t="s">
        <v>45</v>
      </c>
      <c r="S5" s="29">
        <v>13</v>
      </c>
      <c r="T5" s="3">
        <v>11</v>
      </c>
      <c r="U5" s="4">
        <f>((tableau26[[#This Row],[FR1]])*(0.6)+(tableau26[[#This Row],[FR2]])*(0.4))</f>
        <v>12.2</v>
      </c>
      <c r="V5" s="4">
        <f>tableau26[[#This Row],[Coef]]*$E$2</f>
        <v>36.599999999999994</v>
      </c>
      <c r="W5" s="5">
        <v>12</v>
      </c>
      <c r="X5" s="5">
        <v>13</v>
      </c>
      <c r="Y5" s="6">
        <f>((tableau26[[#This Row],[H1 ]])*(0.6)+(tableau26[[#This Row],[H2]])*(0.4))</f>
        <v>12.399999999999999</v>
      </c>
      <c r="Z5" s="6">
        <f>tableau26[[#This Row],[Coef2]]*$I$2</f>
        <v>24.799999999999997</v>
      </c>
      <c r="AA5" s="10">
        <v>2</v>
      </c>
      <c r="AB5" s="10">
        <v>4</v>
      </c>
      <c r="AC5" s="11">
        <f>((tableau26[[#This Row],[A 1 ]])*(0.6)+(tableau26[[#This Row],[A 2 ]])*(0.4))</f>
        <v>2.8</v>
      </c>
      <c r="AD5" s="11">
        <f>tableau26[[#This Row],[Coef3]]*$M$2</f>
        <v>5.6</v>
      </c>
      <c r="AE5" s="9">
        <f>tableau26[[#This Row],[Pnd]]+tableau26[[#This Row],[Pnd2]]+tableau26[[#This Row],[Pnd3]]</f>
        <v>66.999999999999986</v>
      </c>
      <c r="AF5" s="42">
        <f>(tableau26[[#This Row],[T. L]]/($P$2))</f>
        <v>9.5714285714285694</v>
      </c>
      <c r="AH5" s="19" t="s">
        <v>27</v>
      </c>
      <c r="AI5" s="29">
        <v>12</v>
      </c>
      <c r="AJ5" s="3">
        <v>11</v>
      </c>
      <c r="AK5" s="4">
        <f>((tableau6[[#This Row],[FR1]])*(0.6)+(tableau6[[#This Row],[FR2]])*(0.4))</f>
        <v>11.6</v>
      </c>
      <c r="AL5" s="4">
        <f>tableau6[[#This Row],[Coef]]*$E$2</f>
        <v>34.799999999999997</v>
      </c>
      <c r="AM5" s="5">
        <v>9</v>
      </c>
      <c r="AN5" s="5">
        <v>8</v>
      </c>
      <c r="AO5" s="6">
        <f>((tableau6[[#This Row],[H1 ]])*(0.6)+(tableau6[[#This Row],[H2]])*(0.4))</f>
        <v>8.6</v>
      </c>
      <c r="AP5" s="6">
        <f>tableau6[[#This Row],[Coef2]]*$I$2</f>
        <v>17.2</v>
      </c>
      <c r="AQ5" s="10">
        <v>4</v>
      </c>
      <c r="AR5" s="10">
        <v>13</v>
      </c>
      <c r="AS5" s="11">
        <f>((tableau6[[#This Row],[A 1 ]])*(0.6)+(tableau6[[#This Row],[A 2 ]])*(0.4))</f>
        <v>7.6</v>
      </c>
      <c r="AT5" s="11">
        <f>tableau6[[#This Row],[Coef3]]*$M$2</f>
        <v>15.2</v>
      </c>
      <c r="AU5" s="9">
        <f>tableau6[[#This Row],[Pnd]]+tableau6[[#This Row],[Pnd2]]+tableau6[[#This Row],[Pnd3]]</f>
        <v>67.2</v>
      </c>
      <c r="AV5" s="42">
        <f>(tableau6[[#This Row],[T. L]]/($P$2))</f>
        <v>9.6</v>
      </c>
    </row>
    <row r="6" spans="2:48" customFormat="1" ht="15.75" thickBot="1" x14ac:dyDescent="0.3">
      <c r="B6" s="20" t="s">
        <v>43</v>
      </c>
      <c r="C6" s="30">
        <v>11</v>
      </c>
      <c r="D6" s="21">
        <v>22</v>
      </c>
      <c r="E6" s="22">
        <f>((tableau15[[#This Row],[FR1]])*(0.6)+(tableau15[[#This Row],[FR2]])*(0.4))</f>
        <v>15.4</v>
      </c>
      <c r="F6" s="22">
        <f>tableau15[[#This Row],[Cof]]*$E$2</f>
        <v>46.2</v>
      </c>
      <c r="G6" s="23">
        <v>13</v>
      </c>
      <c r="H6" s="23">
        <v>13</v>
      </c>
      <c r="I6" s="24">
        <f>((tableau15[[#This Row],[H1 ]])*(0.6)+(tableau15[[#This Row],[H  2]])*(0.4))</f>
        <v>13</v>
      </c>
      <c r="J6" s="24">
        <f>tableau15[[#This Row],[Cof2]]*$I$2</f>
        <v>26</v>
      </c>
      <c r="K6" s="25">
        <v>5</v>
      </c>
      <c r="L6" s="25">
        <v>56</v>
      </c>
      <c r="M6" s="26">
        <f>((tableau15[[#This Row],[A 1 ]])*(0.6)+(tableau15[[#This Row],[A 2 ]])*(0.4))</f>
        <v>25.400000000000002</v>
      </c>
      <c r="N6" s="26">
        <f>tableau15[[#This Row],[Cof3]]*$M$2</f>
        <v>50.800000000000004</v>
      </c>
      <c r="O6" s="27">
        <f>tableau15[[#This Row],[Pnd]]+tableau15[[#This Row],[Pnd2]]+tableau15[[#This Row],[Pnd3]]</f>
        <v>123</v>
      </c>
      <c r="P6" s="44">
        <f>(tableau15[[#This Row],[T. L]]/($P$2))</f>
        <v>17.571428571428573</v>
      </c>
      <c r="R6" s="20" t="s">
        <v>46</v>
      </c>
      <c r="S6" s="30">
        <v>21</v>
      </c>
      <c r="T6" s="21">
        <v>3</v>
      </c>
      <c r="U6" s="22">
        <f>((tableau26[[#This Row],[FR1]])*(0.6)+(tableau26[[#This Row],[FR2]])*(0.4))</f>
        <v>13.8</v>
      </c>
      <c r="V6" s="22">
        <f>tableau26[[#This Row],[Coef]]*$E$2</f>
        <v>41.400000000000006</v>
      </c>
      <c r="W6" s="23">
        <v>45</v>
      </c>
      <c r="X6" s="23">
        <v>23</v>
      </c>
      <c r="Y6" s="24">
        <f>((tableau26[[#This Row],[H1 ]])*(0.6)+(tableau26[[#This Row],[H2]])*(0.4))</f>
        <v>36.200000000000003</v>
      </c>
      <c r="Z6" s="24">
        <f>tableau26[[#This Row],[Coef2]]*$I$2</f>
        <v>72.400000000000006</v>
      </c>
      <c r="AA6" s="25">
        <v>13</v>
      </c>
      <c r="AB6" s="25">
        <v>15</v>
      </c>
      <c r="AC6" s="26">
        <f>((tableau26[[#This Row],[A 1 ]])*(0.6)+(tableau26[[#This Row],[A 2 ]])*(0.4))</f>
        <v>13.8</v>
      </c>
      <c r="AD6" s="26">
        <f>tableau26[[#This Row],[Coef3]]*$M$2</f>
        <v>27.6</v>
      </c>
      <c r="AE6" s="27">
        <f>tableau26[[#This Row],[Pnd]]+tableau26[[#This Row],[Pnd2]]+tableau26[[#This Row],[Pnd3]]</f>
        <v>141.4</v>
      </c>
      <c r="AF6" s="42">
        <f>(tableau26[[#This Row],[T. L]]/($P$2))</f>
        <v>20.2</v>
      </c>
      <c r="AH6" s="20" t="s">
        <v>28</v>
      </c>
      <c r="AI6" s="30"/>
      <c r="AJ6" s="21"/>
      <c r="AK6" s="22">
        <f>((tableau6[[#This Row],[FR1]])*(0.6)+(tableau6[[#This Row],[FR2]])*(0.4))</f>
        <v>0</v>
      </c>
      <c r="AL6" s="22">
        <f>tableau6[[#This Row],[Coef]]*$E$2</f>
        <v>0</v>
      </c>
      <c r="AM6" s="23"/>
      <c r="AN6" s="23"/>
      <c r="AO6" s="24">
        <f>((tableau6[[#This Row],[H1 ]])*(0.6)+(tableau6[[#This Row],[H2]])*(0.4))</f>
        <v>0</v>
      </c>
      <c r="AP6" s="24">
        <f>tableau6[[#This Row],[Coef2]]*$I$2</f>
        <v>0</v>
      </c>
      <c r="AQ6" s="25"/>
      <c r="AR6" s="25"/>
      <c r="AS6" s="26">
        <f>((tableau6[[#This Row],[A 1 ]])*(0.6)+(tableau6[[#This Row],[A 2 ]])*(0.4))</f>
        <v>0</v>
      </c>
      <c r="AT6" s="26">
        <f>tableau6[[#This Row],[Coef3]]*$M$2</f>
        <v>0</v>
      </c>
      <c r="AU6" s="27">
        <f>tableau6[[#This Row],[Pnd]]+tableau6[[#This Row],[Pnd2]]+tableau6[[#This Row],[Pnd3]]</f>
        <v>0</v>
      </c>
      <c r="AV6" s="44">
        <f>(tableau6[[#This Row],[T. L]]/($P$2))</f>
        <v>0</v>
      </c>
    </row>
  </sheetData>
  <mergeCells count="9">
    <mergeCell ref="B1:P1"/>
    <mergeCell ref="R1:AF1"/>
    <mergeCell ref="AH1:AV1"/>
    <mergeCell ref="C2:D2"/>
    <mergeCell ref="G2:H2"/>
    <mergeCell ref="K2:L2"/>
    <mergeCell ref="S2:T2"/>
    <mergeCell ref="W2:X2"/>
    <mergeCell ref="AA2:AB2"/>
  </mergeCells>
  <conditionalFormatting sqref="AH2:AJ2">
    <cfRule type="colorScale" priority="9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H2:AJ2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R2">
    <cfRule type="colorScale" priority="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R2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U2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U2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L4:AL6">
    <cfRule type="colorScale" priority="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P4:AP6">
    <cfRule type="colorScale" priority="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T4:AT6">
    <cfRule type="colorScale" priority="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U4:AU6">
    <cfRule type="dataBar" priority="10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{6A4E76C2-35D3-43ED-83F1-08E50346F408}</x14:id>
        </ext>
      </extLst>
    </cfRule>
  </conditionalFormatting>
  <conditionalFormatting sqref="AV4:AV6">
    <cfRule type="dataBar" priority="10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{AA888462-EF80-40A3-909F-F951C0408DE9}</x14:id>
        </ext>
      </extLst>
    </cfRule>
  </conditionalFormatting>
  <conditionalFormatting sqref="AM2:AN2 AQ2">
    <cfRule type="colorScale" priority="1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M2:AN2 AQ2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3">
    <cfRule type="colorScale" priority="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J3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K3">
    <cfRule type="colorScale" priority="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K3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M3:AN3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M3:AN3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R3">
    <cfRule type="colorScale" priority="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R3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Q3">
    <cfRule type="colorScale" priority="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Q3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U3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U3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3">
    <cfRule type="colorScale" priority="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I3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3">
    <cfRule type="colorScale" priority="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H3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">
    <cfRule type="colorScale" priority="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3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:C2">
    <cfRule type="colorScale" priority="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:C2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">
    <cfRule type="colorScale" priority="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3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">
    <cfRule type="colorScale" priority="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:F6">
    <cfRule type="colorScale" priority="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:J6">
    <cfRule type="colorScale" priority="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4:N6">
    <cfRule type="colorScale" priority="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4:O6">
    <cfRule type="dataBar" priority="5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{8682A252-74D4-4DC3-9805-AB99BE081F32}</x14:id>
        </ext>
      </extLst>
    </cfRule>
  </conditionalFormatting>
  <conditionalFormatting sqref="P4:P6">
    <cfRule type="dataBar" priority="5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{A3E2F5F0-489A-432F-B999-99E288E50362}</x14:id>
        </ext>
      </extLst>
    </cfRule>
  </conditionalFormatting>
  <conditionalFormatting sqref="G2 K2">
    <cfRule type="colorScale" priority="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 K2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:S2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2:S2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:V6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Z4:Z6">
    <cfRule type="colorScale" priority="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D4:AD6">
    <cfRule type="colorScale" priority="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E4:AE6">
    <cfRule type="dataBar" priority="3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{CF1A39DF-7C55-42B9-9340-0912B330E67F}</x14:id>
        </ext>
      </extLst>
    </cfRule>
  </conditionalFormatting>
  <conditionalFormatting sqref="AF4:AF6">
    <cfRule type="dataBar" priority="35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{95167995-7785-46EC-9442-A0EFD24461B0}</x14:id>
        </ext>
      </extLst>
    </cfRule>
  </conditionalFormatting>
  <conditionalFormatting sqref="W2 AA2">
    <cfRule type="colorScale" priority="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W2 AA2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:H3"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:H3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">
    <cfRule type="colorScale" priority="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3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3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3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3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:X3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W3:X3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3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3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A4E76C2-35D3-43ED-83F1-08E50346F40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AU4:AU6</xm:sqref>
        </x14:conditionalFormatting>
        <x14:conditionalFormatting xmlns:xm="http://schemas.microsoft.com/office/excel/2006/main">
          <x14:cfRule type="dataBar" id="{AA888462-EF80-40A3-909F-F951C0408DE9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AV4:AV6</xm:sqref>
        </x14:conditionalFormatting>
        <x14:conditionalFormatting xmlns:xm="http://schemas.microsoft.com/office/excel/2006/main">
          <x14:cfRule type="dataBar" id="{8682A252-74D4-4DC3-9805-AB99BE081F3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O4:O6</xm:sqref>
        </x14:conditionalFormatting>
        <x14:conditionalFormatting xmlns:xm="http://schemas.microsoft.com/office/excel/2006/main">
          <x14:cfRule type="dataBar" id="{A3E2F5F0-489A-432F-B999-99E288E50362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P4:P6</xm:sqref>
        </x14:conditionalFormatting>
        <x14:conditionalFormatting xmlns:xm="http://schemas.microsoft.com/office/excel/2006/main">
          <x14:cfRule type="dataBar" id="{CF1A39DF-7C55-42B9-9340-0912B330E67F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AE4:AE6</xm:sqref>
        </x14:conditionalFormatting>
        <x14:conditionalFormatting xmlns:xm="http://schemas.microsoft.com/office/excel/2006/main">
          <x14:cfRule type="dataBar" id="{95167995-7785-46EC-9442-A0EFD24461B0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AF4:AF6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B5F1E-A0D2-49B4-9319-8ED73FDC0E86}">
  <sheetPr codeName="Feuil3"/>
  <dimension ref="A1"/>
  <sheetViews>
    <sheetView workbookViewId="0">
      <selection activeCell="F17" sqref="F17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28B6C-91AD-4516-851E-019FF345CEA0}">
  <sheetPr codeName="Feuil2"/>
  <dimension ref="A1:E7"/>
  <sheetViews>
    <sheetView tabSelected="1" workbookViewId="0">
      <selection activeCell="H3" sqref="H3"/>
    </sheetView>
  </sheetViews>
  <sheetFormatPr baseColWidth="10" defaultRowHeight="15" x14ac:dyDescent="0.25"/>
  <cols>
    <col min="1" max="1" width="9" customWidth="1"/>
    <col min="2" max="2" width="12.85546875" customWidth="1"/>
    <col min="3" max="3" width="7.7109375" customWidth="1"/>
    <col min="4" max="4" width="11.28515625" customWidth="1"/>
    <col min="5" max="5" width="10.28515625" customWidth="1"/>
  </cols>
  <sheetData>
    <row r="1" spans="1:5" ht="23.25" customHeight="1" thickBot="1" x14ac:dyDescent="0.3">
      <c r="A1" s="79" t="s">
        <v>35</v>
      </c>
      <c r="B1" s="80"/>
      <c r="C1" s="80"/>
      <c r="D1" s="80"/>
      <c r="E1" s="81"/>
    </row>
    <row r="2" spans="1:5" ht="21" x14ac:dyDescent="0.35">
      <c r="A2" s="82" t="s">
        <v>29</v>
      </c>
      <c r="B2" s="83"/>
      <c r="C2" s="76"/>
      <c r="D2" s="77"/>
      <c r="E2" s="78"/>
    </row>
    <row r="3" spans="1:5" ht="18.75" x14ac:dyDescent="0.25">
      <c r="A3" s="84"/>
      <c r="B3" s="50" t="s">
        <v>34</v>
      </c>
      <c r="C3" s="50" t="s">
        <v>32</v>
      </c>
      <c r="D3" s="50" t="s">
        <v>33</v>
      </c>
      <c r="E3" s="51" t="s">
        <v>0</v>
      </c>
    </row>
    <row r="4" spans="1:5" ht="19.5" customHeight="1" x14ac:dyDescent="0.25">
      <c r="A4" s="49" t="s">
        <v>40</v>
      </c>
      <c r="B4" s="47"/>
      <c r="C4" s="46"/>
      <c r="D4" s="46"/>
      <c r="E4" s="48"/>
    </row>
    <row r="5" spans="1:5" ht="18.75" x14ac:dyDescent="0.25">
      <c r="A5" s="49" t="s">
        <v>30</v>
      </c>
      <c r="B5" s="46"/>
      <c r="C5" s="46"/>
      <c r="D5" s="46"/>
      <c r="E5" s="48"/>
    </row>
    <row r="6" spans="1:5" ht="19.5" thickBot="1" x14ac:dyDescent="0.3">
      <c r="A6" s="53" t="s">
        <v>31</v>
      </c>
      <c r="B6" s="54"/>
      <c r="C6" s="54"/>
      <c r="D6" s="54"/>
      <c r="E6" s="55"/>
    </row>
    <row r="7" spans="1:5" ht="19.5" thickBot="1" x14ac:dyDescent="0.3">
      <c r="A7" s="52"/>
      <c r="B7" s="57" t="s">
        <v>36</v>
      </c>
      <c r="C7" s="56"/>
      <c r="D7" s="57" t="s">
        <v>12</v>
      </c>
      <c r="E7" s="56"/>
    </row>
  </sheetData>
  <mergeCells count="3">
    <mergeCell ref="C2:E2"/>
    <mergeCell ref="A1:E1"/>
    <mergeCell ref="A2:B2"/>
  </mergeCells>
  <conditionalFormatting sqref="A2:A3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2:A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DONNEE</vt:lpstr>
      <vt:lpstr>BASE DE DONNEE1</vt:lpstr>
      <vt:lpstr>Liste</vt:lpstr>
      <vt:lpstr>bulletin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Kpièrinaon Clotaire SOME</dc:creator>
  <cp:lastModifiedBy>Kpièrinaon Clotaire SOME</cp:lastModifiedBy>
  <dcterms:created xsi:type="dcterms:W3CDTF">2023-01-29T07:34:14Z</dcterms:created>
  <dcterms:modified xsi:type="dcterms:W3CDTF">2023-03-02T07:18:16Z</dcterms:modified>
</cp:coreProperties>
</file>