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lin\OneDrive\Bureau\4B\script\Coupe du monde_Clubs_2025\"/>
    </mc:Choice>
  </mc:AlternateContent>
  <xr:revisionPtr revIDLastSave="0" documentId="8_{439DB44E-10AF-40EF-B608-D51E49220556}" xr6:coauthVersionLast="47" xr6:coauthVersionMax="47" xr10:uidLastSave="{00000000-0000-0000-0000-000000000000}"/>
  <workbookProtection workbookAlgorithmName="SHA-512" workbookHashValue="TiJUWyNLmahQGdVRDrxOsP9Tn8tk2LEWiCcoixFChczCTzJe8vfXqvOMKASzuu45PACOPJHh68G6Dxj8PHagnA==" workbookSaltValue="eweZ/M6AwCe0ynLGztzNDA==" workbookSpinCount="100000" lockStructure="1"/>
  <bookViews>
    <workbookView xWindow="-120" yWindow="-120" windowWidth="24240" windowHeight="13740" firstSheet="1" activeTab="1" xr2:uid="{782C3F06-1451-461F-8AAE-64888FFAD42E}"/>
  </bookViews>
  <sheets>
    <sheet name="Equipe" sheetId="1" state="hidden" r:id="rId1"/>
    <sheet name="Phase Groupe" sheetId="2" r:id="rId2"/>
    <sheet name="Phase Eliminatoire" sheetId="4" r:id="rId3"/>
    <sheet name="liste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2" i="2" l="1"/>
  <c r="BA39" i="2" l="1"/>
  <c r="R23" i="4"/>
  <c r="Q23" i="4"/>
  <c r="L23" i="4"/>
  <c r="K23" i="4"/>
  <c r="R20" i="4"/>
  <c r="Q20" i="4"/>
  <c r="L20" i="4"/>
  <c r="K20" i="4"/>
  <c r="R19" i="4"/>
  <c r="Q19" i="4"/>
  <c r="L19" i="4"/>
  <c r="K19" i="4"/>
  <c r="R16" i="4"/>
  <c r="Q16" i="4"/>
  <c r="L16" i="4"/>
  <c r="K16" i="4"/>
  <c r="R15" i="4"/>
  <c r="Q15" i="4"/>
  <c r="L15" i="4"/>
  <c r="K15" i="4"/>
  <c r="R14" i="4"/>
  <c r="Q14" i="4"/>
  <c r="L14" i="4"/>
  <c r="K14" i="4"/>
  <c r="R13" i="4"/>
  <c r="Q13" i="4"/>
  <c r="L13" i="4"/>
  <c r="K13" i="4"/>
  <c r="Q4" i="4"/>
  <c r="R4" i="4"/>
  <c r="Q5" i="4"/>
  <c r="R5" i="4"/>
  <c r="Q6" i="4"/>
  <c r="R6" i="4"/>
  <c r="Q7" i="4"/>
  <c r="R7" i="4"/>
  <c r="Q8" i="4"/>
  <c r="R8" i="4"/>
  <c r="Q9" i="4"/>
  <c r="R9" i="4"/>
  <c r="Q10" i="4"/>
  <c r="R10" i="4"/>
  <c r="R3" i="4"/>
  <c r="Q3" i="4"/>
  <c r="D4" i="2"/>
  <c r="BH63" i="2"/>
  <c r="BG63" i="2"/>
  <c r="BE63" i="2"/>
  <c r="BA63" i="2"/>
  <c r="T63" i="2"/>
  <c r="N63" i="2"/>
  <c r="AF63" i="2" s="1"/>
  <c r="M63" i="2"/>
  <c r="AE63" i="2" s="1"/>
  <c r="K63" i="2"/>
  <c r="AC63" i="2" s="1"/>
  <c r="J63" i="2"/>
  <c r="D63" i="2"/>
  <c r="V63" i="2" s="1"/>
  <c r="BH62" i="2"/>
  <c r="BG62" i="2"/>
  <c r="BE62" i="2"/>
  <c r="BA62" i="2"/>
  <c r="T62" i="2"/>
  <c r="N62" i="2"/>
  <c r="AF62" i="2" s="1"/>
  <c r="M62" i="2"/>
  <c r="AE62" i="2" s="1"/>
  <c r="K62" i="2"/>
  <c r="AC62" i="2" s="1"/>
  <c r="J62" i="2"/>
  <c r="AB62" i="2" s="1"/>
  <c r="D62" i="2"/>
  <c r="V62" i="2" s="1"/>
  <c r="BH61" i="2"/>
  <c r="BG61" i="2"/>
  <c r="BE61" i="2"/>
  <c r="BA61" i="2"/>
  <c r="T61" i="2"/>
  <c r="N61" i="2"/>
  <c r="AF61" i="2" s="1"/>
  <c r="M61" i="2"/>
  <c r="AE61" i="2" s="1"/>
  <c r="K61" i="2"/>
  <c r="AC61" i="2" s="1"/>
  <c r="J61" i="2"/>
  <c r="L61" i="2" s="1"/>
  <c r="AD61" i="2" s="1"/>
  <c r="D61" i="2"/>
  <c r="V61" i="2" s="1"/>
  <c r="BH60" i="2"/>
  <c r="BG60" i="2"/>
  <c r="BE60" i="2"/>
  <c r="BA60" i="2"/>
  <c r="T60" i="2"/>
  <c r="N60" i="2"/>
  <c r="AF60" i="2" s="1"/>
  <c r="M60" i="2"/>
  <c r="AE60" i="2" s="1"/>
  <c r="K60" i="2"/>
  <c r="AC60" i="2" s="1"/>
  <c r="J60" i="2"/>
  <c r="D60" i="2"/>
  <c r="V60" i="2" s="1"/>
  <c r="BH59" i="2"/>
  <c r="BG59" i="2"/>
  <c r="H61" i="2" s="1"/>
  <c r="Z61" i="2" s="1"/>
  <c r="BE59" i="2"/>
  <c r="BA59" i="2"/>
  <c r="BH58" i="2"/>
  <c r="BG58" i="2"/>
  <c r="I63" i="2" s="1"/>
  <c r="AA63" i="2" s="1"/>
  <c r="BE58" i="2"/>
  <c r="BA58" i="2"/>
  <c r="L10" i="4"/>
  <c r="K10" i="4"/>
  <c r="L9" i="4"/>
  <c r="K9" i="4"/>
  <c r="L8" i="4"/>
  <c r="K8" i="4"/>
  <c r="L7" i="4"/>
  <c r="K7" i="4"/>
  <c r="L6" i="4"/>
  <c r="K6" i="4"/>
  <c r="L5" i="4"/>
  <c r="K5" i="4"/>
  <c r="L4" i="4"/>
  <c r="K4" i="4"/>
  <c r="L3" i="4"/>
  <c r="K3" i="4"/>
  <c r="BH55" i="2"/>
  <c r="BG55" i="2"/>
  <c r="BE55" i="2"/>
  <c r="BA55" i="2"/>
  <c r="T55" i="2"/>
  <c r="N55" i="2"/>
  <c r="AF55" i="2" s="1"/>
  <c r="M55" i="2"/>
  <c r="AE55" i="2" s="1"/>
  <c r="K55" i="2"/>
  <c r="AC55" i="2" s="1"/>
  <c r="J55" i="2"/>
  <c r="D55" i="2"/>
  <c r="V55" i="2" s="1"/>
  <c r="BH54" i="2"/>
  <c r="BG54" i="2"/>
  <c r="BE54" i="2"/>
  <c r="BA54" i="2"/>
  <c r="T54" i="2"/>
  <c r="N54" i="2"/>
  <c r="AF54" i="2" s="1"/>
  <c r="M54" i="2"/>
  <c r="AE54" i="2" s="1"/>
  <c r="K54" i="2"/>
  <c r="AC54" i="2" s="1"/>
  <c r="J54" i="2"/>
  <c r="AB54" i="2" s="1"/>
  <c r="D54" i="2"/>
  <c r="V54" i="2" s="1"/>
  <c r="BH53" i="2"/>
  <c r="BG53" i="2"/>
  <c r="BE53" i="2"/>
  <c r="BA53" i="2"/>
  <c r="T53" i="2"/>
  <c r="N53" i="2"/>
  <c r="AF53" i="2" s="1"/>
  <c r="M53" i="2"/>
  <c r="AE53" i="2" s="1"/>
  <c r="K53" i="2"/>
  <c r="AC53" i="2" s="1"/>
  <c r="J53" i="2"/>
  <c r="AB53" i="2" s="1"/>
  <c r="D53" i="2"/>
  <c r="V53" i="2" s="1"/>
  <c r="BH52" i="2"/>
  <c r="BG52" i="2"/>
  <c r="BE52" i="2"/>
  <c r="BA52" i="2"/>
  <c r="T52" i="2"/>
  <c r="N52" i="2"/>
  <c r="AF52" i="2" s="1"/>
  <c r="M52" i="2"/>
  <c r="AE52" i="2" s="1"/>
  <c r="K52" i="2"/>
  <c r="AC52" i="2" s="1"/>
  <c r="J52" i="2"/>
  <c r="D52" i="2"/>
  <c r="V52" i="2" s="1"/>
  <c r="BH51" i="2"/>
  <c r="BG51" i="2"/>
  <c r="BE51" i="2"/>
  <c r="BA51" i="2"/>
  <c r="BH50" i="2"/>
  <c r="BG50" i="2"/>
  <c r="BE50" i="2"/>
  <c r="BA50" i="2"/>
  <c r="BH47" i="2"/>
  <c r="BG47" i="2"/>
  <c r="BE47" i="2"/>
  <c r="BA47" i="2"/>
  <c r="T47" i="2"/>
  <c r="N47" i="2"/>
  <c r="AF47" i="2" s="1"/>
  <c r="M47" i="2"/>
  <c r="AE47" i="2" s="1"/>
  <c r="K47" i="2"/>
  <c r="AC47" i="2" s="1"/>
  <c r="J47" i="2"/>
  <c r="D47" i="2"/>
  <c r="V47" i="2" s="1"/>
  <c r="BH46" i="2"/>
  <c r="BG46" i="2"/>
  <c r="BE46" i="2"/>
  <c r="BA46" i="2"/>
  <c r="T46" i="2"/>
  <c r="N46" i="2"/>
  <c r="AF46" i="2" s="1"/>
  <c r="M46" i="2"/>
  <c r="AE46" i="2" s="1"/>
  <c r="K46" i="2"/>
  <c r="AC46" i="2" s="1"/>
  <c r="J46" i="2"/>
  <c r="AB46" i="2" s="1"/>
  <c r="D46" i="2"/>
  <c r="V46" i="2" s="1"/>
  <c r="BH45" i="2"/>
  <c r="BG45" i="2"/>
  <c r="BE45" i="2"/>
  <c r="BA45" i="2"/>
  <c r="T45" i="2"/>
  <c r="N45" i="2"/>
  <c r="AF45" i="2" s="1"/>
  <c r="M45" i="2"/>
  <c r="AE45" i="2" s="1"/>
  <c r="K45" i="2"/>
  <c r="AC45" i="2" s="1"/>
  <c r="J45" i="2"/>
  <c r="AB45" i="2" s="1"/>
  <c r="D45" i="2"/>
  <c r="V45" i="2" s="1"/>
  <c r="BH44" i="2"/>
  <c r="BG44" i="2"/>
  <c r="BE44" i="2"/>
  <c r="BA44" i="2"/>
  <c r="T44" i="2"/>
  <c r="N44" i="2"/>
  <c r="AF44" i="2" s="1"/>
  <c r="M44" i="2"/>
  <c r="AE44" i="2" s="1"/>
  <c r="K44" i="2"/>
  <c r="AC44" i="2" s="1"/>
  <c r="J44" i="2"/>
  <c r="D44" i="2"/>
  <c r="V44" i="2" s="1"/>
  <c r="BH43" i="2"/>
  <c r="BG43" i="2"/>
  <c r="BE43" i="2"/>
  <c r="BA43" i="2"/>
  <c r="BH42" i="2"/>
  <c r="BG42" i="2"/>
  <c r="BE42" i="2"/>
  <c r="BA42" i="2"/>
  <c r="BH39" i="2"/>
  <c r="BG39" i="2"/>
  <c r="BE39" i="2"/>
  <c r="T39" i="2"/>
  <c r="N39" i="2"/>
  <c r="AF39" i="2" s="1"/>
  <c r="M39" i="2"/>
  <c r="AE39" i="2" s="1"/>
  <c r="K39" i="2"/>
  <c r="AC39" i="2" s="1"/>
  <c r="J39" i="2"/>
  <c r="D39" i="2"/>
  <c r="V39" i="2" s="1"/>
  <c r="BH38" i="2"/>
  <c r="BG38" i="2"/>
  <c r="BE38" i="2"/>
  <c r="BA38" i="2"/>
  <c r="T38" i="2"/>
  <c r="N38" i="2"/>
  <c r="AF38" i="2" s="1"/>
  <c r="M38" i="2"/>
  <c r="AE38" i="2" s="1"/>
  <c r="K38" i="2"/>
  <c r="AC38" i="2" s="1"/>
  <c r="J38" i="2"/>
  <c r="AB38" i="2" s="1"/>
  <c r="D38" i="2"/>
  <c r="V38" i="2" s="1"/>
  <c r="BH37" i="2"/>
  <c r="BG37" i="2"/>
  <c r="BE37" i="2"/>
  <c r="BA37" i="2"/>
  <c r="T37" i="2"/>
  <c r="N37" i="2"/>
  <c r="AF37" i="2" s="1"/>
  <c r="M37" i="2"/>
  <c r="AE37" i="2" s="1"/>
  <c r="K37" i="2"/>
  <c r="AC37" i="2" s="1"/>
  <c r="J37" i="2"/>
  <c r="AB37" i="2" s="1"/>
  <c r="D37" i="2"/>
  <c r="V37" i="2" s="1"/>
  <c r="BH36" i="2"/>
  <c r="BG36" i="2"/>
  <c r="BE36" i="2"/>
  <c r="BA36" i="2"/>
  <c r="T36" i="2"/>
  <c r="N36" i="2"/>
  <c r="AF36" i="2" s="1"/>
  <c r="M36" i="2"/>
  <c r="AE36" i="2" s="1"/>
  <c r="K36" i="2"/>
  <c r="AC36" i="2" s="1"/>
  <c r="J36" i="2"/>
  <c r="D36" i="2"/>
  <c r="V36" i="2" s="1"/>
  <c r="BH35" i="2"/>
  <c r="BG35" i="2"/>
  <c r="BE35" i="2"/>
  <c r="BA35" i="2"/>
  <c r="BH34" i="2"/>
  <c r="BG34" i="2"/>
  <c r="BE34" i="2"/>
  <c r="BA34" i="2"/>
  <c r="BH31" i="2"/>
  <c r="BG31" i="2"/>
  <c r="BE31" i="2"/>
  <c r="BA31" i="2"/>
  <c r="T31" i="2"/>
  <c r="N31" i="2"/>
  <c r="AF31" i="2" s="1"/>
  <c r="M31" i="2"/>
  <c r="AE31" i="2" s="1"/>
  <c r="K31" i="2"/>
  <c r="AC31" i="2" s="1"/>
  <c r="J31" i="2"/>
  <c r="D31" i="2"/>
  <c r="V31" i="2" s="1"/>
  <c r="BH30" i="2"/>
  <c r="BG30" i="2"/>
  <c r="BE30" i="2"/>
  <c r="BA30" i="2"/>
  <c r="T30" i="2"/>
  <c r="N30" i="2"/>
  <c r="AF30" i="2" s="1"/>
  <c r="M30" i="2"/>
  <c r="AE30" i="2" s="1"/>
  <c r="K30" i="2"/>
  <c r="AC30" i="2" s="1"/>
  <c r="J30" i="2"/>
  <c r="AB30" i="2" s="1"/>
  <c r="D30" i="2"/>
  <c r="V30" i="2" s="1"/>
  <c r="BH29" i="2"/>
  <c r="BG29" i="2"/>
  <c r="BE29" i="2"/>
  <c r="BA29" i="2"/>
  <c r="T29" i="2"/>
  <c r="N29" i="2"/>
  <c r="AF29" i="2" s="1"/>
  <c r="M29" i="2"/>
  <c r="AE29" i="2" s="1"/>
  <c r="K29" i="2"/>
  <c r="AC29" i="2" s="1"/>
  <c r="J29" i="2"/>
  <c r="AB29" i="2" s="1"/>
  <c r="D29" i="2"/>
  <c r="V29" i="2" s="1"/>
  <c r="BH28" i="2"/>
  <c r="BG28" i="2"/>
  <c r="BE28" i="2"/>
  <c r="BA28" i="2"/>
  <c r="T28" i="2"/>
  <c r="N28" i="2"/>
  <c r="AF28" i="2" s="1"/>
  <c r="M28" i="2"/>
  <c r="AE28" i="2" s="1"/>
  <c r="K28" i="2"/>
  <c r="AC28" i="2" s="1"/>
  <c r="J28" i="2"/>
  <c r="D28" i="2"/>
  <c r="V28" i="2" s="1"/>
  <c r="BH27" i="2"/>
  <c r="H29" i="2" s="1"/>
  <c r="Z29" i="2" s="1"/>
  <c r="BG27" i="2"/>
  <c r="I30" i="2" s="1"/>
  <c r="AA30" i="2" s="1"/>
  <c r="BE27" i="2"/>
  <c r="BA27" i="2"/>
  <c r="BH26" i="2"/>
  <c r="BG26" i="2"/>
  <c r="BE26" i="2"/>
  <c r="BA26" i="2"/>
  <c r="BH23" i="2"/>
  <c r="BG23" i="2"/>
  <c r="BE23" i="2"/>
  <c r="BA23" i="2"/>
  <c r="T23" i="2"/>
  <c r="N23" i="2"/>
  <c r="AF23" i="2" s="1"/>
  <c r="M23" i="2"/>
  <c r="AE23" i="2" s="1"/>
  <c r="K23" i="2"/>
  <c r="AC23" i="2" s="1"/>
  <c r="J23" i="2"/>
  <c r="D23" i="2"/>
  <c r="V23" i="2" s="1"/>
  <c r="BH22" i="2"/>
  <c r="BG22" i="2"/>
  <c r="BE22" i="2"/>
  <c r="BA22" i="2"/>
  <c r="T22" i="2"/>
  <c r="N22" i="2"/>
  <c r="AF22" i="2" s="1"/>
  <c r="M22" i="2"/>
  <c r="AE22" i="2" s="1"/>
  <c r="K22" i="2"/>
  <c r="AC22" i="2" s="1"/>
  <c r="J22" i="2"/>
  <c r="AB22" i="2" s="1"/>
  <c r="D22" i="2"/>
  <c r="V22" i="2" s="1"/>
  <c r="BH21" i="2"/>
  <c r="BG21" i="2"/>
  <c r="BE21" i="2"/>
  <c r="BA21" i="2"/>
  <c r="T21" i="2"/>
  <c r="N21" i="2"/>
  <c r="AF21" i="2" s="1"/>
  <c r="M21" i="2"/>
  <c r="AE21" i="2" s="1"/>
  <c r="K21" i="2"/>
  <c r="AC21" i="2" s="1"/>
  <c r="J21" i="2"/>
  <c r="AB21" i="2" s="1"/>
  <c r="D21" i="2"/>
  <c r="V21" i="2" s="1"/>
  <c r="BH20" i="2"/>
  <c r="BG20" i="2"/>
  <c r="BE20" i="2"/>
  <c r="BA20" i="2"/>
  <c r="T20" i="2"/>
  <c r="N20" i="2"/>
  <c r="AF20" i="2" s="1"/>
  <c r="M20" i="2"/>
  <c r="AE20" i="2" s="1"/>
  <c r="K20" i="2"/>
  <c r="AC20" i="2" s="1"/>
  <c r="J20" i="2"/>
  <c r="D20" i="2"/>
  <c r="V20" i="2" s="1"/>
  <c r="BH19" i="2"/>
  <c r="BG19" i="2"/>
  <c r="BE19" i="2"/>
  <c r="BA19" i="2"/>
  <c r="BH18" i="2"/>
  <c r="BG18" i="2"/>
  <c r="G20" i="2" s="1"/>
  <c r="BE18" i="2"/>
  <c r="BA18" i="2"/>
  <c r="T12" i="2"/>
  <c r="BH15" i="2"/>
  <c r="BG15" i="2"/>
  <c r="BE15" i="2"/>
  <c r="BA15" i="2"/>
  <c r="T15" i="2"/>
  <c r="N15" i="2"/>
  <c r="AF15" i="2" s="1"/>
  <c r="M15" i="2"/>
  <c r="AE15" i="2" s="1"/>
  <c r="K15" i="2"/>
  <c r="AC15" i="2" s="1"/>
  <c r="J15" i="2"/>
  <c r="D15" i="2"/>
  <c r="V15" i="2" s="1"/>
  <c r="BH14" i="2"/>
  <c r="BG14" i="2"/>
  <c r="BE14" i="2"/>
  <c r="BA14" i="2"/>
  <c r="T14" i="2"/>
  <c r="N14" i="2"/>
  <c r="AF14" i="2" s="1"/>
  <c r="M14" i="2"/>
  <c r="AE14" i="2" s="1"/>
  <c r="K14" i="2"/>
  <c r="AC14" i="2" s="1"/>
  <c r="J14" i="2"/>
  <c r="AB14" i="2" s="1"/>
  <c r="D14" i="2"/>
  <c r="V14" i="2" s="1"/>
  <c r="BH13" i="2"/>
  <c r="BG13" i="2"/>
  <c r="BE13" i="2"/>
  <c r="BA13" i="2"/>
  <c r="T13" i="2"/>
  <c r="N13" i="2"/>
  <c r="AF13" i="2" s="1"/>
  <c r="M13" i="2"/>
  <c r="AE13" i="2" s="1"/>
  <c r="K13" i="2"/>
  <c r="AC13" i="2" s="1"/>
  <c r="J13" i="2"/>
  <c r="AB13" i="2" s="1"/>
  <c r="D13" i="2"/>
  <c r="V13" i="2" s="1"/>
  <c r="BH12" i="2"/>
  <c r="BG12" i="2"/>
  <c r="BE12" i="2"/>
  <c r="BA12" i="2"/>
  <c r="N12" i="2"/>
  <c r="AF12" i="2" s="1"/>
  <c r="M12" i="2"/>
  <c r="AE12" i="2" s="1"/>
  <c r="K12" i="2"/>
  <c r="AC12" i="2" s="1"/>
  <c r="J12" i="2"/>
  <c r="D12" i="2"/>
  <c r="V12" i="2" s="1"/>
  <c r="BH11" i="2"/>
  <c r="BG11" i="2"/>
  <c r="H13" i="2" s="1"/>
  <c r="Z13" i="2" s="1"/>
  <c r="BE11" i="2"/>
  <c r="BA11" i="2"/>
  <c r="BH10" i="2"/>
  <c r="BG10" i="2"/>
  <c r="BE10" i="2"/>
  <c r="BA10" i="2"/>
  <c r="N4" i="2"/>
  <c r="AF4" i="2" s="1"/>
  <c r="M4" i="2"/>
  <c r="AE4" i="2" s="1"/>
  <c r="K4" i="2"/>
  <c r="AC4" i="2" s="1"/>
  <c r="J4" i="2"/>
  <c r="N5" i="2"/>
  <c r="AF5" i="2" s="1"/>
  <c r="N6" i="2"/>
  <c r="AF6" i="2" s="1"/>
  <c r="N7" i="2"/>
  <c r="AF7" i="2" s="1"/>
  <c r="T5" i="2"/>
  <c r="T6" i="2"/>
  <c r="T7" i="2"/>
  <c r="T4" i="2"/>
  <c r="M7" i="2"/>
  <c r="AE7" i="2" s="1"/>
  <c r="K7" i="2"/>
  <c r="AC7" i="2" s="1"/>
  <c r="K6" i="2"/>
  <c r="AC6" i="2" s="1"/>
  <c r="K5" i="2"/>
  <c r="AC5" i="2" s="1"/>
  <c r="M6" i="2"/>
  <c r="AE6" i="2" s="1"/>
  <c r="M5" i="2"/>
  <c r="AE5" i="2" s="1"/>
  <c r="J7" i="2"/>
  <c r="AB7" i="2" s="1"/>
  <c r="J6" i="2"/>
  <c r="AB6" i="2" s="1"/>
  <c r="J5" i="2"/>
  <c r="AB5" i="2" s="1"/>
  <c r="G60" i="2" l="1"/>
  <c r="I62" i="2"/>
  <c r="AA62" i="2" s="1"/>
  <c r="G63" i="2"/>
  <c r="Y63" i="2" s="1"/>
  <c r="I55" i="2"/>
  <c r="AA55" i="2" s="1"/>
  <c r="H55" i="2"/>
  <c r="Z55" i="2" s="1"/>
  <c r="G55" i="2"/>
  <c r="I53" i="2"/>
  <c r="AA53" i="2" s="1"/>
  <c r="H53" i="2"/>
  <c r="Z53" i="2" s="1"/>
  <c r="G53" i="2"/>
  <c r="I52" i="2"/>
  <c r="AA52" i="2" s="1"/>
  <c r="H52" i="2"/>
  <c r="Z52" i="2" s="1"/>
  <c r="G52" i="2"/>
  <c r="I54" i="2"/>
  <c r="AA54" i="2" s="1"/>
  <c r="H54" i="2"/>
  <c r="Z54" i="2" s="1"/>
  <c r="G54" i="2"/>
  <c r="Y54" i="2" s="1"/>
  <c r="I45" i="2"/>
  <c r="AA45" i="2" s="1"/>
  <c r="H45" i="2"/>
  <c r="Z45" i="2" s="1"/>
  <c r="G45" i="2"/>
  <c r="I44" i="2"/>
  <c r="AA44" i="2" s="1"/>
  <c r="H44" i="2"/>
  <c r="Z44" i="2" s="1"/>
  <c r="G44" i="2"/>
  <c r="I46" i="2"/>
  <c r="AA46" i="2" s="1"/>
  <c r="H46" i="2"/>
  <c r="Z46" i="2" s="1"/>
  <c r="G46" i="2"/>
  <c r="Y46" i="2" s="1"/>
  <c r="I47" i="2"/>
  <c r="AA47" i="2" s="1"/>
  <c r="H47" i="2"/>
  <c r="Z47" i="2" s="1"/>
  <c r="G47" i="2"/>
  <c r="I28" i="2"/>
  <c r="AA28" i="2" s="1"/>
  <c r="H28" i="2"/>
  <c r="Z28" i="2" s="1"/>
  <c r="G28" i="2"/>
  <c r="I31" i="2"/>
  <c r="AA31" i="2" s="1"/>
  <c r="H31" i="2"/>
  <c r="Z31" i="2" s="1"/>
  <c r="G31" i="2"/>
  <c r="H21" i="2"/>
  <c r="Z21" i="2" s="1"/>
  <c r="I23" i="2"/>
  <c r="AA23" i="2" s="1"/>
  <c r="I22" i="2"/>
  <c r="AA22" i="2" s="1"/>
  <c r="I37" i="2"/>
  <c r="AA37" i="2" s="1"/>
  <c r="H37" i="2"/>
  <c r="Z37" i="2" s="1"/>
  <c r="G37" i="2"/>
  <c r="Y37" i="2" s="1"/>
  <c r="I36" i="2"/>
  <c r="AA36" i="2" s="1"/>
  <c r="H36" i="2"/>
  <c r="Z36" i="2" s="1"/>
  <c r="G36" i="2"/>
  <c r="Y36" i="2" s="1"/>
  <c r="I38" i="2"/>
  <c r="AA38" i="2" s="1"/>
  <c r="H38" i="2"/>
  <c r="Z38" i="2" s="1"/>
  <c r="G38" i="2"/>
  <c r="Y38" i="2" s="1"/>
  <c r="I39" i="2"/>
  <c r="AA39" i="2" s="1"/>
  <c r="H39" i="2"/>
  <c r="Z39" i="2" s="1"/>
  <c r="G39" i="2"/>
  <c r="Y39" i="2" s="1"/>
  <c r="R60" i="2"/>
  <c r="AB61" i="2"/>
  <c r="R61" i="2"/>
  <c r="AB60" i="2"/>
  <c r="R63" i="2"/>
  <c r="Y60" i="2"/>
  <c r="H60" i="2"/>
  <c r="Z60" i="2" s="1"/>
  <c r="I61" i="2"/>
  <c r="AA61" i="2" s="1"/>
  <c r="R62" i="2"/>
  <c r="L60" i="2"/>
  <c r="I60" i="2"/>
  <c r="AA60" i="2" s="1"/>
  <c r="L63" i="2"/>
  <c r="AB63" i="2"/>
  <c r="L62" i="2"/>
  <c r="G62" i="2"/>
  <c r="H63" i="2"/>
  <c r="G61" i="2"/>
  <c r="H62" i="2"/>
  <c r="Z62" i="2" s="1"/>
  <c r="F55" i="2"/>
  <c r="X55" i="2" s="1"/>
  <c r="F52" i="2"/>
  <c r="X52" i="2" s="1"/>
  <c r="R52" i="2"/>
  <c r="F47" i="2"/>
  <c r="X47" i="2" s="1"/>
  <c r="E44" i="2"/>
  <c r="W44" i="2" s="1"/>
  <c r="R44" i="2"/>
  <c r="R36" i="2"/>
  <c r="I29" i="2"/>
  <c r="AA29" i="2" s="1"/>
  <c r="G30" i="2"/>
  <c r="Y30" i="2" s="1"/>
  <c r="H30" i="2"/>
  <c r="Z30" i="2" s="1"/>
  <c r="G29" i="2"/>
  <c r="Y29" i="2" s="1"/>
  <c r="R28" i="2"/>
  <c r="R20" i="2"/>
  <c r="F53" i="2"/>
  <c r="X53" i="2" s="1"/>
  <c r="R55" i="2"/>
  <c r="L52" i="2"/>
  <c r="AB52" i="2"/>
  <c r="E53" i="2"/>
  <c r="Y53" i="2"/>
  <c r="F54" i="2"/>
  <c r="X54" i="2" s="1"/>
  <c r="R54" i="2"/>
  <c r="E52" i="2"/>
  <c r="Y52" i="2"/>
  <c r="R53" i="2"/>
  <c r="L55" i="2"/>
  <c r="AB55" i="2"/>
  <c r="L54" i="2"/>
  <c r="E55" i="2"/>
  <c r="Y55" i="2"/>
  <c r="L53" i="2"/>
  <c r="E54" i="2"/>
  <c r="F45" i="2"/>
  <c r="X45" i="2" s="1"/>
  <c r="F44" i="2"/>
  <c r="X44" i="2" s="1"/>
  <c r="R47" i="2"/>
  <c r="L44" i="2"/>
  <c r="AB44" i="2"/>
  <c r="E45" i="2"/>
  <c r="Y45" i="2"/>
  <c r="F46" i="2"/>
  <c r="X46" i="2" s="1"/>
  <c r="R46" i="2"/>
  <c r="Y44" i="2"/>
  <c r="R45" i="2"/>
  <c r="L47" i="2"/>
  <c r="AB47" i="2"/>
  <c r="L46" i="2"/>
  <c r="E47" i="2"/>
  <c r="Y47" i="2"/>
  <c r="L45" i="2"/>
  <c r="E46" i="2"/>
  <c r="F31" i="2"/>
  <c r="X31" i="2" s="1"/>
  <c r="E28" i="2"/>
  <c r="W28" i="2" s="1"/>
  <c r="E37" i="2"/>
  <c r="F38" i="2"/>
  <c r="X38" i="2" s="1"/>
  <c r="E36" i="2"/>
  <c r="R39" i="2"/>
  <c r="L36" i="2"/>
  <c r="AB36" i="2"/>
  <c r="R38" i="2"/>
  <c r="F37" i="2"/>
  <c r="X37" i="2" s="1"/>
  <c r="R37" i="2"/>
  <c r="L39" i="2"/>
  <c r="AB39" i="2"/>
  <c r="L38" i="2"/>
  <c r="L37" i="2"/>
  <c r="F28" i="2"/>
  <c r="X28" i="2" s="1"/>
  <c r="R31" i="2"/>
  <c r="L28" i="2"/>
  <c r="AB28" i="2"/>
  <c r="R30" i="2"/>
  <c r="Y28" i="2"/>
  <c r="R29" i="2"/>
  <c r="L31" i="2"/>
  <c r="AB31" i="2"/>
  <c r="L30" i="2"/>
  <c r="E31" i="2"/>
  <c r="Y31" i="2"/>
  <c r="L29" i="2"/>
  <c r="R12" i="2"/>
  <c r="G12" i="2"/>
  <c r="R23" i="2"/>
  <c r="Y20" i="2"/>
  <c r="H20" i="2"/>
  <c r="Z20" i="2" s="1"/>
  <c r="L20" i="2"/>
  <c r="AB20" i="2"/>
  <c r="I21" i="2"/>
  <c r="AA21" i="2" s="1"/>
  <c r="R22" i="2"/>
  <c r="G23" i="2"/>
  <c r="I20" i="2"/>
  <c r="AA20" i="2" s="1"/>
  <c r="R21" i="2"/>
  <c r="G22" i="2"/>
  <c r="H23" i="2"/>
  <c r="Z23" i="2" s="1"/>
  <c r="L23" i="2"/>
  <c r="AB23" i="2"/>
  <c r="G21" i="2"/>
  <c r="H22" i="2"/>
  <c r="Z22" i="2" s="1"/>
  <c r="L22" i="2"/>
  <c r="L21" i="2"/>
  <c r="R15" i="2"/>
  <c r="R13" i="2"/>
  <c r="R14" i="2"/>
  <c r="I15" i="2"/>
  <c r="AA15" i="2" s="1"/>
  <c r="I14" i="2"/>
  <c r="AA14" i="2" s="1"/>
  <c r="Y12" i="2"/>
  <c r="H12" i="2"/>
  <c r="Z12" i="2" s="1"/>
  <c r="L12" i="2"/>
  <c r="AB12" i="2"/>
  <c r="I13" i="2"/>
  <c r="AA13" i="2" s="1"/>
  <c r="G15" i="2"/>
  <c r="I12" i="2"/>
  <c r="AA12" i="2" s="1"/>
  <c r="G14" i="2"/>
  <c r="H15" i="2"/>
  <c r="Z15" i="2" s="1"/>
  <c r="L15" i="2"/>
  <c r="AB15" i="2"/>
  <c r="G13" i="2"/>
  <c r="H14" i="2"/>
  <c r="Z14" i="2" s="1"/>
  <c r="L14" i="2"/>
  <c r="L13" i="2"/>
  <c r="L4" i="2"/>
  <c r="AD4" i="2" s="1"/>
  <c r="R4" i="2"/>
  <c r="R6" i="2"/>
  <c r="R7" i="2"/>
  <c r="R5" i="2"/>
  <c r="AB4" i="2"/>
  <c r="L5" i="2"/>
  <c r="AD5" i="2" s="1"/>
  <c r="L6" i="2"/>
  <c r="AD6" i="2" s="1"/>
  <c r="L7" i="2"/>
  <c r="E38" i="2" l="1"/>
  <c r="F39" i="2"/>
  <c r="X39" i="2" s="1"/>
  <c r="E39" i="2"/>
  <c r="O39" i="2" s="1"/>
  <c r="F36" i="2"/>
  <c r="X36" i="2" s="1"/>
  <c r="Q13" i="2"/>
  <c r="Q61" i="2"/>
  <c r="Z63" i="2"/>
  <c r="F63" i="2"/>
  <c r="X63" i="2" s="1"/>
  <c r="Y62" i="2"/>
  <c r="E62" i="2"/>
  <c r="F62" i="2"/>
  <c r="X62" i="2" s="1"/>
  <c r="F61" i="2"/>
  <c r="X61" i="2" s="1"/>
  <c r="E61" i="2"/>
  <c r="Y61" i="2"/>
  <c r="E63" i="2"/>
  <c r="AD60" i="2"/>
  <c r="Q60" i="2"/>
  <c r="Q62" i="2"/>
  <c r="AD62" i="2"/>
  <c r="Q63" i="2"/>
  <c r="AD63" i="2"/>
  <c r="E60" i="2"/>
  <c r="F60" i="2"/>
  <c r="X60" i="2" s="1"/>
  <c r="O44" i="2"/>
  <c r="S44" i="2" s="1"/>
  <c r="O38" i="2"/>
  <c r="F29" i="2"/>
  <c r="X29" i="2" s="1"/>
  <c r="E30" i="2"/>
  <c r="O30" i="2" s="1"/>
  <c r="E29" i="2"/>
  <c r="W29" i="2" s="1"/>
  <c r="F30" i="2"/>
  <c r="X30" i="2" s="1"/>
  <c r="O28" i="2"/>
  <c r="S28" i="2" s="1"/>
  <c r="W54" i="2"/>
  <c r="O54" i="2"/>
  <c r="Q54" i="2"/>
  <c r="AD54" i="2"/>
  <c r="AD53" i="2"/>
  <c r="Q53" i="2"/>
  <c r="W52" i="2"/>
  <c r="O52" i="2"/>
  <c r="W53" i="2"/>
  <c r="O53" i="2"/>
  <c r="AD55" i="2"/>
  <c r="Q55" i="2"/>
  <c r="W55" i="2"/>
  <c r="O55" i="2"/>
  <c r="AD52" i="2"/>
  <c r="Q52" i="2"/>
  <c r="W46" i="2"/>
  <c r="O46" i="2"/>
  <c r="W47" i="2"/>
  <c r="O47" i="2"/>
  <c r="AD45" i="2"/>
  <c r="Q45" i="2"/>
  <c r="Q46" i="2"/>
  <c r="AD46" i="2"/>
  <c r="W45" i="2"/>
  <c r="O45" i="2"/>
  <c r="AD47" i="2"/>
  <c r="Q47" i="2"/>
  <c r="AD44" i="2"/>
  <c r="Q44" i="2"/>
  <c r="W36" i="2"/>
  <c r="O36" i="2"/>
  <c r="W37" i="2"/>
  <c r="O37" i="2"/>
  <c r="W38" i="2"/>
  <c r="AD37" i="2"/>
  <c r="Q37" i="2"/>
  <c r="Q38" i="2"/>
  <c r="AD38" i="2"/>
  <c r="AD39" i="2"/>
  <c r="Q39" i="2"/>
  <c r="AD36" i="2"/>
  <c r="Q36" i="2"/>
  <c r="O31" i="2"/>
  <c r="W31" i="2"/>
  <c r="AD31" i="2"/>
  <c r="Q31" i="2"/>
  <c r="AD29" i="2"/>
  <c r="Q29" i="2"/>
  <c r="Q30" i="2"/>
  <c r="AD30" i="2"/>
  <c r="AD28" i="2"/>
  <c r="Q28" i="2"/>
  <c r="F21" i="2"/>
  <c r="X21" i="2" s="1"/>
  <c r="Y21" i="2"/>
  <c r="E21" i="2"/>
  <c r="Y22" i="2"/>
  <c r="E22" i="2"/>
  <c r="F22" i="2"/>
  <c r="X22" i="2" s="1"/>
  <c r="AD21" i="2"/>
  <c r="Q21" i="2"/>
  <c r="E20" i="2"/>
  <c r="Q22" i="2"/>
  <c r="AD22" i="2"/>
  <c r="AD23" i="2"/>
  <c r="Q23" i="2"/>
  <c r="F23" i="2"/>
  <c r="X23" i="2" s="1"/>
  <c r="Y23" i="2"/>
  <c r="E23" i="2"/>
  <c r="AD20" i="2"/>
  <c r="Q20" i="2"/>
  <c r="F20" i="2"/>
  <c r="X20" i="2" s="1"/>
  <c r="Q12" i="2"/>
  <c r="Q14" i="2"/>
  <c r="Q15" i="2"/>
  <c r="AD13" i="2"/>
  <c r="F13" i="2"/>
  <c r="X13" i="2" s="1"/>
  <c r="Y13" i="2"/>
  <c r="E13" i="2"/>
  <c r="Y14" i="2"/>
  <c r="E14" i="2"/>
  <c r="F14" i="2"/>
  <c r="X14" i="2" s="1"/>
  <c r="E12" i="2"/>
  <c r="AD14" i="2"/>
  <c r="AD15" i="2"/>
  <c r="F15" i="2"/>
  <c r="X15" i="2" s="1"/>
  <c r="Y15" i="2"/>
  <c r="E15" i="2"/>
  <c r="AD12" i="2"/>
  <c r="F12" i="2"/>
  <c r="X12" i="2" s="1"/>
  <c r="Q7" i="2"/>
  <c r="AD7" i="2"/>
  <c r="Q6" i="2"/>
  <c r="Q4" i="2"/>
  <c r="Q5" i="2"/>
  <c r="W39" i="2" l="1"/>
  <c r="W61" i="2"/>
  <c r="O61" i="2"/>
  <c r="W60" i="2"/>
  <c r="O60" i="2"/>
  <c r="W62" i="2"/>
  <c r="O62" i="2"/>
  <c r="O63" i="2"/>
  <c r="W63" i="2"/>
  <c r="P36" i="2"/>
  <c r="U36" i="2" s="1"/>
  <c r="S36" i="2"/>
  <c r="O29" i="2"/>
  <c r="P28" i="2" s="1"/>
  <c r="U28" i="2" s="1"/>
  <c r="W30" i="2"/>
  <c r="P44" i="2"/>
  <c r="U44" i="2" s="1"/>
  <c r="P55" i="2"/>
  <c r="U55" i="2" s="1"/>
  <c r="S55" i="2"/>
  <c r="S52" i="2"/>
  <c r="P52" i="2"/>
  <c r="U52" i="2" s="1"/>
  <c r="P54" i="2"/>
  <c r="U54" i="2" s="1"/>
  <c r="S54" i="2"/>
  <c r="P53" i="2"/>
  <c r="U53" i="2" s="1"/>
  <c r="S53" i="2"/>
  <c r="P47" i="2"/>
  <c r="U47" i="2" s="1"/>
  <c r="S47" i="2"/>
  <c r="P46" i="2"/>
  <c r="U46" i="2" s="1"/>
  <c r="S46" i="2"/>
  <c r="P45" i="2"/>
  <c r="U45" i="2" s="1"/>
  <c r="S45" i="2"/>
  <c r="P37" i="2"/>
  <c r="U37" i="2" s="1"/>
  <c r="S37" i="2"/>
  <c r="P39" i="2"/>
  <c r="U39" i="2" s="1"/>
  <c r="S39" i="2"/>
  <c r="P38" i="2"/>
  <c r="U38" i="2" s="1"/>
  <c r="S38" i="2"/>
  <c r="S31" i="2"/>
  <c r="S30" i="2"/>
  <c r="W21" i="2"/>
  <c r="O21" i="2"/>
  <c r="W23" i="2"/>
  <c r="O23" i="2"/>
  <c r="W20" i="2"/>
  <c r="O20" i="2"/>
  <c r="W22" i="2"/>
  <c r="O22" i="2"/>
  <c r="W15" i="2"/>
  <c r="O15" i="2"/>
  <c r="W14" i="2"/>
  <c r="O14" i="2"/>
  <c r="W12" i="2"/>
  <c r="O12" i="2"/>
  <c r="W13" i="2"/>
  <c r="O13" i="2"/>
  <c r="P62" i="2" l="1"/>
  <c r="U62" i="2" s="1"/>
  <c r="S62" i="2"/>
  <c r="P61" i="2"/>
  <c r="U61" i="2" s="1"/>
  <c r="S61" i="2"/>
  <c r="P63" i="2"/>
  <c r="U63" i="2" s="1"/>
  <c r="S63" i="2"/>
  <c r="S60" i="2"/>
  <c r="P60" i="2"/>
  <c r="U60" i="2" s="1"/>
  <c r="AG46" i="2"/>
  <c r="AT46" i="2" s="1"/>
  <c r="P31" i="2"/>
  <c r="U31" i="2" s="1"/>
  <c r="S29" i="2"/>
  <c r="AG28" i="2" s="1"/>
  <c r="AR28" i="2" s="1"/>
  <c r="P29" i="2"/>
  <c r="U29" i="2" s="1"/>
  <c r="P30" i="2"/>
  <c r="U30" i="2" s="1"/>
  <c r="AG54" i="2"/>
  <c r="AG55" i="2"/>
  <c r="AG52" i="2"/>
  <c r="AG53" i="2"/>
  <c r="AG45" i="2"/>
  <c r="AR45" i="2" s="1"/>
  <c r="AG44" i="2"/>
  <c r="AR44" i="2" s="1"/>
  <c r="AG47" i="2"/>
  <c r="AG37" i="2"/>
  <c r="AK37" i="2" s="1"/>
  <c r="AG36" i="2"/>
  <c r="AN36" i="2" s="1"/>
  <c r="AG39" i="2"/>
  <c r="AG38" i="2"/>
  <c r="AG29" i="2"/>
  <c r="P23" i="2"/>
  <c r="U23" i="2" s="1"/>
  <c r="S23" i="2"/>
  <c r="P22" i="2"/>
  <c r="U22" i="2" s="1"/>
  <c r="S22" i="2"/>
  <c r="P21" i="2"/>
  <c r="U21" i="2" s="1"/>
  <c r="S21" i="2"/>
  <c r="S20" i="2"/>
  <c r="P20" i="2"/>
  <c r="U20" i="2" s="1"/>
  <c r="P13" i="2"/>
  <c r="U13" i="2" s="1"/>
  <c r="P14" i="2"/>
  <c r="U14" i="2" s="1"/>
  <c r="P12" i="2"/>
  <c r="U12" i="2" s="1"/>
  <c r="P15" i="2"/>
  <c r="U15" i="2" s="1"/>
  <c r="S13" i="2"/>
  <c r="S14" i="2"/>
  <c r="S12" i="2"/>
  <c r="S15" i="2"/>
  <c r="AG62" i="2" l="1"/>
  <c r="AG63" i="2"/>
  <c r="AG60" i="2"/>
  <c r="AG61" i="2"/>
  <c r="AL45" i="2"/>
  <c r="AH45" i="2"/>
  <c r="AM45" i="2"/>
  <c r="J7" i="4" s="1"/>
  <c r="I7" i="4" s="1"/>
  <c r="AO45" i="2"/>
  <c r="AS44" i="2"/>
  <c r="AL44" i="2"/>
  <c r="AM46" i="2"/>
  <c r="AQ46" i="2"/>
  <c r="AI46" i="2"/>
  <c r="AI45" i="2"/>
  <c r="AU44" i="2"/>
  <c r="AN45" i="2"/>
  <c r="AH46" i="2"/>
  <c r="AK45" i="2"/>
  <c r="AT45" i="2"/>
  <c r="AS45" i="2"/>
  <c r="AU46" i="2"/>
  <c r="AU45" i="2"/>
  <c r="AM44" i="2"/>
  <c r="AN46" i="2"/>
  <c r="AR46" i="2"/>
  <c r="AK46" i="2"/>
  <c r="AO46" i="2"/>
  <c r="AS46" i="2"/>
  <c r="AL46" i="2"/>
  <c r="AP46" i="2"/>
  <c r="AI37" i="2"/>
  <c r="AG30" i="2"/>
  <c r="AR30" i="2" s="1"/>
  <c r="AG31" i="2"/>
  <c r="AU31" i="2" s="1"/>
  <c r="AS29" i="2"/>
  <c r="AM29" i="2"/>
  <c r="AO44" i="2"/>
  <c r="AH44" i="2"/>
  <c r="AN44" i="2"/>
  <c r="AS53" i="2"/>
  <c r="AO53" i="2"/>
  <c r="AK53" i="2"/>
  <c r="AR53" i="2"/>
  <c r="AN53" i="2"/>
  <c r="AI53" i="2"/>
  <c r="AU53" i="2"/>
  <c r="AQ53" i="2"/>
  <c r="AM53" i="2"/>
  <c r="AH53" i="2"/>
  <c r="AT53" i="2"/>
  <c r="AP53" i="2"/>
  <c r="AL53" i="2"/>
  <c r="AR52" i="2"/>
  <c r="AN52" i="2"/>
  <c r="AI52" i="2"/>
  <c r="AU52" i="2"/>
  <c r="AQ52" i="2"/>
  <c r="AM52" i="2"/>
  <c r="AH52" i="2"/>
  <c r="AT52" i="2"/>
  <c r="AP52" i="2"/>
  <c r="AL52" i="2"/>
  <c r="AS52" i="2"/>
  <c r="AO52" i="2"/>
  <c r="AK52" i="2"/>
  <c r="AU55" i="2"/>
  <c r="AQ55" i="2"/>
  <c r="AM55" i="2"/>
  <c r="AH55" i="2"/>
  <c r="AT55" i="2"/>
  <c r="AP55" i="2"/>
  <c r="AL55" i="2"/>
  <c r="AS55" i="2"/>
  <c r="AO55" i="2"/>
  <c r="AK55" i="2"/>
  <c r="AR55" i="2"/>
  <c r="AN55" i="2"/>
  <c r="AI55" i="2"/>
  <c r="AT44" i="2"/>
  <c r="AI44" i="2"/>
  <c r="AT54" i="2"/>
  <c r="AP54" i="2"/>
  <c r="AL54" i="2"/>
  <c r="AS54" i="2"/>
  <c r="AO54" i="2"/>
  <c r="AK54" i="2"/>
  <c r="AR54" i="2"/>
  <c r="AN54" i="2"/>
  <c r="AI54" i="2"/>
  <c r="AU54" i="2"/>
  <c r="AQ54" i="2"/>
  <c r="AM54" i="2"/>
  <c r="AH54" i="2"/>
  <c r="AP45" i="2"/>
  <c r="AQ45" i="2"/>
  <c r="AK44" i="2"/>
  <c r="AP44" i="2"/>
  <c r="AQ44" i="2"/>
  <c r="AU47" i="2"/>
  <c r="AQ47" i="2"/>
  <c r="AM47" i="2"/>
  <c r="AH47" i="2"/>
  <c r="AT47" i="2"/>
  <c r="AP47" i="2"/>
  <c r="AL47" i="2"/>
  <c r="AS47" i="2"/>
  <c r="AO47" i="2"/>
  <c r="AK47" i="2"/>
  <c r="AR47" i="2"/>
  <c r="AN47" i="2"/>
  <c r="AI47" i="2"/>
  <c r="AH37" i="2"/>
  <c r="AK36" i="2"/>
  <c r="AO37" i="2"/>
  <c r="AS36" i="2"/>
  <c r="AU36" i="2"/>
  <c r="AT36" i="2"/>
  <c r="AQ36" i="2"/>
  <c r="AP36" i="2"/>
  <c r="AI36" i="2"/>
  <c r="AL37" i="2"/>
  <c r="AM37" i="2"/>
  <c r="J10" i="4" s="1"/>
  <c r="S10" i="4" s="1"/>
  <c r="J16" i="4" s="1"/>
  <c r="AN37" i="2"/>
  <c r="AS37" i="2"/>
  <c r="AP37" i="2"/>
  <c r="AQ37" i="2"/>
  <c r="AR37" i="2"/>
  <c r="AT37" i="2"/>
  <c r="AU37" i="2"/>
  <c r="AO36" i="2"/>
  <c r="AH36" i="2"/>
  <c r="AR36" i="2"/>
  <c r="AL36" i="2"/>
  <c r="AM36" i="2"/>
  <c r="D7" i="4" s="1"/>
  <c r="S7" i="4" s="1"/>
  <c r="AK31" i="2"/>
  <c r="AS31" i="2"/>
  <c r="AT38" i="2"/>
  <c r="AP38" i="2"/>
  <c r="AL38" i="2"/>
  <c r="AS38" i="2"/>
  <c r="AO38" i="2"/>
  <c r="AK38" i="2"/>
  <c r="AR38" i="2"/>
  <c r="AN38" i="2"/>
  <c r="AI38" i="2"/>
  <c r="AU38" i="2"/>
  <c r="AQ38" i="2"/>
  <c r="AM38" i="2"/>
  <c r="AH38" i="2"/>
  <c r="AU39" i="2"/>
  <c r="AQ39" i="2"/>
  <c r="AM39" i="2"/>
  <c r="AH39" i="2"/>
  <c r="AT39" i="2"/>
  <c r="AP39" i="2"/>
  <c r="AL39" i="2"/>
  <c r="AS39" i="2"/>
  <c r="AO39" i="2"/>
  <c r="AK39" i="2"/>
  <c r="AR39" i="2"/>
  <c r="AN39" i="2"/>
  <c r="AI39" i="2"/>
  <c r="AP29" i="2"/>
  <c r="AN31" i="2"/>
  <c r="AR29" i="2"/>
  <c r="AI31" i="2"/>
  <c r="AO31" i="2"/>
  <c r="AK29" i="2"/>
  <c r="AT29" i="2"/>
  <c r="AS28" i="2"/>
  <c r="AI28" i="2"/>
  <c r="AO28" i="2"/>
  <c r="AT28" i="2"/>
  <c r="AU28" i="2"/>
  <c r="AH28" i="2"/>
  <c r="AL28" i="2"/>
  <c r="AM28" i="2"/>
  <c r="D6" i="4" s="1"/>
  <c r="E6" i="4" s="1"/>
  <c r="AN28" i="2"/>
  <c r="AK28" i="2"/>
  <c r="AP28" i="2"/>
  <c r="AQ28" i="2"/>
  <c r="AQ29" i="2"/>
  <c r="AU29" i="2"/>
  <c r="AH29" i="2"/>
  <c r="AI29" i="2"/>
  <c r="AO29" i="2"/>
  <c r="AL29" i="2"/>
  <c r="AN29" i="2"/>
  <c r="AK30" i="2"/>
  <c r="AG22" i="2"/>
  <c r="AL22" i="2" s="1"/>
  <c r="AG23" i="2"/>
  <c r="AL23" i="2" s="1"/>
  <c r="AG20" i="2"/>
  <c r="AL20" i="2" s="1"/>
  <c r="AG21" i="2"/>
  <c r="AL21" i="2" s="1"/>
  <c r="AG15" i="2"/>
  <c r="AG12" i="2"/>
  <c r="AG14" i="2"/>
  <c r="AG13" i="2"/>
  <c r="D13" i="4" l="1"/>
  <c r="E13" i="4" s="1"/>
  <c r="J9" i="4"/>
  <c r="J4" i="4"/>
  <c r="I9" i="4"/>
  <c r="S9" i="4"/>
  <c r="I16" i="4"/>
  <c r="D8" i="4"/>
  <c r="E8" i="4" s="1"/>
  <c r="D10" i="4"/>
  <c r="E10" i="4" s="1"/>
  <c r="I4" i="4"/>
  <c r="I10" i="4"/>
  <c r="E7" i="4"/>
  <c r="AO61" i="2"/>
  <c r="AK61" i="2"/>
  <c r="AN61" i="2"/>
  <c r="AT61" i="2"/>
  <c r="AL61" i="2"/>
  <c r="AU61" i="2"/>
  <c r="AM61" i="2"/>
  <c r="AS61" i="2"/>
  <c r="AR61" i="2"/>
  <c r="AI61" i="2"/>
  <c r="AQ61" i="2"/>
  <c r="AH61" i="2"/>
  <c r="AP61" i="2"/>
  <c r="AN60" i="2"/>
  <c r="AI60" i="2"/>
  <c r="AU60" i="2"/>
  <c r="AM60" i="2"/>
  <c r="AT60" i="2"/>
  <c r="AL60" i="2"/>
  <c r="AR60" i="2"/>
  <c r="AQ60" i="2"/>
  <c r="AH60" i="2"/>
  <c r="AP60" i="2"/>
  <c r="AS60" i="2"/>
  <c r="AK60" i="2"/>
  <c r="AO60" i="2"/>
  <c r="AQ63" i="2"/>
  <c r="AH63" i="2"/>
  <c r="AM63" i="2"/>
  <c r="AP63" i="2"/>
  <c r="AN63" i="2"/>
  <c r="AO63" i="2"/>
  <c r="AU63" i="2"/>
  <c r="AT63" i="2"/>
  <c r="AL63" i="2"/>
  <c r="AS63" i="2"/>
  <c r="AK63" i="2"/>
  <c r="AR63" i="2"/>
  <c r="AI63" i="2"/>
  <c r="AP62" i="2"/>
  <c r="AL62" i="2"/>
  <c r="AO62" i="2"/>
  <c r="AN62" i="2"/>
  <c r="AT62" i="2"/>
  <c r="AS62" i="2"/>
  <c r="AK62" i="2"/>
  <c r="AR62" i="2"/>
  <c r="AI62" i="2"/>
  <c r="AU62" i="2"/>
  <c r="AQ62" i="2"/>
  <c r="AH62" i="2"/>
  <c r="AM62" i="2"/>
  <c r="AL31" i="2"/>
  <c r="AM31" i="2"/>
  <c r="AP31" i="2"/>
  <c r="AT31" i="2"/>
  <c r="AQ31" i="2"/>
  <c r="AH31" i="2"/>
  <c r="AH30" i="2"/>
  <c r="AO30" i="2"/>
  <c r="AR31" i="2"/>
  <c r="AM30" i="2"/>
  <c r="AS30" i="2"/>
  <c r="AL30" i="2"/>
  <c r="AP30" i="2"/>
  <c r="AQ30" i="2"/>
  <c r="AU30" i="2"/>
  <c r="AI30" i="2"/>
  <c r="AT30" i="2"/>
  <c r="AN30" i="2"/>
  <c r="AK21" i="2"/>
  <c r="AI21" i="2"/>
  <c r="AK20" i="2"/>
  <c r="AI20" i="2"/>
  <c r="AK23" i="2"/>
  <c r="AI23" i="2"/>
  <c r="AK22" i="2"/>
  <c r="AI22" i="2"/>
  <c r="AS21" i="2"/>
  <c r="AO21" i="2"/>
  <c r="AR21" i="2"/>
  <c r="AN21" i="2"/>
  <c r="AU21" i="2"/>
  <c r="AQ21" i="2"/>
  <c r="AM21" i="2"/>
  <c r="AH21" i="2"/>
  <c r="AT21" i="2"/>
  <c r="AP21" i="2"/>
  <c r="AR20" i="2"/>
  <c r="AN20" i="2"/>
  <c r="AU20" i="2"/>
  <c r="AQ20" i="2"/>
  <c r="AM20" i="2"/>
  <c r="AH20" i="2"/>
  <c r="AT20" i="2"/>
  <c r="AP20" i="2"/>
  <c r="AS20" i="2"/>
  <c r="AO20" i="2"/>
  <c r="AU23" i="2"/>
  <c r="AQ23" i="2"/>
  <c r="AM23" i="2"/>
  <c r="AH23" i="2"/>
  <c r="AT23" i="2"/>
  <c r="AP23" i="2"/>
  <c r="AS23" i="2"/>
  <c r="AO23" i="2"/>
  <c r="AR23" i="2"/>
  <c r="AN23" i="2"/>
  <c r="AT22" i="2"/>
  <c r="AP22" i="2"/>
  <c r="AS22" i="2"/>
  <c r="AO22" i="2"/>
  <c r="AR22" i="2"/>
  <c r="AN22" i="2"/>
  <c r="AU22" i="2"/>
  <c r="AQ22" i="2"/>
  <c r="AM22" i="2"/>
  <c r="AH22" i="2"/>
  <c r="AI13" i="2"/>
  <c r="AL13" i="2"/>
  <c r="AK13" i="2"/>
  <c r="AH13" i="2"/>
  <c r="AU13" i="2"/>
  <c r="AT13" i="2"/>
  <c r="AS13" i="2"/>
  <c r="AR13" i="2"/>
  <c r="AQ13" i="2"/>
  <c r="AP13" i="2"/>
  <c r="AO13" i="2"/>
  <c r="AN13" i="2"/>
  <c r="AM13" i="2"/>
  <c r="AI15" i="2"/>
  <c r="AU15" i="2"/>
  <c r="AT15" i="2"/>
  <c r="AS15" i="2"/>
  <c r="AR15" i="2"/>
  <c r="AQ15" i="2"/>
  <c r="AP15" i="2"/>
  <c r="AO15" i="2"/>
  <c r="AN15" i="2"/>
  <c r="AM15" i="2"/>
  <c r="AH15" i="2"/>
  <c r="AL15" i="2"/>
  <c r="AK15" i="2"/>
  <c r="AI14" i="2"/>
  <c r="AU14" i="2"/>
  <c r="AT14" i="2"/>
  <c r="AS14" i="2"/>
  <c r="AR14" i="2"/>
  <c r="AQ14" i="2"/>
  <c r="AP14" i="2"/>
  <c r="AO14" i="2"/>
  <c r="AN14" i="2"/>
  <c r="AM14" i="2"/>
  <c r="AL14" i="2"/>
  <c r="AK14" i="2"/>
  <c r="AH14" i="2"/>
  <c r="AI12" i="2"/>
  <c r="AT12" i="2"/>
  <c r="AS12" i="2"/>
  <c r="AR12" i="2"/>
  <c r="AP12" i="2"/>
  <c r="AN12" i="2"/>
  <c r="AL12" i="2"/>
  <c r="AU12" i="2"/>
  <c r="AQ12" i="2"/>
  <c r="AO12" i="2"/>
  <c r="AM12" i="2"/>
  <c r="AK12" i="2"/>
  <c r="AH12" i="2"/>
  <c r="D16" i="4" l="1"/>
  <c r="J6" i="4"/>
  <c r="D4" i="4"/>
  <c r="D5" i="4"/>
  <c r="J3" i="4"/>
  <c r="I3" i="4" s="1"/>
  <c r="D9" i="4"/>
  <c r="E9" i="4" s="1"/>
  <c r="J8" i="4"/>
  <c r="BE3" i="2"/>
  <c r="BE4" i="2"/>
  <c r="BE5" i="2"/>
  <c r="BE6" i="2"/>
  <c r="BE7" i="2"/>
  <c r="BG3" i="2"/>
  <c r="BH3" i="2"/>
  <c r="BG4" i="2"/>
  <c r="BH4" i="2"/>
  <c r="BH2" i="2"/>
  <c r="BG2" i="2"/>
  <c r="BA2" i="2"/>
  <c r="BG5" i="2"/>
  <c r="BG6" i="2"/>
  <c r="BG7" i="2"/>
  <c r="BA3" i="2"/>
  <c r="BA4" i="2"/>
  <c r="BA5" i="2"/>
  <c r="BA6" i="2"/>
  <c r="BA7" i="2"/>
  <c r="BH7" i="2"/>
  <c r="BH6" i="2"/>
  <c r="BH5" i="2"/>
  <c r="E16" i="4" l="1"/>
  <c r="S16" i="4"/>
  <c r="J20" i="4" s="1"/>
  <c r="I6" i="4"/>
  <c r="S6" i="4"/>
  <c r="J15" i="4" s="1"/>
  <c r="E5" i="4"/>
  <c r="E4" i="4"/>
  <c r="S4" i="4"/>
  <c r="J14" i="4" s="1"/>
  <c r="I8" i="4"/>
  <c r="S8" i="4"/>
  <c r="J13" i="4" s="1"/>
  <c r="G4" i="2"/>
  <c r="Y4" i="2" s="1"/>
  <c r="H5" i="2"/>
  <c r="Z5" i="2" s="1"/>
  <c r="I5" i="2"/>
  <c r="AA5" i="2" s="1"/>
  <c r="G5" i="2"/>
  <c r="Y5" i="2" s="1"/>
  <c r="H7" i="2"/>
  <c r="Z7" i="2" s="1"/>
  <c r="I7" i="2"/>
  <c r="AA7" i="2" s="1"/>
  <c r="G7" i="2"/>
  <c r="Y7" i="2" s="1"/>
  <c r="H6" i="2"/>
  <c r="Z6" i="2" s="1"/>
  <c r="I6" i="2"/>
  <c r="AA6" i="2" s="1"/>
  <c r="G6" i="2"/>
  <c r="Y6" i="2" s="1"/>
  <c r="I4" i="2"/>
  <c r="AA4" i="2" s="1"/>
  <c r="H4" i="2"/>
  <c r="Z4" i="2" s="1"/>
  <c r="I20" i="4" l="1"/>
  <c r="S20" i="4"/>
  <c r="J23" i="4" s="1"/>
  <c r="I15" i="4"/>
  <c r="I13" i="4"/>
  <c r="S13" i="4"/>
  <c r="I14" i="4"/>
  <c r="F6" i="2"/>
  <c r="X6" i="2" s="1"/>
  <c r="F5" i="2"/>
  <c r="X5" i="2" s="1"/>
  <c r="F4" i="2"/>
  <c r="X4" i="2" s="1"/>
  <c r="F7" i="2"/>
  <c r="X7" i="2" s="1"/>
  <c r="E5" i="2"/>
  <c r="O5" i="2" s="1"/>
  <c r="E6" i="2"/>
  <c r="O6" i="2" s="1"/>
  <c r="E7" i="2"/>
  <c r="O7" i="2" s="1"/>
  <c r="E4" i="2"/>
  <c r="O4" i="2" s="1"/>
  <c r="D5" i="2"/>
  <c r="V5" i="2" s="1"/>
  <c r="D6" i="2"/>
  <c r="V6" i="2" s="1"/>
  <c r="D7" i="2"/>
  <c r="V7" i="2" s="1"/>
  <c r="V4" i="2"/>
  <c r="I23" i="4" l="1"/>
  <c r="S23" i="4"/>
  <c r="D19" i="4"/>
  <c r="E19" i="4" s="1"/>
  <c r="S5" i="2"/>
  <c r="W5" i="2"/>
  <c r="S7" i="2"/>
  <c r="W7" i="2"/>
  <c r="W6" i="2"/>
  <c r="W4" i="2"/>
  <c r="D23" i="4" l="1"/>
  <c r="E23" i="4" s="1"/>
  <c r="S6" i="2"/>
  <c r="P6" i="2"/>
  <c r="U6" i="2" s="1"/>
  <c r="S4" i="2"/>
  <c r="P4" i="2"/>
  <c r="U4" i="2" s="1"/>
  <c r="P7" i="2"/>
  <c r="U7" i="2" s="1"/>
  <c r="P5" i="2"/>
  <c r="U5" i="2" s="1"/>
  <c r="AG5" i="2" l="1"/>
  <c r="AK5" i="2" s="1"/>
  <c r="AG4" i="2"/>
  <c r="AK4" i="2" s="1"/>
  <c r="AG7" i="2"/>
  <c r="AK7" i="2" s="1"/>
  <c r="AG6" i="2"/>
  <c r="AK6" i="2" s="1"/>
  <c r="AU6" i="2" l="1"/>
  <c r="AT6" i="2"/>
  <c r="AU4" i="2"/>
  <c r="AT4" i="2"/>
  <c r="AU7" i="2"/>
  <c r="AT7" i="2"/>
  <c r="AU5" i="2"/>
  <c r="AT5" i="2"/>
  <c r="AS6" i="2"/>
  <c r="AR6" i="2"/>
  <c r="AQ6" i="2"/>
  <c r="AP6" i="2"/>
  <c r="AO6" i="2"/>
  <c r="AM6" i="2"/>
  <c r="AN6" i="2"/>
  <c r="AL6" i="2"/>
  <c r="AI6" i="2"/>
  <c r="AH6" i="2"/>
  <c r="AS7" i="2"/>
  <c r="AR7" i="2"/>
  <c r="AQ7" i="2"/>
  <c r="AP7" i="2"/>
  <c r="AO7" i="2"/>
  <c r="AM7" i="2"/>
  <c r="AN7" i="2"/>
  <c r="AL7" i="2"/>
  <c r="AI7" i="2"/>
  <c r="AH7" i="2"/>
  <c r="AN4" i="2"/>
  <c r="AL4" i="2"/>
  <c r="AI4" i="2"/>
  <c r="AH4" i="2"/>
  <c r="AS4" i="2"/>
  <c r="AR4" i="2"/>
  <c r="AQ4" i="2"/>
  <c r="AP4" i="2"/>
  <c r="AO4" i="2"/>
  <c r="AM4" i="2"/>
  <c r="D3" i="4" s="1"/>
  <c r="E3" i="4" s="1"/>
  <c r="AS5" i="2"/>
  <c r="AR5" i="2"/>
  <c r="AQ5" i="2"/>
  <c r="AP5" i="2"/>
  <c r="AO5" i="2"/>
  <c r="AM5" i="2"/>
  <c r="AN5" i="2"/>
  <c r="AL5" i="2"/>
  <c r="AI5" i="2"/>
  <c r="AH5" i="2"/>
  <c r="J5" i="4" l="1"/>
  <c r="S3" i="4"/>
  <c r="D14" i="4" l="1"/>
  <c r="I5" i="4"/>
  <c r="S5" i="4"/>
  <c r="E14" i="4" l="1"/>
  <c r="S14" i="4"/>
  <c r="J19" i="4" s="1"/>
  <c r="D15" i="4"/>
  <c r="I19" i="4" l="1"/>
  <c r="S19" i="4"/>
  <c r="E15" i="4"/>
  <c r="S15" i="4"/>
  <c r="D20" i="4" s="1"/>
  <c r="E20" i="4" s="1"/>
</calcChain>
</file>

<file path=xl/sharedStrings.xml><?xml version="1.0" encoding="utf-8"?>
<sst xmlns="http://schemas.openxmlformats.org/spreadsheetml/2006/main" count="730" uniqueCount="108">
  <si>
    <t>A1</t>
  </si>
  <si>
    <t>A2</t>
  </si>
  <si>
    <t>A3</t>
  </si>
  <si>
    <t>A4</t>
  </si>
  <si>
    <t>Al Ahly</t>
  </si>
  <si>
    <t>Inter Miami</t>
  </si>
  <si>
    <t>Palmeiras</t>
  </si>
  <si>
    <t>Porto</t>
  </si>
  <si>
    <t>Atlético Madrid</t>
  </si>
  <si>
    <t>Botafogo</t>
  </si>
  <si>
    <t>PSG</t>
  </si>
  <si>
    <t>Seattle Sounders</t>
  </si>
  <si>
    <t>Auckland City</t>
  </si>
  <si>
    <t>Bayern Munich</t>
  </si>
  <si>
    <t>Benfica</t>
  </si>
  <si>
    <t>Boca Juniors</t>
  </si>
  <si>
    <t>Chelsea</t>
  </si>
  <si>
    <t>Es Tunis</t>
  </si>
  <si>
    <t>Flamengo</t>
  </si>
  <si>
    <t>Inter Milan</t>
  </si>
  <si>
    <t>CF Monterrey</t>
  </si>
  <si>
    <t>River Plate</t>
  </si>
  <si>
    <t>Urawa Reds</t>
  </si>
  <si>
    <t>Borussia Dortmund</t>
  </si>
  <si>
    <t>Fluminense</t>
  </si>
  <si>
    <t>Sundowns</t>
  </si>
  <si>
    <t>Ulsan</t>
  </si>
  <si>
    <t>Al Ain</t>
  </si>
  <si>
    <t>Juventus Turin</t>
  </si>
  <si>
    <t>Manchester City</t>
  </si>
  <si>
    <t>Wydad AC</t>
  </si>
  <si>
    <t>Al-Hilal</t>
  </si>
  <si>
    <t>Pachuca</t>
  </si>
  <si>
    <t>Real Madrid</t>
  </si>
  <si>
    <t>RB Salzburg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</si>
  <si>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</si>
  <si>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</si>
  <si>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</si>
  <si>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</si>
  <si>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</si>
  <si>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</si>
  <si>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</si>
  <si>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</si>
  <si>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</si>
  <si>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</si>
  <si>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</si>
  <si>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</si>
  <si>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</si>
  <si>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</si>
  <si>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</si>
  <si>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</si>
  <si>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</si>
  <si>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</si>
  <si>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</si>
  <si>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</si>
  <si>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G4</t>
  </si>
  <si>
    <t>H4</t>
  </si>
  <si>
    <t>H1</t>
  </si>
  <si>
    <t>H2</t>
  </si>
  <si>
    <t>H3</t>
  </si>
  <si>
    <t>G1</t>
  </si>
  <si>
    <t>G2</t>
  </si>
  <si>
    <t>G3</t>
  </si>
  <si>
    <t>classement Général</t>
  </si>
  <si>
    <t>Pts</t>
  </si>
  <si>
    <t>J</t>
  </si>
  <si>
    <t>G</t>
  </si>
  <si>
    <t>N</t>
  </si>
  <si>
    <t>P</t>
  </si>
  <si>
    <t>BP</t>
  </si>
  <si>
    <t>BC</t>
  </si>
  <si>
    <t>+/-</t>
  </si>
  <si>
    <t>Rang</t>
  </si>
  <si>
    <t>Rang +/-</t>
  </si>
  <si>
    <t>Rang BP</t>
  </si>
  <si>
    <t>multi critère</t>
  </si>
  <si>
    <t>Code</t>
  </si>
  <si>
    <t>rappel rang</t>
  </si>
  <si>
    <t>équipe</t>
  </si>
  <si>
    <t>PTS</t>
  </si>
  <si>
    <t>Bp</t>
  </si>
  <si>
    <t>Bc</t>
  </si>
  <si>
    <t>1/8</t>
  </si>
  <si>
    <t>-</t>
  </si>
  <si>
    <t>Score</t>
  </si>
  <si>
    <t>CJ</t>
  </si>
  <si>
    <t>CR</t>
  </si>
  <si>
    <t>GROUPE A</t>
  </si>
  <si>
    <t>GROUPE B</t>
  </si>
  <si>
    <t>GROUPE C</t>
  </si>
  <si>
    <t>juin</t>
  </si>
  <si>
    <t>juillet</t>
  </si>
  <si>
    <t>GROUPE D</t>
  </si>
  <si>
    <t>GROUPE E</t>
  </si>
  <si>
    <t>GROUPE F</t>
  </si>
  <si>
    <t>E</t>
  </si>
  <si>
    <t>GROUPE G</t>
  </si>
  <si>
    <t>Los Angeles FC</t>
  </si>
  <si>
    <t>GROUPE H</t>
  </si>
  <si>
    <t>PROL</t>
  </si>
  <si>
    <t>TAB</t>
  </si>
  <si>
    <t>8ième de finale</t>
  </si>
  <si>
    <t>1/4 de finale</t>
  </si>
  <si>
    <t>1/2 de finale</t>
  </si>
  <si>
    <t>FINALE</t>
  </si>
  <si>
    <t xml:space="preserve"> </t>
  </si>
  <si>
    <t>https://paypal.me/scriptfoot?country.x=FR&amp;locale.x=fr_FR</t>
  </si>
  <si>
    <t>Si vous désirez faire un don, c'est ICI et c'est libre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</si>
</sst>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h:mm;@"/>
  </numFmts>
  <fonts count="16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002060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rgb="FFFFFF00"/>
      <name val="Comic Sans MS Bold"/>
    </font>
    <font>
      <sz val="11"/>
      <color theme="5" tint="0.59999389629810485"/>
      <name val="Aptos Narrow"/>
      <family val="2"/>
      <scheme val="minor"/>
    </font>
    <font>
      <sz val="11"/>
      <color rgb="FFFFFF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FFC000"/>
      <name val="Aptos Narrow"/>
      <family val="2"/>
      <scheme val="minor"/>
    </font>
    <font>
      <sz val="12"/>
      <color rgb="FFFFC000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 style="thick">
        <color rgb="FF0070C0"/>
      </right>
      <top/>
      <bottom/>
      <diagonal/>
    </border>
    <border>
      <left/>
      <right style="hair">
        <color auto="1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165" fontId="0" fillId="0" borderId="0" xfId="0" applyNumberFormat="1"/>
    <xf numFmtId="1" fontId="7" fillId="9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65" fontId="7" fillId="9" borderId="0" xfId="0" applyNumberFormat="1" applyFont="1" applyFill="1" applyAlignment="1">
      <alignment horizontal="center"/>
    </xf>
    <xf numFmtId="1" fontId="11" fillId="11" borderId="0" xfId="0" applyNumberFormat="1" applyFont="1" applyFill="1" applyAlignment="1">
      <alignment horizontal="center"/>
    </xf>
    <xf numFmtId="165" fontId="11" fillId="11" borderId="0" xfId="0" applyNumberFormat="1" applyFont="1" applyFill="1" applyAlignment="1">
      <alignment horizontal="center"/>
    </xf>
    <xf numFmtId="1" fontId="10" fillId="5" borderId="0" xfId="0" applyNumberFormat="1" applyFont="1" applyFill="1" applyAlignment="1">
      <alignment horizontal="center"/>
    </xf>
    <xf numFmtId="165" fontId="10" fillId="5" borderId="0" xfId="0" applyNumberFormat="1" applyFont="1" applyFill="1" applyAlignment="1">
      <alignment horizontal="center"/>
    </xf>
    <xf numFmtId="1" fontId="0" fillId="0" borderId="1" xfId="0" applyNumberFormat="1" applyBorder="1"/>
    <xf numFmtId="1" fontId="0" fillId="6" borderId="1" xfId="0" applyNumberFormat="1" applyFill="1" applyBorder="1"/>
    <xf numFmtId="1" fontId="0" fillId="0" borderId="0" xfId="0" applyNumberFormat="1"/>
    <xf numFmtId="1" fontId="0" fillId="6" borderId="0" xfId="0" applyNumberFormat="1" applyFill="1"/>
    <xf numFmtId="0" fontId="0" fillId="0" borderId="0" xfId="0" applyProtection="1">
      <protection locked="0"/>
    </xf>
    <xf numFmtId="0" fontId="0" fillId="2" borderId="0" xfId="0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8" borderId="2" xfId="0" applyFill="1" applyBorder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1" fontId="10" fillId="10" borderId="0" xfId="0" applyNumberFormat="1" applyFont="1" applyFill="1" applyAlignment="1">
      <alignment horizontal="center"/>
    </xf>
    <xf numFmtId="165" fontId="10" fillId="10" borderId="0" xfId="0" applyNumberFormat="1" applyFont="1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2" borderId="0" xfId="0" applyFill="1"/>
    <xf numFmtId="1" fontId="7" fillId="3" borderId="0" xfId="0" applyNumberFormat="1" applyFont="1" applyFill="1" applyAlignment="1">
      <alignment horizontal="center"/>
    </xf>
    <xf numFmtId="0" fontId="0" fillId="7" borderId="0" xfId="0" applyFill="1" applyAlignment="1">
      <alignment horizontal="center"/>
    </xf>
    <xf numFmtId="0" fontId="7" fillId="8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7" borderId="0" xfId="0" applyNumberForma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8" fillId="8" borderId="0" xfId="0" applyFont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0" fillId="11" borderId="2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1" fontId="10" fillId="10" borderId="0" xfId="0" applyNumberFormat="1" applyFont="1" applyFill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0" fillId="7" borderId="0" xfId="0" applyFill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12" fillId="1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3" fillId="0" borderId="0" xfId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10" borderId="0" xfId="0" applyFont="1" applyFill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24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paypal.me/scriptfoot?country.x=FR&amp;locale.x=fr_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C17C-2F90-409B-B0FF-04B8DD94CB10}">
  <dimension ref="A1:B32"/>
  <sheetViews>
    <sheetView topLeftCell="A7" workbookViewId="0">
      <selection activeCell="B7" sqref="B1:B1048576"/>
    </sheetView>
  </sheetViews>
  <sheetFormatPr baseColWidth="10" defaultRowHeight="15"/>
  <cols>
    <col min="1" max="1" width="3.140625" bestFit="1" customWidth="1"/>
    <col min="2" max="2" width="18.28515625" bestFit="1" customWidth="1"/>
  </cols>
  <sheetData>
    <row r="1" spans="1:2">
      <c r="A1" t="s">
        <v>0</v>
      </c>
      <c r="B1" t="s">
        <v>4</v>
      </c>
    </row>
    <row r="2" spans="1:2">
      <c r="A2" t="s">
        <v>1</v>
      </c>
      <c r="B2" t="s">
        <v>5</v>
      </c>
    </row>
    <row r="3" spans="1:2">
      <c r="A3" t="s">
        <v>2</v>
      </c>
      <c r="B3" t="s">
        <v>6</v>
      </c>
    </row>
    <row r="4" spans="1:2">
      <c r="A4" t="s">
        <v>3</v>
      </c>
      <c r="B4" t="s">
        <v>7</v>
      </c>
    </row>
    <row r="5" spans="1:2">
      <c r="A5" t="s">
        <v>35</v>
      </c>
      <c r="B5" t="s">
        <v>8</v>
      </c>
    </row>
    <row r="6" spans="1:2">
      <c r="A6" t="s">
        <v>36</v>
      </c>
      <c r="B6" t="s">
        <v>9</v>
      </c>
    </row>
    <row r="7" spans="1:2">
      <c r="A7" t="s">
        <v>37</v>
      </c>
      <c r="B7" t="s">
        <v>10</v>
      </c>
    </row>
    <row r="8" spans="1:2">
      <c r="A8" t="s">
        <v>38</v>
      </c>
      <c r="B8" t="s">
        <v>11</v>
      </c>
    </row>
    <row r="9" spans="1:2">
      <c r="A9" t="s">
        <v>39</v>
      </c>
      <c r="B9" t="s">
        <v>12</v>
      </c>
    </row>
    <row r="10" spans="1:2">
      <c r="A10" t="s">
        <v>40</v>
      </c>
      <c r="B10" t="s">
        <v>13</v>
      </c>
    </row>
    <row r="11" spans="1:2">
      <c r="A11" t="s">
        <v>41</v>
      </c>
      <c r="B11" t="s">
        <v>14</v>
      </c>
    </row>
    <row r="12" spans="1:2">
      <c r="A12" t="s">
        <v>42</v>
      </c>
      <c r="B12" t="s">
        <v>15</v>
      </c>
    </row>
    <row r="13" spans="1:2">
      <c r="A13" t="s">
        <v>43</v>
      </c>
      <c r="B13" t="s">
        <v>16</v>
      </c>
    </row>
    <row r="14" spans="1:2">
      <c r="A14" t="s">
        <v>44</v>
      </c>
      <c r="B14" t="s">
        <v>17</v>
      </c>
    </row>
    <row r="15" spans="1:2">
      <c r="A15" t="s">
        <v>45</v>
      </c>
      <c r="B15" t="s">
        <v>18</v>
      </c>
    </row>
    <row r="16" spans="1:2">
      <c r="A16" t="s">
        <v>46</v>
      </c>
      <c r="B16" t="s">
        <v>97</v>
      </c>
    </row>
    <row r="17" spans="1:2">
      <c r="A17" t="s">
        <v>47</v>
      </c>
      <c r="B17" t="s">
        <v>19</v>
      </c>
    </row>
    <row r="18" spans="1:2">
      <c r="A18" t="s">
        <v>48</v>
      </c>
      <c r="B18" t="s">
        <v>20</v>
      </c>
    </row>
    <row r="19" spans="1:2">
      <c r="A19" t="s">
        <v>49</v>
      </c>
      <c r="B19" t="s">
        <v>21</v>
      </c>
    </row>
    <row r="20" spans="1:2">
      <c r="A20" t="s">
        <v>50</v>
      </c>
      <c r="B20" t="s">
        <v>22</v>
      </c>
    </row>
    <row r="21" spans="1:2">
      <c r="A21" t="s">
        <v>51</v>
      </c>
      <c r="B21" t="s">
        <v>23</v>
      </c>
    </row>
    <row r="22" spans="1:2">
      <c r="A22" t="s">
        <v>52</v>
      </c>
      <c r="B22" t="s">
        <v>24</v>
      </c>
    </row>
    <row r="23" spans="1:2">
      <c r="A23" t="s">
        <v>53</v>
      </c>
      <c r="B23" t="s">
        <v>25</v>
      </c>
    </row>
    <row r="24" spans="1:2">
      <c r="A24" t="s">
        <v>54</v>
      </c>
      <c r="B24" t="s">
        <v>26</v>
      </c>
    </row>
    <row r="25" spans="1:2">
      <c r="A25" t="s">
        <v>60</v>
      </c>
      <c r="B25" t="s">
        <v>27</v>
      </c>
    </row>
    <row r="26" spans="1:2">
      <c r="A26" t="s">
        <v>61</v>
      </c>
      <c r="B26" t="s">
        <v>28</v>
      </c>
    </row>
    <row r="27" spans="1:2">
      <c r="A27" t="s">
        <v>62</v>
      </c>
      <c r="B27" t="s">
        <v>29</v>
      </c>
    </row>
    <row r="28" spans="1:2">
      <c r="A28" t="s">
        <v>55</v>
      </c>
      <c r="B28" t="s">
        <v>30</v>
      </c>
    </row>
    <row r="29" spans="1:2">
      <c r="A29" t="s">
        <v>57</v>
      </c>
      <c r="B29" t="s">
        <v>31</v>
      </c>
    </row>
    <row r="30" spans="1:2">
      <c r="A30" t="s">
        <v>58</v>
      </c>
      <c r="B30" t="s">
        <v>32</v>
      </c>
    </row>
    <row r="31" spans="1:2">
      <c r="A31" t="s">
        <v>59</v>
      </c>
      <c r="B31" t="s">
        <v>33</v>
      </c>
    </row>
    <row r="32" spans="1:2">
      <c r="A32" t="s">
        <v>56</v>
      </c>
      <c r="B32" t="s">
        <v>34</v>
      </c>
    </row>
  </sheetData>
  <sheetProtection algorithmName="SHA-512" hashValue="+vdei/iQmfQ4UY+dtD9XUIGSPwYetOG7DCt+ywyhuc+p8PZPHBkeeiGrX9VdCFhJgoYomK9Jvoj1p4rVXhsRrA==" saltValue="A6G4wjWntkxNHDKhDDWrTA==" spinCount="100000" sheet="1" objects="1" scenarios="1" selectLockedCells="1" selectUnlockedCells="1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67890-5378-42CC-9F32-CE499D98ABFC}">
  <dimension ref="A1:BT63"/>
  <sheetViews>
    <sheetView showGridLines="0" tabSelected="1" topLeftCell="B1" workbookViewId="0">
      <selection activeCell="BW21" sqref="BW21"/>
    </sheetView>
  </sheetViews>
  <sheetFormatPr baseColWidth="10" defaultRowHeight="15"/>
  <cols>
    <col min="1" max="1" width="3.140625" hidden="1" customWidth="1"/>
    <col min="2" max="2" width="3.7109375" bestFit="1" customWidth="1"/>
    <col min="3" max="3" width="2" hidden="1" customWidth="1"/>
    <col min="4" max="4" width="13.7109375" hidden="1" customWidth="1"/>
    <col min="5" max="5" width="3.140625" hidden="1" customWidth="1"/>
    <col min="6" max="6" width="2.140625" hidden="1" customWidth="1"/>
    <col min="7" max="7" width="2.28515625" hidden="1" customWidth="1"/>
    <col min="8" max="8" width="2.42578125" hidden="1" customWidth="1"/>
    <col min="9" max="9" width="2.140625" hidden="1" customWidth="1"/>
    <col min="10" max="11" width="3.28515625" hidden="1" customWidth="1"/>
    <col min="12" max="12" width="3.42578125" hidden="1" customWidth="1"/>
    <col min="13" max="14" width="3.42578125" style="1" hidden="1" customWidth="1"/>
    <col min="15" max="15" width="10.85546875" hidden="1" customWidth="1"/>
    <col min="16" max="16" width="5.42578125" hidden="1" customWidth="1"/>
    <col min="17" max="17" width="8.28515625" hidden="1" customWidth="1"/>
    <col min="18" max="18" width="8.140625" hidden="1" customWidth="1"/>
    <col min="19" max="19" width="10.85546875" hidden="1" customWidth="1"/>
    <col min="20" max="20" width="5.140625" hidden="1" customWidth="1"/>
    <col min="21" max="21" width="10.85546875" hidden="1" customWidth="1"/>
    <col min="22" max="22" width="13.7109375" hidden="1" customWidth="1"/>
    <col min="23" max="23" width="4.140625" hidden="1" customWidth="1"/>
    <col min="24" max="24" width="2.140625" hidden="1" customWidth="1"/>
    <col min="25" max="25" width="2.28515625" hidden="1" customWidth="1"/>
    <col min="26" max="26" width="2.42578125" hidden="1" customWidth="1"/>
    <col min="27" max="27" width="2.140625" hidden="1" customWidth="1"/>
    <col min="28" max="28" width="3.28515625" hidden="1" customWidth="1"/>
    <col min="29" max="29" width="3.140625" hidden="1" customWidth="1"/>
    <col min="30" max="31" width="3.42578125" hidden="1" customWidth="1"/>
    <col min="32" max="32" width="3.28515625" hidden="1" customWidth="1"/>
    <col min="33" max="33" width="6.140625" hidden="1" customWidth="1"/>
    <col min="34" max="34" width="4.7109375" hidden="1" customWidth="1"/>
    <col min="35" max="35" width="2.140625" style="1" bestFit="1" customWidth="1"/>
    <col min="36" max="36" width="1.85546875" style="1" bestFit="1" customWidth="1"/>
    <col min="37" max="37" width="18.28515625" style="1" bestFit="1" customWidth="1"/>
    <col min="38" max="38" width="3.42578125" style="1" bestFit="1" customWidth="1"/>
    <col min="39" max="39" width="2.140625" style="1" bestFit="1" customWidth="1"/>
    <col min="40" max="41" width="2.28515625" style="1" bestFit="1" customWidth="1"/>
    <col min="42" max="42" width="2.140625" style="1" bestFit="1" customWidth="1"/>
    <col min="43" max="43" width="3.140625" style="1" bestFit="1" customWidth="1"/>
    <col min="44" max="44" width="3.28515625" style="1" bestFit="1" customWidth="1"/>
    <col min="45" max="45" width="3.7109375" style="1" bestFit="1" customWidth="1"/>
    <col min="46" max="49" width="3.140625" style="1" customWidth="1"/>
    <col min="50" max="50" width="3.85546875" style="1" bestFit="1" customWidth="1"/>
    <col min="51" max="51" width="5.7109375" style="7" bestFit="1" customWidth="1"/>
    <col min="52" max="52" width="3.28515625" hidden="1" customWidth="1"/>
    <col min="53" max="53" width="18.28515625" bestFit="1" customWidth="1"/>
    <col min="54" max="54" width="3" style="19" bestFit="1" customWidth="1"/>
    <col min="55" max="55" width="1.7109375" style="17" bestFit="1" customWidth="1"/>
    <col min="56" max="56" width="2" style="17" bestFit="1" customWidth="1"/>
    <col min="57" max="57" width="18.28515625" bestFit="1" customWidth="1"/>
    <col min="58" max="58" width="3.28515625" hidden="1" customWidth="1"/>
    <col min="59" max="59" width="2.140625" hidden="1" customWidth="1"/>
    <col min="60" max="60" width="2" hidden="1" customWidth="1"/>
    <col min="61" max="61" width="2.140625" style="19" bestFit="1" customWidth="1"/>
    <col min="62" max="62" width="2.140625" style="17" bestFit="1" customWidth="1"/>
    <col min="63" max="63" width="2.140625" style="19" bestFit="1" customWidth="1"/>
    <col min="64" max="64" width="2.140625" style="17" bestFit="1" customWidth="1"/>
    <col min="65" max="65" width="3.42578125" style="17" hidden="1" customWidth="1"/>
    <col min="66" max="71" width="0" style="17" hidden="1" customWidth="1"/>
    <col min="72" max="16384" width="11.42578125" style="17"/>
  </cols>
  <sheetData>
    <row r="1" spans="1:70" ht="18">
      <c r="AH1" s="51" t="s">
        <v>87</v>
      </c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24"/>
      <c r="AX1" s="24"/>
      <c r="AY1" s="25"/>
      <c r="BB1" s="52" t="s">
        <v>84</v>
      </c>
      <c r="BC1" s="52"/>
      <c r="BD1" s="52"/>
      <c r="BI1" s="53" t="s">
        <v>85</v>
      </c>
      <c r="BJ1" s="53"/>
      <c r="BK1" s="54" t="s">
        <v>86</v>
      </c>
      <c r="BL1" s="54"/>
    </row>
    <row r="2" spans="1:70" ht="19.5">
      <c r="B2" s="26"/>
      <c r="C2" s="55"/>
      <c r="D2" s="55"/>
      <c r="E2" s="55"/>
      <c r="F2" s="55"/>
      <c r="G2" s="55"/>
      <c r="H2" s="55"/>
      <c r="I2" s="55"/>
      <c r="J2" s="55"/>
      <c r="K2" s="55"/>
      <c r="L2" s="55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9"/>
      <c r="AG2" s="29"/>
      <c r="AH2" s="30"/>
      <c r="AI2" s="55" t="s">
        <v>63</v>
      </c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18"/>
      <c r="AU2" s="18"/>
      <c r="AV2" s="31"/>
      <c r="AW2" s="9">
        <v>15</v>
      </c>
      <c r="AX2" s="9" t="s">
        <v>90</v>
      </c>
      <c r="AY2" s="10">
        <v>8.3333333333333301E-2</v>
      </c>
      <c r="AZ2" t="s">
        <v>0</v>
      </c>
      <c r="BA2" s="1" t="str">
        <f>IFERROR(INDEX(Equipe!B:B,MATCH(AZ2,Equipe!A:A,0)),"")</f>
        <v>Al Ahly</v>
      </c>
      <c r="BB2" s="19">
        <v>0</v>
      </c>
      <c r="BC2" s="17" t="s">
        <v>83</v>
      </c>
      <c r="BD2" s="19">
        <v>0</v>
      </c>
      <c r="BE2" s="1" t="str">
        <f>IFERROR(INDEX(Equipe!B:B,MATCH(BF2,Equipe!A:A,0)),"")</f>
        <v>Inter Miami</v>
      </c>
      <c r="BF2" s="47" t="s">
        <v>1</v>
      </c>
      <c r="BG2" s="2">
        <f>IF(BB2="","",IF(BB2&gt;BD2,3,IF(BB2=BD2,1,IF(BB2&lt;BD2,IF(BD2="",3,0)))))</f>
        <v>1</v>
      </c>
      <c r="BH2">
        <f>IF(BD2="","",IF(BD2&gt;BB2,3,IF(BD2=BB2,1,IF(BD2&lt;BB2,IF(BB2="",3,0)))))</f>
        <v>1</v>
      </c>
      <c r="BI2" s="20">
        <v>1</v>
      </c>
      <c r="BJ2" s="20">
        <v>4</v>
      </c>
      <c r="BK2" s="21"/>
      <c r="BL2" s="21"/>
      <c r="BN2" s="62" t="s">
        <v>107</v>
      </c>
      <c r="BO2" s="62"/>
      <c r="BP2" s="62"/>
      <c r="BQ2" s="62"/>
      <c r="BR2" s="62"/>
    </row>
    <row r="3" spans="1:70" ht="15.75">
      <c r="B3" s="26"/>
      <c r="C3" s="18"/>
      <c r="D3" s="30"/>
      <c r="E3" s="18" t="s">
        <v>64</v>
      </c>
      <c r="F3" s="18" t="s">
        <v>65</v>
      </c>
      <c r="G3" s="18" t="s">
        <v>66</v>
      </c>
      <c r="H3" s="18" t="s">
        <v>67</v>
      </c>
      <c r="I3" s="18" t="s">
        <v>68</v>
      </c>
      <c r="J3" s="18" t="s">
        <v>69</v>
      </c>
      <c r="K3" s="18" t="s">
        <v>70</v>
      </c>
      <c r="L3" s="18" t="s">
        <v>71</v>
      </c>
      <c r="M3" s="32" t="s">
        <v>85</v>
      </c>
      <c r="N3" s="33" t="s">
        <v>86</v>
      </c>
      <c r="O3" s="28"/>
      <c r="P3" s="1" t="s">
        <v>72</v>
      </c>
      <c r="Q3" s="1" t="s">
        <v>73</v>
      </c>
      <c r="R3" s="1" t="s">
        <v>74</v>
      </c>
      <c r="S3" t="s">
        <v>75</v>
      </c>
      <c r="T3" t="s">
        <v>76</v>
      </c>
      <c r="U3" s="1" t="s">
        <v>77</v>
      </c>
      <c r="V3" s="1" t="s">
        <v>78</v>
      </c>
      <c r="W3" s="1" t="s">
        <v>79</v>
      </c>
      <c r="X3" s="1" t="s">
        <v>65</v>
      </c>
      <c r="Y3" s="1" t="s">
        <v>66</v>
      </c>
      <c r="Z3" s="1" t="s">
        <v>67</v>
      </c>
      <c r="AA3" s="1" t="s">
        <v>68</v>
      </c>
      <c r="AB3" s="1" t="s">
        <v>80</v>
      </c>
      <c r="AC3" s="1" t="s">
        <v>81</v>
      </c>
      <c r="AD3" s="34" t="s">
        <v>71</v>
      </c>
      <c r="AE3" s="34" t="s">
        <v>85</v>
      </c>
      <c r="AF3" s="35" t="s">
        <v>86</v>
      </c>
      <c r="AG3" s="35"/>
      <c r="AH3" s="18"/>
      <c r="AI3" s="18"/>
      <c r="AJ3" s="36"/>
      <c r="AK3" s="18"/>
      <c r="AL3" s="18" t="s">
        <v>64</v>
      </c>
      <c r="AM3" s="18" t="s">
        <v>65</v>
      </c>
      <c r="AN3" s="18" t="s">
        <v>66</v>
      </c>
      <c r="AO3" s="18" t="s">
        <v>67</v>
      </c>
      <c r="AP3" s="18" t="s">
        <v>68</v>
      </c>
      <c r="AQ3" s="18" t="s">
        <v>69</v>
      </c>
      <c r="AR3" s="18" t="s">
        <v>70</v>
      </c>
      <c r="AS3" s="37" t="s">
        <v>71</v>
      </c>
      <c r="AT3" s="38" t="s">
        <v>85</v>
      </c>
      <c r="AU3" s="39" t="s">
        <v>86</v>
      </c>
      <c r="AV3" s="40"/>
      <c r="AW3" s="6">
        <v>16</v>
      </c>
      <c r="AX3" s="6" t="s">
        <v>90</v>
      </c>
      <c r="AY3" s="8">
        <v>0</v>
      </c>
      <c r="AZ3" s="3" t="s">
        <v>2</v>
      </c>
      <c r="BA3" s="4" t="str">
        <f>IFERROR(INDEX(Equipe!B:B,MATCH(AZ3,Equipe!A:A,0)),"")</f>
        <v>Palmeiras</v>
      </c>
      <c r="BB3" s="23">
        <v>0</v>
      </c>
      <c r="BC3" s="22" t="s">
        <v>83</v>
      </c>
      <c r="BD3" s="23">
        <v>0</v>
      </c>
      <c r="BE3" s="4" t="str">
        <f>IFERROR(INDEX(Equipe!B:B,MATCH(BF3,Equipe!A:A,0)),"")</f>
        <v>Porto</v>
      </c>
      <c r="BF3" s="48" t="s">
        <v>3</v>
      </c>
      <c r="BG3" s="2">
        <f t="shared" ref="BG3:BG7" si="0">IF(BB3="","",IF(BB3&gt;BD3,3,IF(BB3=BD3,1,IF(BB3&lt;BD3,IF(BD3="",3,0)))))</f>
        <v>1</v>
      </c>
      <c r="BH3">
        <f t="shared" ref="BH3:BH7" si="1">IF(BD3="","",IF(BD3&gt;BB3,3,IF(BD3=BB3,1,IF(BD3&lt;BB3,IF(BB3="",3,0)))))</f>
        <v>1</v>
      </c>
      <c r="BI3" s="20">
        <v>2</v>
      </c>
      <c r="BJ3" s="20">
        <v>2</v>
      </c>
      <c r="BK3" s="21"/>
      <c r="BL3" s="21"/>
      <c r="BN3" s="60" t="s">
        <v>106</v>
      </c>
      <c r="BO3" s="60"/>
      <c r="BP3" s="60"/>
      <c r="BQ3" s="60"/>
      <c r="BR3" s="60"/>
    </row>
    <row r="4" spans="1:70" ht="15.75">
      <c r="A4" t="s">
        <v>0</v>
      </c>
      <c r="B4" s="34" t="s">
        <v>82</v>
      </c>
      <c r="C4" s="1">
        <v>1</v>
      </c>
      <c r="D4" t="str">
        <f>IFERROR(INDEX(Equipe!B:B,MATCH(A4,Equipe!A:A,0)),"")</f>
        <v>Al Ahly</v>
      </c>
      <c r="E4" s="18">
        <f>(G4*3)+H4</f>
        <v>1</v>
      </c>
      <c r="F4" s="41">
        <f t="shared" ref="F4:F7" si="2">G4+H4+I4</f>
        <v>1</v>
      </c>
      <c r="G4" s="18">
        <f>COUNTIFS($AZ2:$AZ7,$A4,$BG2:$BG7,3)+COUNTIFS($BF2:$BF7,$A4,$BH2:$BH7,3)</f>
        <v>0</v>
      </c>
      <c r="H4" s="18">
        <f>COUNTIFS($AZ2:$AZ7,$A4,$BG2:$BG7,1)+COUNTIFS($BF2:$BF7,$A4,$BH2:$BH7,1)</f>
        <v>1</v>
      </c>
      <c r="I4" s="18">
        <f>COUNTIFS($AZ2:$AZ7,$A4,$BG2:$BG7,0)+COUNTIFS($BF2:$BF7,$A4,$BH2:$BH7,0)</f>
        <v>0</v>
      </c>
      <c r="J4" s="18">
        <f>SUMIF($AZ2:$AZ7,$A4,$BB2:$BB7)+SUMIF($BF2:$BF7,$A4,$BD2:$BD7)</f>
        <v>0</v>
      </c>
      <c r="K4" s="18">
        <f>SUMIF($AZ2:$AZ7,$A4,$BD2:$BD7)+SUMIF($BF2:$BF7,$A4,$BB2:$BB7)</f>
        <v>0</v>
      </c>
      <c r="L4" s="42">
        <f>J4-K4</f>
        <v>0</v>
      </c>
      <c r="M4" s="32">
        <f>SUMIF($AZ2:$AZ7,$A4,$BI2:$BI7)+SUMIF($BF2:$BF7,$A4,$BJ2:$BJ7)</f>
        <v>1</v>
      </c>
      <c r="N4" s="43">
        <f>SUMIF($AZ2:$AZ7,$A4,$BK2:$BK7)+SUMIF($BF2:$BF7,$A4,$BL2:$BL7)</f>
        <v>0</v>
      </c>
      <c r="O4" s="44">
        <f>0.004+(E4*10000)+(J4*1000)+(L4*100)-(M4*1)-(N4*5)</f>
        <v>9999.0040000000008</v>
      </c>
      <c r="P4" s="1">
        <f>RANK(O4,$O$4:$O$7)</f>
        <v>1</v>
      </c>
      <c r="Q4" s="1">
        <f>RANK(L4,$L$4:$L$7)</f>
        <v>1</v>
      </c>
      <c r="R4" s="1">
        <f>RANK(J4,$J$4:$J$7)</f>
        <v>1</v>
      </c>
      <c r="S4" s="45">
        <f>O4</f>
        <v>9999.0040000000008</v>
      </c>
      <c r="T4" s="1" t="str">
        <f>A4</f>
        <v>A1</v>
      </c>
      <c r="U4" s="1">
        <f>P4</f>
        <v>1</v>
      </c>
      <c r="V4" s="1" t="str">
        <f>D4</f>
        <v>Al Ahly</v>
      </c>
      <c r="W4" s="1">
        <f>E4</f>
        <v>1</v>
      </c>
      <c r="X4" s="1">
        <f t="shared" ref="X4:AD4" si="3">F4</f>
        <v>1</v>
      </c>
      <c r="Y4" s="1">
        <f t="shared" si="3"/>
        <v>0</v>
      </c>
      <c r="Z4" s="1">
        <f t="shared" si="3"/>
        <v>1</v>
      </c>
      <c r="AA4" s="1">
        <f t="shared" si="3"/>
        <v>0</v>
      </c>
      <c r="AB4" s="1">
        <f t="shared" si="3"/>
        <v>0</v>
      </c>
      <c r="AC4" s="1">
        <f t="shared" si="3"/>
        <v>0</v>
      </c>
      <c r="AD4" s="1">
        <f t="shared" si="3"/>
        <v>0</v>
      </c>
      <c r="AE4" s="1">
        <f t="shared" ref="AE4" si="4">M4</f>
        <v>1</v>
      </c>
      <c r="AF4" s="1">
        <f t="shared" ref="AF4" si="5">N4</f>
        <v>0</v>
      </c>
      <c r="AG4" s="1">
        <f>LARGE(S$4:S$7,1)</f>
        <v>9999.0040000000008</v>
      </c>
      <c r="AH4" s="37" t="str">
        <f>VLOOKUP($AG4,$S$4:$AG$7,2,0)</f>
        <v>A1</v>
      </c>
      <c r="AI4" s="37">
        <f>VLOOKUP($AG4,$S$4:$AG$7,3,0)</f>
        <v>1</v>
      </c>
      <c r="AJ4" s="46" t="s">
        <v>83</v>
      </c>
      <c r="AK4" s="37" t="str">
        <f>VLOOKUP($AG4,$S$4:$AG$7,4,0)</f>
        <v>Al Ahly</v>
      </c>
      <c r="AL4" s="37">
        <f>VLOOKUP($AG4,$S$4:$AG$7,5,0)</f>
        <v>1</v>
      </c>
      <c r="AM4" s="37">
        <f>VLOOKUP($AG4,$S$4:$AG$7,6,0)</f>
        <v>1</v>
      </c>
      <c r="AN4" s="37">
        <f>VLOOKUP($AG4,$S$4:$AG$7,7,0)</f>
        <v>0</v>
      </c>
      <c r="AO4" s="37">
        <f>VLOOKUP($AG4,$S$4:$AG$7,8,0)</f>
        <v>1</v>
      </c>
      <c r="AP4" s="37">
        <f>VLOOKUP($AG4,$S$4:$AG$7,9,0)</f>
        <v>0</v>
      </c>
      <c r="AQ4" s="37">
        <f>VLOOKUP($AG4,$S$4:$AG$7,10,0)</f>
        <v>0</v>
      </c>
      <c r="AR4" s="37">
        <f>VLOOKUP($AG4,$S$4:$AG$7,11,0)</f>
        <v>0</v>
      </c>
      <c r="AS4" s="37">
        <f>VLOOKUP($AG4,$S$4:$AG$7,12,0)</f>
        <v>0</v>
      </c>
      <c r="AT4" s="38">
        <f>VLOOKUP($AG4,$S$4:$AG$7,13,0)</f>
        <v>1</v>
      </c>
      <c r="AU4" s="39">
        <f>VLOOKUP($AG4,$S$4:$AG$7,14,0)</f>
        <v>0</v>
      </c>
      <c r="AV4" s="31"/>
      <c r="AW4" s="9">
        <v>19</v>
      </c>
      <c r="AX4" s="9" t="s">
        <v>90</v>
      </c>
      <c r="AY4" s="10">
        <v>0.74999999999996103</v>
      </c>
      <c r="AZ4" t="s">
        <v>2</v>
      </c>
      <c r="BA4" s="1" t="str">
        <f>IFERROR(INDEX(Equipe!B:B,MATCH(AZ4,Equipe!A:A,0)),"")</f>
        <v>Palmeiras</v>
      </c>
      <c r="BC4" s="17" t="s">
        <v>83</v>
      </c>
      <c r="BD4" s="19"/>
      <c r="BE4" s="1" t="str">
        <f>IFERROR(INDEX(Equipe!B:B,MATCH(BF4,Equipe!A:A,0)),"")</f>
        <v>Al Ahly</v>
      </c>
      <c r="BF4" s="47" t="s">
        <v>0</v>
      </c>
      <c r="BG4" s="2" t="str">
        <f t="shared" si="0"/>
        <v/>
      </c>
      <c r="BH4" t="str">
        <f t="shared" si="1"/>
        <v/>
      </c>
      <c r="BI4" s="20"/>
      <c r="BJ4" s="20"/>
      <c r="BK4" s="21"/>
      <c r="BL4" s="21"/>
    </row>
    <row r="5" spans="1:70" ht="15.75">
      <c r="A5" t="s">
        <v>1</v>
      </c>
      <c r="B5" s="34" t="s">
        <v>82</v>
      </c>
      <c r="C5" s="1">
        <v>2</v>
      </c>
      <c r="D5" t="str">
        <f>IFERROR(INDEX(Equipe!B:B,MATCH(A5,Equipe!A:A,0)),"")</f>
        <v>Inter Miami</v>
      </c>
      <c r="E5" s="18">
        <f t="shared" ref="E5:E7" si="6">(G5*3)+H5</f>
        <v>1</v>
      </c>
      <c r="F5" s="41">
        <f t="shared" si="2"/>
        <v>1</v>
      </c>
      <c r="G5" s="18">
        <f>COUNTIFS($AZ2:$AZ7,$A5,$BG2:$BG7,3)+COUNTIFS($BF2:$BF7,$A5,$BH2:$BH7,3)</f>
        <v>0</v>
      </c>
      <c r="H5" s="18">
        <f>COUNTIFS($AZ2:$AZ7,$A5,$BG2:$BG7,1)+COUNTIFS($BF2:$BF7,$A5,$BH2:$BH7,1)</f>
        <v>1</v>
      </c>
      <c r="I5" s="18">
        <f>COUNTIFS($AZ2:$AZ7,$A5,$BG2:$BG7,0)+COUNTIFS($BF2:$BF7,$A5,$BH2:$BH7,0)</f>
        <v>0</v>
      </c>
      <c r="J5" s="18">
        <f>SUMIF($AZ2:$AZ7,$A5,$BB2:$BB7)+SUMIF($BF2:$BF7,$A5,$BD2:$BD7)</f>
        <v>0</v>
      </c>
      <c r="K5" s="18">
        <f>SUMIF($AZ2:$AZ7,$A5,$BD2:$BD7)+SUMIF($BF2:$BF7,$A5,$BB2:$BB7)</f>
        <v>0</v>
      </c>
      <c r="L5" s="42">
        <f t="shared" ref="L5:L7" si="7">J5-K5</f>
        <v>0</v>
      </c>
      <c r="M5" s="32">
        <f>SUMIF($AZ2:$AZ7,$A5,$BI2:$BI7)+SUMIF($BF2:$BF7,$A5,$BJ2:$BJ7)</f>
        <v>4</v>
      </c>
      <c r="N5" s="43">
        <f>SUMIF($AZ3:$AZ8,$A5,$BK3:$BK8)+SUMIF($BF3:$BF8,$A5,$BL3:$BL8)</f>
        <v>0</v>
      </c>
      <c r="O5" s="44">
        <f>0.003+(E5*10000)+(J5*1000)+(L5*100)-(M5*1)-(N5*5)</f>
        <v>9996.0030000000006</v>
      </c>
      <c r="P5" s="1">
        <f>RANK(O5,$O$4:$O$7)</f>
        <v>4</v>
      </c>
      <c r="Q5" s="1">
        <f>RANK(L5,$L$4:$L$7)</f>
        <v>1</v>
      </c>
      <c r="R5" s="1">
        <f>RANK(J5,$J$4:$J$7)</f>
        <v>1</v>
      </c>
      <c r="S5" s="45">
        <f t="shared" ref="S5:S7" si="8">O5</f>
        <v>9996.0030000000006</v>
      </c>
      <c r="T5" s="1" t="str">
        <f>A5</f>
        <v>A2</v>
      </c>
      <c r="U5" s="1">
        <f t="shared" ref="U5:U7" si="9">P5</f>
        <v>4</v>
      </c>
      <c r="V5" s="1" t="str">
        <f>D5</f>
        <v>Inter Miami</v>
      </c>
      <c r="W5" s="1">
        <f t="shared" ref="W5:W7" si="10">E5</f>
        <v>1</v>
      </c>
      <c r="X5" s="1">
        <f t="shared" ref="X5:X7" si="11">F5</f>
        <v>1</v>
      </c>
      <c r="Y5" s="1">
        <f t="shared" ref="Y5:Y7" si="12">G5</f>
        <v>0</v>
      </c>
      <c r="Z5" s="1">
        <f t="shared" ref="Z5:Z7" si="13">H5</f>
        <v>1</v>
      </c>
      <c r="AA5" s="1">
        <f t="shared" ref="AA5:AA7" si="14">I5</f>
        <v>0</v>
      </c>
      <c r="AB5" s="1">
        <f t="shared" ref="AB5:AB7" si="15">J5</f>
        <v>0</v>
      </c>
      <c r="AC5" s="1">
        <f t="shared" ref="AC5:AC7" si="16">K5</f>
        <v>0</v>
      </c>
      <c r="AD5" s="1">
        <f t="shared" ref="AD5:AD7" si="17">L5</f>
        <v>0</v>
      </c>
      <c r="AE5" s="1">
        <f t="shared" ref="AE5:AE7" si="18">M5</f>
        <v>4</v>
      </c>
      <c r="AF5" s="1">
        <f t="shared" ref="AF5:AF7" si="19">N5</f>
        <v>0</v>
      </c>
      <c r="AG5" s="1">
        <f>LARGE(S$4:S$7,2)</f>
        <v>9998.0020000000004</v>
      </c>
      <c r="AH5" s="37" t="str">
        <f>VLOOKUP($AG5,$S$4:$AG$7,2,0)</f>
        <v>A3</v>
      </c>
      <c r="AI5" s="37">
        <f>VLOOKUP($AG5,$S$4:$AG$7,3,0)</f>
        <v>2</v>
      </c>
      <c r="AJ5" s="46" t="s">
        <v>83</v>
      </c>
      <c r="AK5" s="37" t="str">
        <f>VLOOKUP($AG5,$S$4:$AG$7,4,0)</f>
        <v>Palmeiras</v>
      </c>
      <c r="AL5" s="37">
        <f>VLOOKUP($AG5,$S$4:$AG$7,5,0)</f>
        <v>1</v>
      </c>
      <c r="AM5" s="37">
        <f>VLOOKUP($AG5,$S$4:$AG$7,6,0)</f>
        <v>1</v>
      </c>
      <c r="AN5" s="37">
        <f>VLOOKUP($AG5,$S$4:$AG$7,7,0)</f>
        <v>0</v>
      </c>
      <c r="AO5" s="37">
        <f>VLOOKUP($AG5,$S$4:$AG$7,8,0)</f>
        <v>1</v>
      </c>
      <c r="AP5" s="37">
        <f>VLOOKUP($AG5,$S$4:$AG$7,9,0)</f>
        <v>0</v>
      </c>
      <c r="AQ5" s="37">
        <f>VLOOKUP($AG5,$S$4:$AG$7,10,0)</f>
        <v>0</v>
      </c>
      <c r="AR5" s="37">
        <f>VLOOKUP($AG5,$S$4:$AG$7,11,0)</f>
        <v>0</v>
      </c>
      <c r="AS5" s="37">
        <f>VLOOKUP($AG5,$S$4:$AG$7,12,0)</f>
        <v>0</v>
      </c>
      <c r="AT5" s="38">
        <f>VLOOKUP($AG5,$S$4:$AG$7,13,0)</f>
        <v>2</v>
      </c>
      <c r="AU5" s="39">
        <f>VLOOKUP($AG5,$S$4:$AG$7,14,0)</f>
        <v>0</v>
      </c>
      <c r="AV5" s="31"/>
      <c r="AW5" s="6">
        <v>19</v>
      </c>
      <c r="AX5" s="6" t="s">
        <v>90</v>
      </c>
      <c r="AY5" s="8">
        <v>0.87499999999995304</v>
      </c>
      <c r="AZ5" s="3" t="s">
        <v>1</v>
      </c>
      <c r="BA5" s="4" t="str">
        <f>IFERROR(INDEX(Equipe!B:B,MATCH(AZ5,Equipe!A:A,0)),"")</f>
        <v>Inter Miami</v>
      </c>
      <c r="BB5" s="23"/>
      <c r="BC5" s="22" t="s">
        <v>83</v>
      </c>
      <c r="BD5" s="23"/>
      <c r="BE5" s="4" t="str">
        <f>IFERROR(INDEX(Equipe!B:B,MATCH(BF5,Equipe!A:A,0)),"")</f>
        <v>Porto</v>
      </c>
      <c r="BF5" s="48" t="s">
        <v>3</v>
      </c>
      <c r="BG5" s="2" t="str">
        <f t="shared" si="0"/>
        <v/>
      </c>
      <c r="BH5" t="str">
        <f t="shared" si="1"/>
        <v/>
      </c>
      <c r="BI5" s="20"/>
      <c r="BJ5" s="20"/>
      <c r="BK5" s="21"/>
      <c r="BL5" s="21"/>
    </row>
    <row r="6" spans="1:70" ht="15.75">
      <c r="A6" t="s">
        <v>2</v>
      </c>
      <c r="B6" s="34" t="s">
        <v>95</v>
      </c>
      <c r="C6" s="1">
        <v>3</v>
      </c>
      <c r="D6" t="str">
        <f>IFERROR(INDEX(Equipe!B:B,MATCH(A6,Equipe!A:A,0)),"")</f>
        <v>Palmeiras</v>
      </c>
      <c r="E6" s="18">
        <f t="shared" si="6"/>
        <v>1</v>
      </c>
      <c r="F6" s="41">
        <f t="shared" si="2"/>
        <v>1</v>
      </c>
      <c r="G6" s="18">
        <f>COUNTIFS($AZ2:$AZ7,$A6,$BG2:$BG7,3)+COUNTIFS($BF2:$BF7,$A6,$BH2:$BH7,3)</f>
        <v>0</v>
      </c>
      <c r="H6" s="18">
        <f>COUNTIFS($AZ2:$AZ7,$A6,$BG2:$BG7,1)+COUNTIFS($BF2:$BF7,$A6,$BH2:$BH7,1)</f>
        <v>1</v>
      </c>
      <c r="I6" s="18">
        <f>COUNTIFS($AZ2:$AZ7,$A6,$BG2:$BG7,0)+COUNTIFS($BF2:$BF7,$A6,$BH2:$BH7,0)</f>
        <v>0</v>
      </c>
      <c r="J6" s="18">
        <f>SUMIF($AZ2:$AZ7,$A6,$BB2:$BB7)+SUMIF($BF2:$BF7,$A6,$BD2:$BD7)</f>
        <v>0</v>
      </c>
      <c r="K6" s="18">
        <f>SUMIF($AZ2:$AZ7,$A6,$BD2:$BD7)+SUMIF($BF2:$BF7,$A6,$BB2:$BB7)</f>
        <v>0</v>
      </c>
      <c r="L6" s="42">
        <f t="shared" si="7"/>
        <v>0</v>
      </c>
      <c r="M6" s="32">
        <f>SUMIF($AZ2:$AZ7,$A6,$BI2:$BI7)+SUMIF($BF2:$BF7,$A6,$BJ2:$BJ7)</f>
        <v>2</v>
      </c>
      <c r="N6" s="43">
        <f>SUMIF($AZ4:$AZ9,$A6,$BK4:$BK9)+SUMIF($BF4:$BF9,$A6,$BL4:$BL9)</f>
        <v>0</v>
      </c>
      <c r="O6" s="44">
        <f>0.002+(E6*10000)+(J6*1000)+(L6*100)-(M6*1)-(N6*5)</f>
        <v>9998.0020000000004</v>
      </c>
      <c r="P6" s="1">
        <f>RANK(O6,$O$4:$O$7)</f>
        <v>2</v>
      </c>
      <c r="Q6" s="1">
        <f>RANK(L6,$L$4:$L$7)</f>
        <v>1</v>
      </c>
      <c r="R6" s="1">
        <f>RANK(J6,$J$4:$J$7)</f>
        <v>1</v>
      </c>
      <c r="S6" s="45">
        <f t="shared" si="8"/>
        <v>9998.0020000000004</v>
      </c>
      <c r="T6" s="1" t="str">
        <f>A6</f>
        <v>A3</v>
      </c>
      <c r="U6" s="1">
        <f t="shared" si="9"/>
        <v>2</v>
      </c>
      <c r="V6" s="1" t="str">
        <f>D6</f>
        <v>Palmeiras</v>
      </c>
      <c r="W6" s="1">
        <f t="shared" si="10"/>
        <v>1</v>
      </c>
      <c r="X6" s="1">
        <f t="shared" si="11"/>
        <v>1</v>
      </c>
      <c r="Y6" s="1">
        <f t="shared" si="12"/>
        <v>0</v>
      </c>
      <c r="Z6" s="1">
        <f t="shared" si="13"/>
        <v>1</v>
      </c>
      <c r="AA6" s="1">
        <f t="shared" si="14"/>
        <v>0</v>
      </c>
      <c r="AB6" s="1">
        <f t="shared" si="15"/>
        <v>0</v>
      </c>
      <c r="AC6" s="1">
        <f t="shared" si="16"/>
        <v>0</v>
      </c>
      <c r="AD6" s="1">
        <f t="shared" si="17"/>
        <v>0</v>
      </c>
      <c r="AE6" s="1">
        <f t="shared" si="18"/>
        <v>2</v>
      </c>
      <c r="AF6" s="1">
        <f t="shared" si="19"/>
        <v>0</v>
      </c>
      <c r="AG6" s="1">
        <f>LARGE(S$4:S$7,3)</f>
        <v>9998.0010000000002</v>
      </c>
      <c r="AH6" s="37" t="str">
        <f>VLOOKUP($AG6,$S$4:$AG$7,2,0)</f>
        <v>A4</v>
      </c>
      <c r="AI6" s="37">
        <f>VLOOKUP($AG6,$S$4:$AG$7,3,0)</f>
        <v>3</v>
      </c>
      <c r="AJ6" s="46" t="s">
        <v>83</v>
      </c>
      <c r="AK6" s="37" t="str">
        <f>VLOOKUP($AG6,$S$4:$AG$7,4,0)</f>
        <v>Porto</v>
      </c>
      <c r="AL6" s="37">
        <f>VLOOKUP($AG6,$S$4:$AG$7,5,0)</f>
        <v>1</v>
      </c>
      <c r="AM6" s="37">
        <f>VLOOKUP($AG6,$S$4:$AG$7,6,0)</f>
        <v>1</v>
      </c>
      <c r="AN6" s="37">
        <f>VLOOKUP($AG6,$S$4:$AG$7,7,0)</f>
        <v>0</v>
      </c>
      <c r="AO6" s="37">
        <f>VLOOKUP($AG6,$S$4:$AG$7,8,0)</f>
        <v>1</v>
      </c>
      <c r="AP6" s="37">
        <f>VLOOKUP($AG6,$S$4:$AG$7,9,0)</f>
        <v>0</v>
      </c>
      <c r="AQ6" s="37">
        <f>VLOOKUP($AG6,$S$4:$AG$7,10,0)</f>
        <v>0</v>
      </c>
      <c r="AR6" s="37">
        <f>VLOOKUP($AG6,$S$4:$AG$7,11,0)</f>
        <v>0</v>
      </c>
      <c r="AS6" s="37">
        <f>VLOOKUP($AG6,$S$4:$AG$7,12,0)</f>
        <v>0</v>
      </c>
      <c r="AT6" s="38">
        <f>VLOOKUP($AG6,$S$4:$AG$7,13,0)</f>
        <v>2</v>
      </c>
      <c r="AU6" s="39">
        <f>VLOOKUP($AG6,$S$4:$AG$7,14,0)</f>
        <v>0</v>
      </c>
      <c r="AV6" s="31"/>
      <c r="AW6" s="9">
        <v>24</v>
      </c>
      <c r="AX6" s="9" t="s">
        <v>90</v>
      </c>
      <c r="AY6" s="10">
        <v>0.125</v>
      </c>
      <c r="AZ6" t="s">
        <v>1</v>
      </c>
      <c r="BA6" s="1" t="str">
        <f>IFERROR(INDEX(Equipe!B:B,MATCH(AZ6,Equipe!A:A,0)),"")</f>
        <v>Inter Miami</v>
      </c>
      <c r="BC6" s="17" t="s">
        <v>83</v>
      </c>
      <c r="BD6" s="19"/>
      <c r="BE6" s="1" t="str">
        <f>IFERROR(INDEX(Equipe!B:B,MATCH(BF6,Equipe!A:A,0)),"")</f>
        <v>Palmeiras</v>
      </c>
      <c r="BF6" s="47" t="s">
        <v>2</v>
      </c>
      <c r="BG6" s="2" t="str">
        <f t="shared" si="0"/>
        <v/>
      </c>
      <c r="BH6" t="str">
        <f t="shared" si="1"/>
        <v/>
      </c>
      <c r="BI6" s="20"/>
      <c r="BJ6" s="20"/>
      <c r="BK6" s="21"/>
      <c r="BL6" s="21"/>
    </row>
    <row r="7" spans="1:70" ht="15.75">
      <c r="A7" t="s">
        <v>3</v>
      </c>
      <c r="B7" s="34" t="s">
        <v>95</v>
      </c>
      <c r="C7" s="1">
        <v>4</v>
      </c>
      <c r="D7" t="str">
        <f>IFERROR(INDEX(Equipe!B:B,MATCH(A7,Equipe!A:A,0)),"")</f>
        <v>Porto</v>
      </c>
      <c r="E7" s="18">
        <f t="shared" si="6"/>
        <v>1</v>
      </c>
      <c r="F7" s="41">
        <f t="shared" si="2"/>
        <v>1</v>
      </c>
      <c r="G7" s="18">
        <f>COUNTIFS($AZ2:$AZ7,$A7,$BG2:$BG7,3)+COUNTIFS($BF2:$BF7,$A7,$BH2:$BH7,3)</f>
        <v>0</v>
      </c>
      <c r="H7" s="18">
        <f>COUNTIFS($AZ2:$AZ7,$A7,$BG2:$BG7,1)+COUNTIFS($BF2:$BF7,$A7,$BH2:$BH7,1)</f>
        <v>1</v>
      </c>
      <c r="I7" s="18">
        <f>COUNTIFS($AZ2:$AZ7,$A7,$BG2:$BG7,0)+COUNTIFS($BF2:$BF7,$A7,$BH2:$BH7,0)</f>
        <v>0</v>
      </c>
      <c r="J7" s="18">
        <f>SUMIF($AZ2:$AZ7,$A7,$BB2:$BB7)+SUMIF($BF2:$BF7,$A7,$BD2:$BD7)</f>
        <v>0</v>
      </c>
      <c r="K7" s="18">
        <f>SUMIF($AZ2:$AZ7,$A7,$BD2:$BD7)+SUMIF($BF2:$BF7,$A7,$BB2:$BB7)</f>
        <v>0</v>
      </c>
      <c r="L7" s="42">
        <f t="shared" si="7"/>
        <v>0</v>
      </c>
      <c r="M7" s="32">
        <f>SUMIF($AZ2:$AZ7,$A7,$BI2:$BI7)+SUMIF($BF2:$BF7,$A7,$BJ2:$BJ7)</f>
        <v>2</v>
      </c>
      <c r="N7" s="43">
        <f>SUMIF($AZ5:$AZ10,$A7,$BK5:$BK10)+SUMIF($BF5:$BF10,$A7,$BL5:$BL10)</f>
        <v>0</v>
      </c>
      <c r="O7" s="44">
        <f>0.001+(E7*10000)+(J7*1000)+(L7*100)-(M7*1)-(N7*5)</f>
        <v>9998.0010000000002</v>
      </c>
      <c r="P7" s="1">
        <f>RANK(O7,$O$4:$O$7)</f>
        <v>3</v>
      </c>
      <c r="Q7" s="1">
        <f>RANK(L7,$L$4:$L$7)</f>
        <v>1</v>
      </c>
      <c r="R7" s="1">
        <f>RANK(J7,$J$4:$J$7)</f>
        <v>1</v>
      </c>
      <c r="S7" s="45">
        <f t="shared" si="8"/>
        <v>9998.0010000000002</v>
      </c>
      <c r="T7" s="1" t="str">
        <f>A7</f>
        <v>A4</v>
      </c>
      <c r="U7" s="1">
        <f t="shared" si="9"/>
        <v>3</v>
      </c>
      <c r="V7" s="1" t="str">
        <f>D7</f>
        <v>Porto</v>
      </c>
      <c r="W7" s="1">
        <f t="shared" si="10"/>
        <v>1</v>
      </c>
      <c r="X7" s="1">
        <f t="shared" si="11"/>
        <v>1</v>
      </c>
      <c r="Y7" s="1">
        <f t="shared" si="12"/>
        <v>0</v>
      </c>
      <c r="Z7" s="1">
        <f t="shared" si="13"/>
        <v>1</v>
      </c>
      <c r="AA7" s="1">
        <f t="shared" si="14"/>
        <v>0</v>
      </c>
      <c r="AB7" s="1">
        <f t="shared" si="15"/>
        <v>0</v>
      </c>
      <c r="AC7" s="1">
        <f t="shared" si="16"/>
        <v>0</v>
      </c>
      <c r="AD7" s="1">
        <f t="shared" si="17"/>
        <v>0</v>
      </c>
      <c r="AE7" s="1">
        <f t="shared" si="18"/>
        <v>2</v>
      </c>
      <c r="AF7" s="1">
        <f t="shared" si="19"/>
        <v>0</v>
      </c>
      <c r="AG7" s="1">
        <f>LARGE(S$4:S$7,4)</f>
        <v>9996.0030000000006</v>
      </c>
      <c r="AH7" s="37" t="str">
        <f>VLOOKUP($AG7,$S$4:$AG$7,2,0)</f>
        <v>A2</v>
      </c>
      <c r="AI7" s="37">
        <f>VLOOKUP($AG7,$S$4:$AG$7,3,0)</f>
        <v>4</v>
      </c>
      <c r="AJ7" s="46" t="s">
        <v>83</v>
      </c>
      <c r="AK7" s="37" t="str">
        <f>VLOOKUP($AG7,$S$4:$AG$7,4,0)</f>
        <v>Inter Miami</v>
      </c>
      <c r="AL7" s="37">
        <f>VLOOKUP($AG7,$S$4:$AG$7,5,0)</f>
        <v>1</v>
      </c>
      <c r="AM7" s="37">
        <f>VLOOKUP($AG7,$S$4:$AG$7,6,0)</f>
        <v>1</v>
      </c>
      <c r="AN7" s="37">
        <f>VLOOKUP($AG7,$S$4:$AG$7,7,0)</f>
        <v>0</v>
      </c>
      <c r="AO7" s="37">
        <f>VLOOKUP($AG7,$S$4:$AG$7,8,0)</f>
        <v>1</v>
      </c>
      <c r="AP7" s="37">
        <f>VLOOKUP($AG7,$S$4:$AG$7,9,0)</f>
        <v>0</v>
      </c>
      <c r="AQ7" s="37">
        <f>VLOOKUP($AG7,$S$4:$AG$7,10,0)</f>
        <v>0</v>
      </c>
      <c r="AR7" s="37">
        <f>VLOOKUP($AG7,$S$4:$AG$7,11,0)</f>
        <v>0</v>
      </c>
      <c r="AS7" s="37">
        <f>VLOOKUP($AG7,$S$4:$AG$7,12,0)</f>
        <v>0</v>
      </c>
      <c r="AT7" s="38">
        <f>VLOOKUP($AG7,$S$4:$AG$7,13,0)</f>
        <v>4</v>
      </c>
      <c r="AU7" s="39">
        <f>VLOOKUP($AG7,$S$4:$AG$7,14,0)</f>
        <v>0</v>
      </c>
      <c r="AV7" s="31"/>
      <c r="AW7" s="6">
        <v>24</v>
      </c>
      <c r="AX7" s="6" t="s">
        <v>90</v>
      </c>
      <c r="AY7" s="8">
        <v>0.125</v>
      </c>
      <c r="AZ7" s="3" t="s">
        <v>3</v>
      </c>
      <c r="BA7" s="4" t="str">
        <f>IFERROR(INDEX(Equipe!B:B,MATCH(AZ7,Equipe!A:A,0)),"")</f>
        <v>Porto</v>
      </c>
      <c r="BB7" s="23"/>
      <c r="BC7" s="22" t="s">
        <v>83</v>
      </c>
      <c r="BD7" s="23"/>
      <c r="BE7" s="4" t="str">
        <f>IFERROR(INDEX(Equipe!B:B,MATCH(BF7,Equipe!A:A,0)),"")</f>
        <v>Al Ahly</v>
      </c>
      <c r="BF7" s="48" t="s">
        <v>0</v>
      </c>
      <c r="BG7" s="2" t="str">
        <f t="shared" si="0"/>
        <v/>
      </c>
      <c r="BH7" t="str">
        <f t="shared" si="1"/>
        <v/>
      </c>
      <c r="BI7" s="20"/>
      <c r="BJ7" s="20"/>
      <c r="BK7" s="21"/>
      <c r="BL7" s="21"/>
    </row>
    <row r="9" spans="1:70" ht="18">
      <c r="AH9" s="51" t="s">
        <v>88</v>
      </c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24"/>
      <c r="AX9" s="24"/>
      <c r="AY9" s="25"/>
      <c r="BB9" s="52" t="s">
        <v>84</v>
      </c>
      <c r="BC9" s="52"/>
      <c r="BD9" s="52"/>
      <c r="BI9" s="53" t="s">
        <v>85</v>
      </c>
      <c r="BJ9" s="53"/>
      <c r="BK9" s="54" t="s">
        <v>86</v>
      </c>
      <c r="BL9" s="54"/>
    </row>
    <row r="10" spans="1:70">
      <c r="B10" s="26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27"/>
      <c r="N10" s="27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9"/>
      <c r="AG10" s="29"/>
      <c r="AH10" s="30"/>
      <c r="AI10" s="55" t="s">
        <v>63</v>
      </c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18"/>
      <c r="AU10" s="18"/>
      <c r="AV10" s="31"/>
      <c r="AW10" s="9">
        <v>15</v>
      </c>
      <c r="AX10" s="9" t="s">
        <v>90</v>
      </c>
      <c r="AY10" s="10">
        <v>0.87499999999995304</v>
      </c>
      <c r="AZ10" t="s">
        <v>37</v>
      </c>
      <c r="BA10" s="1" t="str">
        <f>IFERROR(INDEX(Equipe!B:B,MATCH(AZ10,Equipe!A:A,0)),"")</f>
        <v>PSG</v>
      </c>
      <c r="BB10" s="19">
        <v>4</v>
      </c>
      <c r="BC10" s="17" t="s">
        <v>83</v>
      </c>
      <c r="BD10" s="19">
        <v>0</v>
      </c>
      <c r="BE10" s="1" t="str">
        <f>IFERROR(INDEX(Equipe!B:B,MATCH(BF10,Equipe!A:A,0)),"")</f>
        <v>Atlético Madrid</v>
      </c>
      <c r="BF10" s="47" t="s">
        <v>35</v>
      </c>
      <c r="BG10" s="2">
        <f>IF(BB10="","",IF(BB10&gt;BD10,3,IF(BB10=BD10,1,IF(BB10&lt;BD10,IF(BD10="",3,0)))))</f>
        <v>3</v>
      </c>
      <c r="BH10">
        <f>IF(BD10="","",IF(BD10&gt;BB10,3,IF(BD10=BB10,1,IF(BD10&lt;BB10,IF(BB10="",3,0)))))</f>
        <v>0</v>
      </c>
      <c r="BI10" s="20">
        <v>2</v>
      </c>
      <c r="BJ10" s="20">
        <v>5</v>
      </c>
      <c r="BK10" s="21"/>
      <c r="BL10" s="21">
        <v>1</v>
      </c>
    </row>
    <row r="11" spans="1:70" ht="15.75">
      <c r="B11" s="26"/>
      <c r="C11" s="18"/>
      <c r="D11" s="30"/>
      <c r="E11" s="18" t="s">
        <v>64</v>
      </c>
      <c r="F11" s="18" t="s">
        <v>65</v>
      </c>
      <c r="G11" s="18" t="s">
        <v>66</v>
      </c>
      <c r="H11" s="18" t="s">
        <v>67</v>
      </c>
      <c r="I11" s="18" t="s">
        <v>68</v>
      </c>
      <c r="J11" s="18" t="s">
        <v>69</v>
      </c>
      <c r="K11" s="18" t="s">
        <v>70</v>
      </c>
      <c r="L11" s="18" t="s">
        <v>71</v>
      </c>
      <c r="M11" s="32" t="s">
        <v>85</v>
      </c>
      <c r="N11" s="33" t="s">
        <v>86</v>
      </c>
      <c r="O11" s="28"/>
      <c r="P11" s="1" t="s">
        <v>72</v>
      </c>
      <c r="Q11" s="1" t="s">
        <v>73</v>
      </c>
      <c r="R11" s="1" t="s">
        <v>74</v>
      </c>
      <c r="S11" t="s">
        <v>75</v>
      </c>
      <c r="T11" t="s">
        <v>76</v>
      </c>
      <c r="U11" s="1" t="s">
        <v>77</v>
      </c>
      <c r="V11" s="1" t="s">
        <v>78</v>
      </c>
      <c r="W11" s="1" t="s">
        <v>79</v>
      </c>
      <c r="X11" s="1" t="s">
        <v>65</v>
      </c>
      <c r="Y11" s="1" t="s">
        <v>66</v>
      </c>
      <c r="Z11" s="1" t="s">
        <v>67</v>
      </c>
      <c r="AA11" s="1" t="s">
        <v>68</v>
      </c>
      <c r="AB11" s="1" t="s">
        <v>80</v>
      </c>
      <c r="AC11" s="1" t="s">
        <v>81</v>
      </c>
      <c r="AD11" s="34" t="s">
        <v>71</v>
      </c>
      <c r="AE11" s="34" t="s">
        <v>85</v>
      </c>
      <c r="AF11" s="35" t="s">
        <v>86</v>
      </c>
      <c r="AG11" s="35"/>
      <c r="AH11" s="18"/>
      <c r="AI11" s="18"/>
      <c r="AJ11" s="36"/>
      <c r="AK11" s="18"/>
      <c r="AL11" s="18" t="s">
        <v>64</v>
      </c>
      <c r="AM11" s="18" t="s">
        <v>65</v>
      </c>
      <c r="AN11" s="18" t="s">
        <v>66</v>
      </c>
      <c r="AO11" s="18" t="s">
        <v>67</v>
      </c>
      <c r="AP11" s="18" t="s">
        <v>68</v>
      </c>
      <c r="AQ11" s="18" t="s">
        <v>69</v>
      </c>
      <c r="AR11" s="18" t="s">
        <v>70</v>
      </c>
      <c r="AS11" s="37" t="s">
        <v>71</v>
      </c>
      <c r="AT11" s="38" t="s">
        <v>85</v>
      </c>
      <c r="AU11" s="39" t="s">
        <v>86</v>
      </c>
      <c r="AV11" s="40"/>
      <c r="AW11" s="6">
        <v>16</v>
      </c>
      <c r="AX11" s="6" t="s">
        <v>90</v>
      </c>
      <c r="AY11" s="8">
        <v>0.16666666666666499</v>
      </c>
      <c r="AZ11" s="3" t="s">
        <v>36</v>
      </c>
      <c r="BA11" s="4" t="str">
        <f>IFERROR(INDEX(Equipe!B:B,MATCH(AZ11,Equipe!A:A,0)),"")</f>
        <v>Botafogo</v>
      </c>
      <c r="BB11" s="23">
        <v>2</v>
      </c>
      <c r="BC11" s="22" t="s">
        <v>83</v>
      </c>
      <c r="BD11" s="23">
        <v>1</v>
      </c>
      <c r="BE11" s="4" t="str">
        <f>IFERROR(INDEX(Equipe!B:B,MATCH(BF11,Equipe!A:A,0)),"")</f>
        <v>Seattle Sounders</v>
      </c>
      <c r="BF11" s="48" t="s">
        <v>38</v>
      </c>
      <c r="BG11" s="2">
        <f t="shared" ref="BG11:BG15" si="20">IF(BB11="","",IF(BB11&gt;BD11,3,IF(BB11=BD11,1,IF(BB11&lt;BD11,IF(BD11="",3,0)))))</f>
        <v>3</v>
      </c>
      <c r="BH11">
        <f t="shared" ref="BH11:BH15" si="21">IF(BD11="","",IF(BD11&gt;BB11,3,IF(BD11=BB11,1,IF(BD11&lt;BB11,IF(BB11="",3,0)))))</f>
        <v>0</v>
      </c>
      <c r="BI11" s="20">
        <v>2</v>
      </c>
      <c r="BJ11" s="20">
        <v>2</v>
      </c>
      <c r="BK11" s="21"/>
      <c r="BL11" s="21"/>
    </row>
    <row r="12" spans="1:70" ht="15.75">
      <c r="A12" t="s">
        <v>35</v>
      </c>
      <c r="B12" s="34" t="s">
        <v>82</v>
      </c>
      <c r="C12" s="1">
        <v>1</v>
      </c>
      <c r="D12" t="str">
        <f>IFERROR(INDEX(Equipe!B:B,MATCH(A12,Equipe!A:A,0)),"")</f>
        <v>Atlético Madrid</v>
      </c>
      <c r="E12" s="18">
        <f>(G12*3)+H12</f>
        <v>0</v>
      </c>
      <c r="F12" s="41">
        <f t="shared" ref="F12:F15" si="22">G12+H12+I12</f>
        <v>1</v>
      </c>
      <c r="G12" s="18">
        <f>COUNTIFS($AZ10:$AZ15,$A12,$BG10:$BG15,3)+COUNTIFS($BF10:$BF15,$A12,$BH10:$BH15,3)</f>
        <v>0</v>
      </c>
      <c r="H12" s="18">
        <f>COUNTIFS($AZ10:$AZ15,$A12,$BG10:$BG15,1)+COUNTIFS($BF10:$BF15,$A12,$BH10:$BH15,1)</f>
        <v>0</v>
      </c>
      <c r="I12" s="18">
        <f>COUNTIFS($AZ10:$AZ15,$A12,$BG10:$BG15,0)+COUNTIFS($BF10:$BF15,$A12,$BH10:$BH15,0)</f>
        <v>1</v>
      </c>
      <c r="J12" s="18">
        <f>SUMIF($AZ10:$AZ15,$A12,$BB10:$BB15)+SUMIF($BF10:$BF15,$A12,$BD10:$BD15)</f>
        <v>0</v>
      </c>
      <c r="K12" s="18">
        <f>SUMIF($AZ10:$AZ15,$A12,$BD10:$BD15)+SUMIF($BF10:$BF15,$A12,$BB10:$BB15)</f>
        <v>4</v>
      </c>
      <c r="L12" s="42">
        <f>J12-K12</f>
        <v>-4</v>
      </c>
      <c r="M12" s="32">
        <f>SUMIF($AZ10:$AZ15,$A12,$BI10:$BI15)+SUMIF($BF10:$BF15,$A12,$BJ10:$BJ15)</f>
        <v>5</v>
      </c>
      <c r="N12" s="43">
        <f>SUMIF($AZ10:$AZ15,$A12,$BK10:$BK15)+SUMIF($BF10:$BF15,$A12,$BL10:$BL15)</f>
        <v>1</v>
      </c>
      <c r="O12" s="44">
        <f>0.004+(E12*10000)+(J12*1000)+(L12*100)-(M12*1)-(N12*5)</f>
        <v>-409.99599999999998</v>
      </c>
      <c r="P12" s="1">
        <f>RANK(O12,O12:O15)</f>
        <v>4</v>
      </c>
      <c r="Q12" s="1">
        <f>RANK(L12,L$12:L15)</f>
        <v>4</v>
      </c>
      <c r="R12" s="1">
        <f>RANK(J12,J12:J15)</f>
        <v>4</v>
      </c>
      <c r="S12" s="45">
        <f>O12</f>
        <v>-409.99599999999998</v>
      </c>
      <c r="T12" s="1" t="str">
        <f>A12</f>
        <v>B1</v>
      </c>
      <c r="U12" s="1">
        <f>P12</f>
        <v>4</v>
      </c>
      <c r="V12" s="1" t="str">
        <f>D12</f>
        <v>Atlético Madrid</v>
      </c>
      <c r="W12" s="1">
        <f>E12</f>
        <v>0</v>
      </c>
      <c r="X12" s="1">
        <f t="shared" ref="X12:X15" si="23">F12</f>
        <v>1</v>
      </c>
      <c r="Y12" s="1">
        <f t="shared" ref="Y12:Y15" si="24">G12</f>
        <v>0</v>
      </c>
      <c r="Z12" s="1">
        <f t="shared" ref="Z12:Z15" si="25">H12</f>
        <v>0</v>
      </c>
      <c r="AA12" s="1">
        <f t="shared" ref="AA12:AA15" si="26">I12</f>
        <v>1</v>
      </c>
      <c r="AB12" s="1">
        <f t="shared" ref="AB12:AB15" si="27">J12</f>
        <v>0</v>
      </c>
      <c r="AC12" s="1">
        <f t="shared" ref="AC12:AC15" si="28">K12</f>
        <v>4</v>
      </c>
      <c r="AD12" s="1">
        <f t="shared" ref="AD12:AD15" si="29">L12</f>
        <v>-4</v>
      </c>
      <c r="AE12" s="1">
        <f t="shared" ref="AE12:AE15" si="30">M12</f>
        <v>5</v>
      </c>
      <c r="AF12" s="1">
        <f t="shared" ref="AF12:AF15" si="31">N12</f>
        <v>1</v>
      </c>
      <c r="AG12" s="1">
        <f>LARGE(S12:S15,1)</f>
        <v>34398.002</v>
      </c>
      <c r="AH12" s="37" t="str">
        <f>VLOOKUP(AG12,S12:AG15,2,0)</f>
        <v>B3</v>
      </c>
      <c r="AI12" s="37">
        <f>VLOOKUP($AG12,$S$12:$AG$15,3,0)</f>
        <v>1</v>
      </c>
      <c r="AJ12" s="46" t="s">
        <v>83</v>
      </c>
      <c r="AK12" s="37" t="str">
        <f>VLOOKUP($AG12,$S$12:$AG$15,4,0)</f>
        <v>PSG</v>
      </c>
      <c r="AL12" s="37">
        <f>VLOOKUP($AG12,$S$12:$AG$15,5,0)</f>
        <v>3</v>
      </c>
      <c r="AM12" s="37">
        <f>VLOOKUP(AG12,S12:AG15,6,0)</f>
        <v>1</v>
      </c>
      <c r="AN12" s="37">
        <f>VLOOKUP(AG12,S12:AG15,7,0)</f>
        <v>1</v>
      </c>
      <c r="AO12" s="37">
        <f>VLOOKUP(AG12,S12:AG15,8,0)</f>
        <v>0</v>
      </c>
      <c r="AP12" s="37">
        <f>VLOOKUP(AG12,S12:AG15,9,0)</f>
        <v>0</v>
      </c>
      <c r="AQ12" s="37">
        <f>VLOOKUP(AG12,S12:AG15,10,0)</f>
        <v>4</v>
      </c>
      <c r="AR12" s="37">
        <f>VLOOKUP(AG12,S12:AG15,11,0)</f>
        <v>0</v>
      </c>
      <c r="AS12" s="37">
        <f>VLOOKUP(AG12,S12:AG15,12,0)</f>
        <v>4</v>
      </c>
      <c r="AT12" s="38">
        <f>VLOOKUP(AG12,S12:AG15,13,0)</f>
        <v>2</v>
      </c>
      <c r="AU12" s="39">
        <f>VLOOKUP(AG12,S12:AG15,14,0)</f>
        <v>0</v>
      </c>
      <c r="AV12" s="31"/>
      <c r="AW12" s="9">
        <v>20</v>
      </c>
      <c r="AX12" s="9" t="s">
        <v>90</v>
      </c>
      <c r="AY12" s="10">
        <v>0.125</v>
      </c>
      <c r="AZ12" t="s">
        <v>37</v>
      </c>
      <c r="BA12" s="1" t="str">
        <f>IFERROR(INDEX(Equipe!B:B,MATCH(AZ12,Equipe!A:A,0)),"")</f>
        <v>PSG</v>
      </c>
      <c r="BC12" s="17" t="s">
        <v>83</v>
      </c>
      <c r="BD12" s="19"/>
      <c r="BE12" s="1" t="str">
        <f>IFERROR(INDEX(Equipe!B:B,MATCH(BF12,Equipe!A:A,0)),"")</f>
        <v>Botafogo</v>
      </c>
      <c r="BF12" s="47" t="s">
        <v>36</v>
      </c>
      <c r="BG12" s="2" t="str">
        <f t="shared" si="20"/>
        <v/>
      </c>
      <c r="BH12" t="str">
        <f t="shared" si="21"/>
        <v/>
      </c>
      <c r="BI12" s="20"/>
      <c r="BJ12" s="20"/>
      <c r="BK12" s="21"/>
      <c r="BL12" s="21"/>
    </row>
    <row r="13" spans="1:70" ht="15.75">
      <c r="A13" t="s">
        <v>36</v>
      </c>
      <c r="B13" s="34" t="s">
        <v>82</v>
      </c>
      <c r="C13" s="1">
        <v>2</v>
      </c>
      <c r="D13" t="str">
        <f>IFERROR(INDEX(Equipe!B:B,MATCH(A13,Equipe!A:A,0)),"")</f>
        <v>Botafogo</v>
      </c>
      <c r="E13" s="18">
        <f t="shared" ref="E13:E15" si="32">(G13*3)+H13</f>
        <v>3</v>
      </c>
      <c r="F13" s="41">
        <f t="shared" si="22"/>
        <v>1</v>
      </c>
      <c r="G13" s="18">
        <f>COUNTIFS($AZ10:$AZ15,$A13,$BG10:$BG15,3)+COUNTIFS($BF10:$BF15,$A13,$BH10:$BH15,3)</f>
        <v>1</v>
      </c>
      <c r="H13" s="18">
        <f>COUNTIFS($AZ10:$AZ15,$A13,$BG10:$BG15,1)+COUNTIFS($BF10:$BF15,$A13,$BH10:$BH15,1)</f>
        <v>0</v>
      </c>
      <c r="I13" s="18">
        <f>COUNTIFS($AZ10:$AZ15,$A13,$BG10:$BG15,0)+COUNTIFS($BF10:$BF15,$A13,$BH10:$BH15,0)</f>
        <v>0</v>
      </c>
      <c r="J13" s="18">
        <f>SUMIF($AZ10:$AZ15,$A13,$BB10:$BB15)+SUMIF($BF10:$BF15,$A13,$BD10:$BD15)</f>
        <v>2</v>
      </c>
      <c r="K13" s="18">
        <f>SUMIF($AZ10:$AZ15,$A13,$BD10:$BD15)+SUMIF($BF10:$BF15,$A13,$BB10:$BB15)</f>
        <v>1</v>
      </c>
      <c r="L13" s="42">
        <f t="shared" ref="L13:L15" si="33">J13-K13</f>
        <v>1</v>
      </c>
      <c r="M13" s="32">
        <f>SUMIF($AZ10:$AZ15,$A13,$BI10:$BI15)+SUMIF($BF10:$BF15,$A13,$BJ10:$BJ15)</f>
        <v>2</v>
      </c>
      <c r="N13" s="43">
        <f>SUMIF($AZ11:$AZ16,$A13,$BK11:$BK16)+SUMIF($BF11:$BF16,$A13,$BL11:$BL16)</f>
        <v>0</v>
      </c>
      <c r="O13" s="44">
        <f>0.003+(E13*10000)+(J13*1000)+(L13*100)-(M13*1)-(N13*5)</f>
        <v>32098.003000000001</v>
      </c>
      <c r="P13" s="1">
        <f>RANK(O13,O12:O15)</f>
        <v>2</v>
      </c>
      <c r="Q13" s="1">
        <f>RANK(L13,L12:L15)</f>
        <v>2</v>
      </c>
      <c r="R13" s="1">
        <f>RANK(J13,J12:J15)</f>
        <v>2</v>
      </c>
      <c r="S13" s="45">
        <f>O13</f>
        <v>32098.003000000001</v>
      </c>
      <c r="T13" s="1" t="str">
        <f>A13</f>
        <v>B2</v>
      </c>
      <c r="U13" s="1">
        <f>P13</f>
        <v>2</v>
      </c>
      <c r="V13" s="1" t="str">
        <f>D13</f>
        <v>Botafogo</v>
      </c>
      <c r="W13" s="1">
        <f t="shared" ref="W13:W15" si="34">E13</f>
        <v>3</v>
      </c>
      <c r="X13" s="1">
        <f t="shared" si="23"/>
        <v>1</v>
      </c>
      <c r="Y13" s="1">
        <f t="shared" si="24"/>
        <v>1</v>
      </c>
      <c r="Z13" s="1">
        <f t="shared" si="25"/>
        <v>0</v>
      </c>
      <c r="AA13" s="1">
        <f t="shared" si="26"/>
        <v>0</v>
      </c>
      <c r="AB13" s="1">
        <f t="shared" si="27"/>
        <v>2</v>
      </c>
      <c r="AC13" s="1">
        <f t="shared" si="28"/>
        <v>1</v>
      </c>
      <c r="AD13" s="1">
        <f t="shared" si="29"/>
        <v>1</v>
      </c>
      <c r="AE13" s="1">
        <f t="shared" si="30"/>
        <v>2</v>
      </c>
      <c r="AF13" s="1">
        <f t="shared" si="31"/>
        <v>0</v>
      </c>
      <c r="AG13" s="1">
        <f>LARGE(S12:S15,2)</f>
        <v>32098.003000000001</v>
      </c>
      <c r="AH13" s="37" t="str">
        <f>VLOOKUP(AG13,S12:AG15,2,0)</f>
        <v>B2</v>
      </c>
      <c r="AI13" s="37">
        <f>VLOOKUP($AG13,$S$12:$AG$15,3,0)</f>
        <v>2</v>
      </c>
      <c r="AJ13" s="46" t="s">
        <v>83</v>
      </c>
      <c r="AK13" s="37" t="str">
        <f t="shared" ref="AK13:AK15" si="35">VLOOKUP($AG13,$S$12:$AG$15,4,0)</f>
        <v>Botafogo</v>
      </c>
      <c r="AL13" s="37">
        <f t="shared" ref="AL13:AL15" si="36">VLOOKUP($AG13,$S$12:$AG$15,5,0)</f>
        <v>3</v>
      </c>
      <c r="AM13" s="37">
        <f>VLOOKUP(AG13,S12:AG15,6,0)</f>
        <v>1</v>
      </c>
      <c r="AN13" s="37">
        <f>VLOOKUP(AG13,S12:AG15,7,0)</f>
        <v>1</v>
      </c>
      <c r="AO13" s="37">
        <f>VLOOKUP(AG13,S12:AG15,8,0)</f>
        <v>0</v>
      </c>
      <c r="AP13" s="37">
        <f>VLOOKUP(AG13,S12:AG15,9,0)</f>
        <v>0</v>
      </c>
      <c r="AQ13" s="37">
        <f>VLOOKUP(AG13,S12:AG15,10,0)</f>
        <v>2</v>
      </c>
      <c r="AR13" s="37">
        <f>VLOOKUP(AG13,S12:AG15,11,0)</f>
        <v>1</v>
      </c>
      <c r="AS13" s="37">
        <f>VLOOKUP(AG13,S12:AG15,12,0)</f>
        <v>1</v>
      </c>
      <c r="AT13" s="38">
        <f>VLOOKUP(AG13,S12:AG15,13,0)</f>
        <v>2</v>
      </c>
      <c r="AU13" s="39">
        <f>VLOOKUP(AG13,S12:AG15,14,0)</f>
        <v>0</v>
      </c>
      <c r="AV13" s="31"/>
      <c r="AW13" s="6">
        <v>20</v>
      </c>
      <c r="AX13" s="6" t="s">
        <v>90</v>
      </c>
      <c r="AY13" s="8">
        <v>0</v>
      </c>
      <c r="AZ13" s="3" t="s">
        <v>35</v>
      </c>
      <c r="BA13" s="4" t="str">
        <f>IFERROR(INDEX(Equipe!B:B,MATCH(AZ13,Equipe!A:A,0)),"")</f>
        <v>Atlético Madrid</v>
      </c>
      <c r="BB13" s="23"/>
      <c r="BC13" s="22" t="s">
        <v>83</v>
      </c>
      <c r="BD13" s="23"/>
      <c r="BE13" s="4" t="str">
        <f>IFERROR(INDEX(Equipe!B:B,MATCH(BF13,Equipe!A:A,0)),"")</f>
        <v>Seattle Sounders</v>
      </c>
      <c r="BF13" s="48" t="s">
        <v>38</v>
      </c>
      <c r="BG13" s="2" t="str">
        <f t="shared" si="20"/>
        <v/>
      </c>
      <c r="BH13" t="str">
        <f t="shared" si="21"/>
        <v/>
      </c>
      <c r="BI13" s="20"/>
      <c r="BJ13" s="20"/>
      <c r="BK13" s="21"/>
      <c r="BL13" s="21"/>
    </row>
    <row r="14" spans="1:70" ht="15.75">
      <c r="A14" t="s">
        <v>37</v>
      </c>
      <c r="B14" s="34" t="s">
        <v>95</v>
      </c>
      <c r="C14" s="1">
        <v>3</v>
      </c>
      <c r="D14" t="str">
        <f>IFERROR(INDEX(Equipe!B:B,MATCH(A14,Equipe!A:A,0)),"")</f>
        <v>PSG</v>
      </c>
      <c r="E14" s="18">
        <f t="shared" si="32"/>
        <v>3</v>
      </c>
      <c r="F14" s="41">
        <f t="shared" si="22"/>
        <v>1</v>
      </c>
      <c r="G14" s="18">
        <f>COUNTIFS($AZ10:$AZ15,$A14,$BG10:$BG15,3)+COUNTIFS($BF10:$BF15,$A14,$BH10:$BH15,3)</f>
        <v>1</v>
      </c>
      <c r="H14" s="18">
        <f>COUNTIFS($AZ10:$AZ15,$A14,$BG10:$BG15,1)+COUNTIFS($BF10:$BF15,$A14,$BH10:$BH15,1)</f>
        <v>0</v>
      </c>
      <c r="I14" s="18">
        <f>COUNTIFS($AZ10:$AZ15,$A14,$BG10:$BG15,0)+COUNTIFS($BF10:$BF15,$A14,$BH10:$BH15,0)</f>
        <v>0</v>
      </c>
      <c r="J14" s="18">
        <f>SUMIF($AZ10:$AZ15,$A14,$BB10:$BB15)+SUMIF($BF10:$BF15,$A14,$BD10:$BD15)</f>
        <v>4</v>
      </c>
      <c r="K14" s="18">
        <f>SUMIF($AZ10:$AZ15,$A14,$BD10:$BD15)+SUMIF($BF10:$BF15,$A14,$BB10:$BB15)</f>
        <v>0</v>
      </c>
      <c r="L14" s="42">
        <f t="shared" si="33"/>
        <v>4</v>
      </c>
      <c r="M14" s="32">
        <f>SUMIF($AZ10:$AZ15,$A14,$BI10:$BI15)+SUMIF($BF10:$BF15,$A14,$BJ10:$BJ15)</f>
        <v>2</v>
      </c>
      <c r="N14" s="43">
        <f>SUMIF($AZ12:$AZ17,$A14,$BK12:$BK17)+SUMIF($BF12:$BF17,$A14,$BL12:$BL17)</f>
        <v>0</v>
      </c>
      <c r="O14" s="44">
        <f>0.002+(E14*10000)+(J14*1000)+(L14*100)-(M14*1)-(N14*5)</f>
        <v>34398.002</v>
      </c>
      <c r="P14" s="1">
        <f>RANK(O14,O12:O15)</f>
        <v>1</v>
      </c>
      <c r="Q14" s="1">
        <f>RANK(L14,L12:L15)</f>
        <v>1</v>
      </c>
      <c r="R14" s="1">
        <f>RANK(J14,J12:J15)</f>
        <v>1</v>
      </c>
      <c r="S14" s="45">
        <f>O14</f>
        <v>34398.002</v>
      </c>
      <c r="T14" s="1" t="str">
        <f>A14</f>
        <v>B3</v>
      </c>
      <c r="U14" s="1">
        <f t="shared" ref="U14:U15" si="37">P14</f>
        <v>1</v>
      </c>
      <c r="V14" s="1" t="str">
        <f>D14</f>
        <v>PSG</v>
      </c>
      <c r="W14" s="1">
        <f t="shared" si="34"/>
        <v>3</v>
      </c>
      <c r="X14" s="1">
        <f t="shared" si="23"/>
        <v>1</v>
      </c>
      <c r="Y14" s="1">
        <f t="shared" si="24"/>
        <v>1</v>
      </c>
      <c r="Z14" s="1">
        <f t="shared" si="25"/>
        <v>0</v>
      </c>
      <c r="AA14" s="1">
        <f t="shared" si="26"/>
        <v>0</v>
      </c>
      <c r="AB14" s="1">
        <f t="shared" si="27"/>
        <v>4</v>
      </c>
      <c r="AC14" s="1">
        <f t="shared" si="28"/>
        <v>0</v>
      </c>
      <c r="AD14" s="1">
        <f t="shared" si="29"/>
        <v>4</v>
      </c>
      <c r="AE14" s="1">
        <f t="shared" si="30"/>
        <v>2</v>
      </c>
      <c r="AF14" s="1">
        <f t="shared" si="31"/>
        <v>0</v>
      </c>
      <c r="AG14" s="1">
        <f>LARGE(S12:S15,3)</f>
        <v>898.00099999999998</v>
      </c>
      <c r="AH14" s="37" t="str">
        <f>VLOOKUP(AG14,S12:AG15,2,0)</f>
        <v>B4</v>
      </c>
      <c r="AI14" s="37">
        <f t="shared" ref="AI14:AI15" si="38">VLOOKUP($AG14,$S$12:$AG$15,3,0)</f>
        <v>3</v>
      </c>
      <c r="AJ14" s="46" t="s">
        <v>83</v>
      </c>
      <c r="AK14" s="37" t="str">
        <f t="shared" si="35"/>
        <v>Seattle Sounders</v>
      </c>
      <c r="AL14" s="37">
        <f t="shared" si="36"/>
        <v>0</v>
      </c>
      <c r="AM14" s="37">
        <f>VLOOKUP(AG14,S12:AG15,6,0)</f>
        <v>1</v>
      </c>
      <c r="AN14" s="37">
        <f>VLOOKUP(AG14,S12:AG15,7,0)</f>
        <v>0</v>
      </c>
      <c r="AO14" s="37">
        <f>VLOOKUP(AG14,S12:AG15,8,0)</f>
        <v>0</v>
      </c>
      <c r="AP14" s="37">
        <f>VLOOKUP(AG14,S12:AG15,9,0)</f>
        <v>1</v>
      </c>
      <c r="AQ14" s="37">
        <f>VLOOKUP(AG14,S12:AG15,10,0)</f>
        <v>1</v>
      </c>
      <c r="AR14" s="37">
        <f>VLOOKUP(AG14,S12:AG15,11,0)</f>
        <v>2</v>
      </c>
      <c r="AS14" s="37">
        <f>VLOOKUP(AG14,S12:AG15,12,0)</f>
        <v>-1</v>
      </c>
      <c r="AT14" s="38">
        <f>VLOOKUP(AG14,S12:AG15,13,0)</f>
        <v>2</v>
      </c>
      <c r="AU14" s="39">
        <f>VLOOKUP(AG14,S12:AG15,14,0)</f>
        <v>0</v>
      </c>
      <c r="AV14" s="31"/>
      <c r="AW14" s="9">
        <v>23</v>
      </c>
      <c r="AX14" s="9" t="s">
        <v>90</v>
      </c>
      <c r="AY14" s="10">
        <v>0.87499999999995304</v>
      </c>
      <c r="AZ14" t="s">
        <v>38</v>
      </c>
      <c r="BA14" s="1" t="str">
        <f>IFERROR(INDEX(Equipe!B:B,MATCH(AZ14,Equipe!A:A,0)),"")</f>
        <v>Seattle Sounders</v>
      </c>
      <c r="BC14" s="17" t="s">
        <v>83</v>
      </c>
      <c r="BD14" s="19"/>
      <c r="BE14" s="1" t="str">
        <f>IFERROR(INDEX(Equipe!B:B,MATCH(BF14,Equipe!A:A,0)),"")</f>
        <v>PSG</v>
      </c>
      <c r="BF14" s="47" t="s">
        <v>37</v>
      </c>
      <c r="BG14" s="2" t="str">
        <f t="shared" si="20"/>
        <v/>
      </c>
      <c r="BH14" t="str">
        <f t="shared" si="21"/>
        <v/>
      </c>
      <c r="BI14" s="20"/>
      <c r="BJ14" s="20"/>
      <c r="BK14" s="21"/>
      <c r="BL14" s="21"/>
    </row>
    <row r="15" spans="1:70" ht="15.75">
      <c r="A15" t="s">
        <v>38</v>
      </c>
      <c r="B15" s="34" t="s">
        <v>95</v>
      </c>
      <c r="C15" s="1">
        <v>4</v>
      </c>
      <c r="D15" t="str">
        <f>IFERROR(INDEX(Equipe!B:B,MATCH(A15,Equipe!A:A,0)),"")</f>
        <v>Seattle Sounders</v>
      </c>
      <c r="E15" s="18">
        <f t="shared" si="32"/>
        <v>0</v>
      </c>
      <c r="F15" s="41">
        <f t="shared" si="22"/>
        <v>1</v>
      </c>
      <c r="G15" s="18">
        <f>COUNTIFS($AZ10:$AZ15,$A15,$BG10:$BG15,3)+COUNTIFS($BF10:$BF15,$A15,$BH10:$BH15,3)</f>
        <v>0</v>
      </c>
      <c r="H15" s="18">
        <f>COUNTIFS($AZ10:$AZ15,$A15,$BG10:$BG15,1)+COUNTIFS($BF10:$BF15,$A15,$BH10:$BH15,1)</f>
        <v>0</v>
      </c>
      <c r="I15" s="18">
        <f>COUNTIFS($AZ10:$AZ15,$A15,$BG10:$BG15,0)+COUNTIFS($BF10:$BF15,$A15,$BH10:$BH15,0)</f>
        <v>1</v>
      </c>
      <c r="J15" s="18">
        <f>SUMIF($AZ10:$AZ15,$A15,$BB10:$BB15)+SUMIF($BF10:$BF15,$A15,$BD10:$BD15)</f>
        <v>1</v>
      </c>
      <c r="K15" s="18">
        <f>SUMIF($AZ10:$AZ15,$A15,$BD10:$BD15)+SUMIF($BF10:$BF15,$A15,$BB10:$BB15)</f>
        <v>2</v>
      </c>
      <c r="L15" s="42">
        <f t="shared" si="33"/>
        <v>-1</v>
      </c>
      <c r="M15" s="32">
        <f>SUMIF($AZ10:$AZ15,$A15,$BI10:$BI15)+SUMIF($BF10:$BF15,$A15,$BJ10:$BJ15)</f>
        <v>2</v>
      </c>
      <c r="N15" s="43">
        <f>SUMIF($AZ13:$AZ18,$A15,$BK13:$BK18)+SUMIF($BF13:$BF18,$A15,$BL13:$BL18)</f>
        <v>0</v>
      </c>
      <c r="O15" s="44">
        <f>0.001+(E15*10000)+(J15*1000)+(L15*100)-(M15*1)-(N15*5)</f>
        <v>898.00099999999998</v>
      </c>
      <c r="P15" s="1">
        <f>RANK(O15,O12:O15)</f>
        <v>3</v>
      </c>
      <c r="Q15" s="1">
        <f>RANK(L15,L12:L15)</f>
        <v>3</v>
      </c>
      <c r="R15" s="1">
        <f>RANK(J15,J12:J15)</f>
        <v>3</v>
      </c>
      <c r="S15" s="45">
        <f>O15</f>
        <v>898.00099999999998</v>
      </c>
      <c r="T15" s="1" t="str">
        <f>A15</f>
        <v>B4</v>
      </c>
      <c r="U15" s="1">
        <f t="shared" si="37"/>
        <v>3</v>
      </c>
      <c r="V15" s="1" t="str">
        <f>D15</f>
        <v>Seattle Sounders</v>
      </c>
      <c r="W15" s="1">
        <f t="shared" si="34"/>
        <v>0</v>
      </c>
      <c r="X15" s="1">
        <f t="shared" si="23"/>
        <v>1</v>
      </c>
      <c r="Y15" s="1">
        <f t="shared" si="24"/>
        <v>0</v>
      </c>
      <c r="Z15" s="1">
        <f t="shared" si="25"/>
        <v>0</v>
      </c>
      <c r="AA15" s="1">
        <f t="shared" si="26"/>
        <v>1</v>
      </c>
      <c r="AB15" s="1">
        <f t="shared" si="27"/>
        <v>1</v>
      </c>
      <c r="AC15" s="1">
        <f t="shared" si="28"/>
        <v>2</v>
      </c>
      <c r="AD15" s="1">
        <f t="shared" si="29"/>
        <v>-1</v>
      </c>
      <c r="AE15" s="1">
        <f t="shared" si="30"/>
        <v>2</v>
      </c>
      <c r="AF15" s="1">
        <f t="shared" si="31"/>
        <v>0</v>
      </c>
      <c r="AG15" s="1">
        <f>LARGE(S12:S15,4)</f>
        <v>-409.99599999999998</v>
      </c>
      <c r="AH15" s="37" t="str">
        <f>VLOOKUP(AG15,S12:AG15,2,0)</f>
        <v>B1</v>
      </c>
      <c r="AI15" s="37">
        <f t="shared" si="38"/>
        <v>4</v>
      </c>
      <c r="AJ15" s="46" t="s">
        <v>83</v>
      </c>
      <c r="AK15" s="37" t="str">
        <f t="shared" si="35"/>
        <v>Atlético Madrid</v>
      </c>
      <c r="AL15" s="37">
        <f t="shared" si="36"/>
        <v>0</v>
      </c>
      <c r="AM15" s="37">
        <f>VLOOKUP(AG15,S12:AG15,6,0)</f>
        <v>1</v>
      </c>
      <c r="AN15" s="37">
        <f>VLOOKUP(AG15,S12:AG15,7,0)</f>
        <v>0</v>
      </c>
      <c r="AO15" s="37">
        <f>VLOOKUP(AG15,S12:AG15,8,0)</f>
        <v>0</v>
      </c>
      <c r="AP15" s="37">
        <f>VLOOKUP(AG15,S12:AG15,9,0)</f>
        <v>1</v>
      </c>
      <c r="AQ15" s="37">
        <f>VLOOKUP(AG15,S12:AG15,10,0)</f>
        <v>0</v>
      </c>
      <c r="AR15" s="37">
        <f>VLOOKUP(AG15,S12:AG15,11,0)</f>
        <v>4</v>
      </c>
      <c r="AS15" s="37">
        <f>VLOOKUP(AG15,S12:AG15,12,0)</f>
        <v>-4</v>
      </c>
      <c r="AT15" s="38">
        <f>VLOOKUP(AG15,S12:AG15,13,0)</f>
        <v>5</v>
      </c>
      <c r="AU15" s="39">
        <f>VLOOKUP(AG15,S12:AG15,14,0)</f>
        <v>1</v>
      </c>
      <c r="AV15" s="31"/>
      <c r="AW15" s="6">
        <v>23</v>
      </c>
      <c r="AX15" s="6" t="s">
        <v>90</v>
      </c>
      <c r="AY15" s="8">
        <v>0.87499999999995304</v>
      </c>
      <c r="AZ15" s="3" t="s">
        <v>35</v>
      </c>
      <c r="BA15" s="4" t="str">
        <f>IFERROR(INDEX(Equipe!B:B,MATCH(AZ15,Equipe!A:A,0)),"")</f>
        <v>Atlético Madrid</v>
      </c>
      <c r="BB15" s="23"/>
      <c r="BC15" s="22" t="s">
        <v>83</v>
      </c>
      <c r="BD15" s="23"/>
      <c r="BE15" s="4" t="str">
        <f>IFERROR(INDEX(Equipe!B:B,MATCH(BF15,Equipe!A:A,0)),"")</f>
        <v>Botafogo</v>
      </c>
      <c r="BF15" s="48" t="s">
        <v>36</v>
      </c>
      <c r="BG15" s="2" t="str">
        <f t="shared" si="20"/>
        <v/>
      </c>
      <c r="BH15" t="str">
        <f t="shared" si="21"/>
        <v/>
      </c>
      <c r="BI15" s="20"/>
      <c r="BJ15" s="20"/>
      <c r="BK15" s="21"/>
      <c r="BL15" s="21"/>
    </row>
    <row r="17" spans="1:72" ht="18">
      <c r="AH17" s="51" t="s">
        <v>89</v>
      </c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24"/>
      <c r="AX17" s="24"/>
      <c r="AY17" s="25"/>
      <c r="BB17" s="52" t="s">
        <v>84</v>
      </c>
      <c r="BC17" s="52"/>
      <c r="BD17" s="52"/>
      <c r="BI17" s="53" t="s">
        <v>85</v>
      </c>
      <c r="BJ17" s="53"/>
      <c r="BK17" s="54" t="s">
        <v>86</v>
      </c>
      <c r="BL17" s="54"/>
    </row>
    <row r="18" spans="1:72">
      <c r="B18" s="26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7"/>
      <c r="N18" s="27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9"/>
      <c r="AG18" s="29"/>
      <c r="AH18" s="30"/>
      <c r="AI18" s="55" t="s">
        <v>63</v>
      </c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18"/>
      <c r="AU18" s="18"/>
      <c r="AV18" s="31"/>
      <c r="AW18" s="9">
        <v>15</v>
      </c>
      <c r="AX18" s="9" t="s">
        <v>90</v>
      </c>
      <c r="AY18" s="10">
        <v>0.74999999999996103</v>
      </c>
      <c r="AZ18" t="s">
        <v>40</v>
      </c>
      <c r="BA18" s="1" t="str">
        <f>IFERROR(INDEX(Equipe!B:B,MATCH(AZ18,Equipe!A:A,0)),"")</f>
        <v>Bayern Munich</v>
      </c>
      <c r="BB18" s="19">
        <v>10</v>
      </c>
      <c r="BC18" s="17" t="s">
        <v>83</v>
      </c>
      <c r="BD18" s="19">
        <v>0</v>
      </c>
      <c r="BE18" s="1" t="str">
        <f>IFERROR(INDEX(Equipe!B:B,MATCH(BF18,Equipe!A:A,0)),"")</f>
        <v>Auckland City</v>
      </c>
      <c r="BF18" s="47" t="s">
        <v>39</v>
      </c>
      <c r="BG18" s="2">
        <f>IF(BB18="","",IF(BB18&gt;BD18,3,IF(BB18=BD18,1,IF(BB18&lt;BD18,IF(BD18="",3,0)))))</f>
        <v>3</v>
      </c>
      <c r="BH18">
        <f>IF(BD18="","",IF(BD18&gt;BB18,3,IF(BD18=BB18,1,IF(BD18&lt;BB18,IF(BB18="",3,0)))))</f>
        <v>0</v>
      </c>
      <c r="BI18" s="20"/>
      <c r="BJ18" s="20"/>
      <c r="BK18" s="21"/>
      <c r="BL18" s="21"/>
    </row>
    <row r="19" spans="1:72" ht="15.75">
      <c r="B19" s="26"/>
      <c r="C19" s="18"/>
      <c r="D19" s="30"/>
      <c r="E19" s="18" t="s">
        <v>64</v>
      </c>
      <c r="F19" s="18" t="s">
        <v>65</v>
      </c>
      <c r="G19" s="18" t="s">
        <v>66</v>
      </c>
      <c r="H19" s="18" t="s">
        <v>67</v>
      </c>
      <c r="I19" s="18" t="s">
        <v>68</v>
      </c>
      <c r="J19" s="18" t="s">
        <v>69</v>
      </c>
      <c r="K19" s="18" t="s">
        <v>70</v>
      </c>
      <c r="L19" s="18" t="s">
        <v>71</v>
      </c>
      <c r="M19" s="32" t="s">
        <v>85</v>
      </c>
      <c r="N19" s="33" t="s">
        <v>86</v>
      </c>
      <c r="O19" s="28"/>
      <c r="P19" s="1" t="s">
        <v>72</v>
      </c>
      <c r="Q19" s="1" t="s">
        <v>73</v>
      </c>
      <c r="R19" s="1" t="s">
        <v>74</v>
      </c>
      <c r="S19" t="s">
        <v>75</v>
      </c>
      <c r="T19" t="s">
        <v>76</v>
      </c>
      <c r="U19" s="1" t="s">
        <v>77</v>
      </c>
      <c r="V19" s="1" t="s">
        <v>78</v>
      </c>
      <c r="W19" s="1" t="s">
        <v>79</v>
      </c>
      <c r="X19" s="1" t="s">
        <v>65</v>
      </c>
      <c r="Y19" s="1" t="s">
        <v>66</v>
      </c>
      <c r="Z19" s="1" t="s">
        <v>67</v>
      </c>
      <c r="AA19" s="1" t="s">
        <v>68</v>
      </c>
      <c r="AB19" s="1" t="s">
        <v>80</v>
      </c>
      <c r="AC19" s="1" t="s">
        <v>81</v>
      </c>
      <c r="AD19" s="34" t="s">
        <v>71</v>
      </c>
      <c r="AE19" s="34" t="s">
        <v>85</v>
      </c>
      <c r="AF19" s="35" t="s">
        <v>86</v>
      </c>
      <c r="AG19" s="35"/>
      <c r="AH19" s="18"/>
      <c r="AI19" s="18"/>
      <c r="AJ19" s="36"/>
      <c r="AK19" s="18"/>
      <c r="AL19" s="18" t="s">
        <v>64</v>
      </c>
      <c r="AM19" s="18" t="s">
        <v>65</v>
      </c>
      <c r="AN19" s="18" t="s">
        <v>66</v>
      </c>
      <c r="AO19" s="18" t="s">
        <v>67</v>
      </c>
      <c r="AP19" s="18" t="s">
        <v>68</v>
      </c>
      <c r="AQ19" s="18" t="s">
        <v>69</v>
      </c>
      <c r="AR19" s="18" t="s">
        <v>70</v>
      </c>
      <c r="AS19" s="37" t="s">
        <v>71</v>
      </c>
      <c r="AT19" s="38" t="s">
        <v>85</v>
      </c>
      <c r="AU19" s="39" t="s">
        <v>86</v>
      </c>
      <c r="AV19" s="40"/>
      <c r="AW19" s="6">
        <v>17</v>
      </c>
      <c r="AX19" s="6" t="s">
        <v>90</v>
      </c>
      <c r="AY19" s="8">
        <v>0</v>
      </c>
      <c r="AZ19" s="3" t="s">
        <v>42</v>
      </c>
      <c r="BA19" s="4" t="str">
        <f>IFERROR(INDEX(Equipe!B:B,MATCH(AZ19,Equipe!A:A,0)),"")</f>
        <v>Boca Juniors</v>
      </c>
      <c r="BB19" s="23"/>
      <c r="BC19" s="22" t="s">
        <v>83</v>
      </c>
      <c r="BD19" s="23"/>
      <c r="BE19" s="4" t="str">
        <f>IFERROR(INDEX(Equipe!B:B,MATCH(BF19,Equipe!A:A,0)),"")</f>
        <v>Benfica</v>
      </c>
      <c r="BF19" s="48" t="s">
        <v>41</v>
      </c>
      <c r="BG19" s="2" t="str">
        <f t="shared" ref="BG19:BG23" si="39">IF(BB19="","",IF(BB19&gt;BD19,3,IF(BB19=BD19,1,IF(BB19&lt;BD19,IF(BD19="",3,0)))))</f>
        <v/>
      </c>
      <c r="BH19" t="str">
        <f t="shared" ref="BH19:BH23" si="40">IF(BD19="","",IF(BD19&gt;BB19,3,IF(BD19=BB19,1,IF(BD19&lt;BB19,IF(BB19="",3,0)))))</f>
        <v/>
      </c>
      <c r="BI19" s="20"/>
      <c r="BJ19" s="20"/>
      <c r="BK19" s="21"/>
      <c r="BL19" s="21"/>
      <c r="BS19" s="61"/>
    </row>
    <row r="20" spans="1:72" ht="15.75">
      <c r="A20" t="s">
        <v>39</v>
      </c>
      <c r="B20" s="34" t="s">
        <v>82</v>
      </c>
      <c r="C20" s="1">
        <v>1</v>
      </c>
      <c r="D20" t="str">
        <f>IFERROR(INDEX(Equipe!B:B,MATCH(A20,Equipe!A:A,0)),"")</f>
        <v>Auckland City</v>
      </c>
      <c r="E20" s="18">
        <f>(G20*3)+H20</f>
        <v>0</v>
      </c>
      <c r="F20" s="41">
        <f t="shared" ref="F20:F23" si="41">G20+H20+I20</f>
        <v>1</v>
      </c>
      <c r="G20" s="18">
        <f>COUNTIFS($AZ18:$AZ23,$A20,$BG18:$BG23,3)+COUNTIFS($BF18:$BF23,$A20,$BH18:$BH23,3)</f>
        <v>0</v>
      </c>
      <c r="H20" s="18">
        <f>COUNTIFS($AZ18:$AZ23,$A20,$BG18:$BG23,1)+COUNTIFS($BF18:$BF23,$A20,$BH18:$BH23,1)</f>
        <v>0</v>
      </c>
      <c r="I20" s="18">
        <f>COUNTIFS($AZ18:$AZ23,$A20,$BG18:$BG23,0)+COUNTIFS($BF18:$BF23,$A20,$BH18:$BH23,0)</f>
        <v>1</v>
      </c>
      <c r="J20" s="18">
        <f>SUMIF($AZ18:$AZ23,$A20,$BB18:$BB23)+SUMIF($BF18:$BF23,$A20,$BD18:$BD23)</f>
        <v>0</v>
      </c>
      <c r="K20" s="18">
        <f>SUMIF($AZ18:$AZ23,$A20,$BD18:$BD23)+SUMIF($BF18:$BF23,$A20,$BB18:$BB23)</f>
        <v>10</v>
      </c>
      <c r="L20" s="42">
        <f>J20-K20</f>
        <v>-10</v>
      </c>
      <c r="M20" s="32">
        <f>SUMIF($AZ18:$AZ23,$A20,$BI18:$BI23)+SUMIF($BF18:$BF23,$A20,$BJ18:$BJ23)</f>
        <v>0</v>
      </c>
      <c r="N20" s="43">
        <f>SUMIF($AZ18:$AZ23,$A20,$BK18:$BK23)+SUMIF($BF18:$BF23,$A20,$BL18:$BL23)</f>
        <v>0</v>
      </c>
      <c r="O20" s="44">
        <f>0.004+(E20*10000)+(J20*1000)+(L20*100)-(M20*1)-(N20*5)</f>
        <v>-999.99599999999998</v>
      </c>
      <c r="P20" s="1">
        <f>RANK(O20,O20:O23)</f>
        <v>4</v>
      </c>
      <c r="Q20" s="1">
        <f>RANK(L20,L$12:L23)</f>
        <v>8</v>
      </c>
      <c r="R20" s="1">
        <f>RANK(J20,J20:J23)</f>
        <v>2</v>
      </c>
      <c r="S20" s="45">
        <f>O20</f>
        <v>-999.99599999999998</v>
      </c>
      <c r="T20" s="1" t="str">
        <f>A20</f>
        <v>C1</v>
      </c>
      <c r="U20" s="1">
        <f>P20</f>
        <v>4</v>
      </c>
      <c r="V20" s="1" t="str">
        <f>D20</f>
        <v>Auckland City</v>
      </c>
      <c r="W20" s="1">
        <f>E20</f>
        <v>0</v>
      </c>
      <c r="X20" s="1">
        <f t="shared" ref="X20:X23" si="42">F20</f>
        <v>1</v>
      </c>
      <c r="Y20" s="1">
        <f t="shared" ref="Y20:Y23" si="43">G20</f>
        <v>0</v>
      </c>
      <c r="Z20" s="1">
        <f t="shared" ref="Z20:Z23" si="44">H20</f>
        <v>0</v>
      </c>
      <c r="AA20" s="1">
        <f t="shared" ref="AA20:AA23" si="45">I20</f>
        <v>1</v>
      </c>
      <c r="AB20" s="1">
        <f t="shared" ref="AB20:AB23" si="46">J20</f>
        <v>0</v>
      </c>
      <c r="AC20" s="1">
        <f t="shared" ref="AC20:AC23" si="47">K20</f>
        <v>10</v>
      </c>
      <c r="AD20" s="1">
        <f t="shared" ref="AD20:AD23" si="48">L20</f>
        <v>-10</v>
      </c>
      <c r="AE20" s="1">
        <f t="shared" ref="AE20:AE23" si="49">M20</f>
        <v>0</v>
      </c>
      <c r="AF20" s="1">
        <f t="shared" ref="AF20:AF23" si="50">N20</f>
        <v>0</v>
      </c>
      <c r="AG20" s="1">
        <f>LARGE(S20:S23,1)</f>
        <v>41000.002999999997</v>
      </c>
      <c r="AH20" s="37" t="str">
        <f>VLOOKUP(AG20,S20:AG23,2,0)</f>
        <v>C2</v>
      </c>
      <c r="AI20" s="37">
        <f>VLOOKUP(AG20,S20:AG23,3,0)</f>
        <v>1</v>
      </c>
      <c r="AJ20" s="46" t="s">
        <v>83</v>
      </c>
      <c r="AK20" s="37" t="str">
        <f>VLOOKUP(AG20,S20:AG23,4,0)</f>
        <v>Bayern Munich</v>
      </c>
      <c r="AL20" s="37">
        <f>VLOOKUP(AG20,S20:AG23,5,0)</f>
        <v>3</v>
      </c>
      <c r="AM20" s="37">
        <f>VLOOKUP(AG20,S20:AG23,6,0)</f>
        <v>1</v>
      </c>
      <c r="AN20" s="37">
        <f>VLOOKUP(AG20,S20:AG23,7,0)</f>
        <v>1</v>
      </c>
      <c r="AO20" s="37">
        <f>VLOOKUP(AG20,S20:AG23,8,0)</f>
        <v>0</v>
      </c>
      <c r="AP20" s="37">
        <f>VLOOKUP(AG20,S20:AG23,9,0)</f>
        <v>0</v>
      </c>
      <c r="AQ20" s="37">
        <f>VLOOKUP(AG20,S20:AG23,10,0)</f>
        <v>10</v>
      </c>
      <c r="AR20" s="37">
        <f>VLOOKUP(AG20,S20:AG23,11,0)</f>
        <v>0</v>
      </c>
      <c r="AS20" s="37">
        <f>VLOOKUP(AG20,S20:AG23,12,0)</f>
        <v>10</v>
      </c>
      <c r="AT20" s="38">
        <f>VLOOKUP(AG20,S20:AG23,13,0)</f>
        <v>0</v>
      </c>
      <c r="AU20" s="39">
        <f>VLOOKUP(AG20,S20:AG23,14,0)</f>
        <v>0</v>
      </c>
      <c r="AV20" s="31"/>
      <c r="AW20" s="9">
        <v>20</v>
      </c>
      <c r="AX20" s="9" t="s">
        <v>90</v>
      </c>
      <c r="AY20" s="10">
        <v>0.74999999999996103</v>
      </c>
      <c r="AZ20" t="s">
        <v>39</v>
      </c>
      <c r="BA20" s="1" t="str">
        <f>IFERROR(INDEX(Equipe!B:B,MATCH(AZ20,Equipe!A:A,0)),"")</f>
        <v>Auckland City</v>
      </c>
      <c r="BC20" s="17" t="s">
        <v>83</v>
      </c>
      <c r="BD20" s="19"/>
      <c r="BE20" s="1" t="str">
        <f>IFERROR(INDEX(Equipe!B:B,MATCH(BF20,Equipe!A:A,0)),"")</f>
        <v>Benfica</v>
      </c>
      <c r="BF20" s="47" t="s">
        <v>41</v>
      </c>
      <c r="BG20" s="2" t="str">
        <f t="shared" si="39"/>
        <v/>
      </c>
      <c r="BH20" t="str">
        <f t="shared" si="40"/>
        <v/>
      </c>
      <c r="BI20" s="20"/>
      <c r="BJ20" s="20"/>
      <c r="BK20" s="21"/>
      <c r="BL20" s="21"/>
    </row>
    <row r="21" spans="1:72" ht="15.75">
      <c r="A21" t="s">
        <v>40</v>
      </c>
      <c r="B21" s="34" t="s">
        <v>82</v>
      </c>
      <c r="C21" s="1">
        <v>2</v>
      </c>
      <c r="D21" t="str">
        <f>IFERROR(INDEX(Equipe!B:B,MATCH(A21,Equipe!A:A,0)),"")</f>
        <v>Bayern Munich</v>
      </c>
      <c r="E21" s="18">
        <f t="shared" ref="E21:E23" si="51">(G21*3)+H21</f>
        <v>3</v>
      </c>
      <c r="F21" s="41">
        <f t="shared" si="41"/>
        <v>1</v>
      </c>
      <c r="G21" s="18">
        <f>COUNTIFS($AZ18:$AZ23,$A21,$BG18:$BG23,3)+COUNTIFS($BF18:$BF23,$A21,$BH18:$BH23,3)</f>
        <v>1</v>
      </c>
      <c r="H21" s="18">
        <f>COUNTIFS($AZ18:$AZ23,$A21,$BG18:$BG23,1)+COUNTIFS($BF18:$BF23,$A21,$BH18:$BH23,1)</f>
        <v>0</v>
      </c>
      <c r="I21" s="18">
        <f>COUNTIFS($AZ18:$AZ23,$A21,$BG18:$BG23,0)+COUNTIFS($BF18:$BF23,$A21,$BH18:$BH23,0)</f>
        <v>0</v>
      </c>
      <c r="J21" s="18">
        <f>SUMIF($AZ18:$AZ23,$A21,$BB18:$BB23)+SUMIF($BF18:$BF23,$A21,$BD18:$BD23)</f>
        <v>10</v>
      </c>
      <c r="K21" s="18">
        <f>SUMIF($AZ18:$AZ23,$A21,$BD18:$BD23)+SUMIF($BF18:$BF23,$A21,$BB18:$BB23)</f>
        <v>0</v>
      </c>
      <c r="L21" s="42">
        <f t="shared" ref="L21:L23" si="52">J21-K21</f>
        <v>10</v>
      </c>
      <c r="M21" s="32">
        <f>SUMIF($AZ18:$AZ23,$A21,$BI18:$BI23)+SUMIF($BF18:$BF23,$A21,$BJ18:$BJ23)</f>
        <v>0</v>
      </c>
      <c r="N21" s="43">
        <f>SUMIF($AZ19:$AZ24,$A21,$BK19:$BK24)+SUMIF($BF19:$BF24,$A21,$BL19:$BL24)</f>
        <v>0</v>
      </c>
      <c r="O21" s="44">
        <f>0.003+(E21*10000)+(J21*1000)+(L21*100)-(M21*1)-(N21*5)</f>
        <v>41000.002999999997</v>
      </c>
      <c r="P21" s="1">
        <f>RANK(O21,O20:O23)</f>
        <v>1</v>
      </c>
      <c r="Q21" s="1">
        <f>RANK(L21,L20:L23)</f>
        <v>1</v>
      </c>
      <c r="R21" s="1">
        <f>RANK(J21,J20:J23)</f>
        <v>1</v>
      </c>
      <c r="S21" s="45">
        <f>O21</f>
        <v>41000.002999999997</v>
      </c>
      <c r="T21" s="1" t="str">
        <f>A21</f>
        <v>C2</v>
      </c>
      <c r="U21" s="1">
        <f>P21</f>
        <v>1</v>
      </c>
      <c r="V21" s="1" t="str">
        <f>D21</f>
        <v>Bayern Munich</v>
      </c>
      <c r="W21" s="1">
        <f t="shared" ref="W21:W23" si="53">E21</f>
        <v>3</v>
      </c>
      <c r="X21" s="1">
        <f t="shared" si="42"/>
        <v>1</v>
      </c>
      <c r="Y21" s="1">
        <f t="shared" si="43"/>
        <v>1</v>
      </c>
      <c r="Z21" s="1">
        <f t="shared" si="44"/>
        <v>0</v>
      </c>
      <c r="AA21" s="1">
        <f t="shared" si="45"/>
        <v>0</v>
      </c>
      <c r="AB21" s="1">
        <f t="shared" si="46"/>
        <v>10</v>
      </c>
      <c r="AC21" s="1">
        <f t="shared" si="47"/>
        <v>0</v>
      </c>
      <c r="AD21" s="1">
        <f t="shared" si="48"/>
        <v>10</v>
      </c>
      <c r="AE21" s="1">
        <f t="shared" si="49"/>
        <v>0</v>
      </c>
      <c r="AF21" s="1">
        <f t="shared" si="50"/>
        <v>0</v>
      </c>
      <c r="AG21" s="1">
        <f>LARGE(S20:S23,2)</f>
        <v>2E-3</v>
      </c>
      <c r="AH21" s="37" t="str">
        <f>VLOOKUP(AG21,S20:AG23,2,0)</f>
        <v>C3</v>
      </c>
      <c r="AI21" s="37">
        <f>VLOOKUP(AG21,S20:AG23,3,0)</f>
        <v>2</v>
      </c>
      <c r="AJ21" s="46" t="s">
        <v>83</v>
      </c>
      <c r="AK21" s="37" t="str">
        <f>VLOOKUP(AG21,S20:AG23,4,0)</f>
        <v>Benfica</v>
      </c>
      <c r="AL21" s="37">
        <f>VLOOKUP(AG21,S20:AG23,5,0)</f>
        <v>0</v>
      </c>
      <c r="AM21" s="37">
        <f>VLOOKUP(AG21,S20:AG23,6,0)</f>
        <v>0</v>
      </c>
      <c r="AN21" s="37">
        <f>VLOOKUP(AG21,S20:AG23,7,0)</f>
        <v>0</v>
      </c>
      <c r="AO21" s="37">
        <f>VLOOKUP(AG21,S20:AG23,8,0)</f>
        <v>0</v>
      </c>
      <c r="AP21" s="37">
        <f>VLOOKUP(AG21,S20:AG23,9,0)</f>
        <v>0</v>
      </c>
      <c r="AQ21" s="37">
        <f>VLOOKUP(AG21,S20:AG23,10,0)</f>
        <v>0</v>
      </c>
      <c r="AR21" s="37">
        <f>VLOOKUP(AG21,S20:AG23,11,0)</f>
        <v>0</v>
      </c>
      <c r="AS21" s="37">
        <f>VLOOKUP(AG21,S20:AG23,12,0)</f>
        <v>0</v>
      </c>
      <c r="AT21" s="38">
        <f>VLOOKUP(AG21,S20:AG23,13,0)</f>
        <v>0</v>
      </c>
      <c r="AU21" s="39">
        <f>VLOOKUP(AG21,S20:AG23,14,0)</f>
        <v>0</v>
      </c>
      <c r="AV21" s="31"/>
      <c r="AW21" s="6">
        <v>21</v>
      </c>
      <c r="AX21" s="6" t="s">
        <v>90</v>
      </c>
      <c r="AY21" s="8">
        <v>0.125</v>
      </c>
      <c r="AZ21" s="3" t="s">
        <v>42</v>
      </c>
      <c r="BA21" s="4" t="str">
        <f>IFERROR(INDEX(Equipe!B:B,MATCH(AZ21,Equipe!A:A,0)),"")</f>
        <v>Boca Juniors</v>
      </c>
      <c r="BB21" s="23"/>
      <c r="BC21" s="22" t="s">
        <v>83</v>
      </c>
      <c r="BD21" s="23"/>
      <c r="BE21" s="4" t="str">
        <f>IFERROR(INDEX(Equipe!B:B,MATCH(BF21,Equipe!A:A,0)),"")</f>
        <v>Bayern Munich</v>
      </c>
      <c r="BF21" s="48" t="s">
        <v>40</v>
      </c>
      <c r="BG21" s="2" t="str">
        <f t="shared" si="39"/>
        <v/>
      </c>
      <c r="BH21" t="str">
        <f t="shared" si="40"/>
        <v/>
      </c>
      <c r="BI21" s="20"/>
      <c r="BJ21" s="20"/>
      <c r="BK21" s="21"/>
      <c r="BL21" s="21"/>
    </row>
    <row r="22" spans="1:72" ht="15.75">
      <c r="A22" t="s">
        <v>41</v>
      </c>
      <c r="B22" s="34" t="s">
        <v>95</v>
      </c>
      <c r="C22" s="1">
        <v>3</v>
      </c>
      <c r="D22" t="str">
        <f>IFERROR(INDEX(Equipe!B:B,MATCH(A22,Equipe!A:A,0)),"")</f>
        <v>Benfica</v>
      </c>
      <c r="E22" s="18">
        <f t="shared" si="51"/>
        <v>0</v>
      </c>
      <c r="F22" s="41">
        <f t="shared" si="41"/>
        <v>0</v>
      </c>
      <c r="G22" s="18">
        <f>COUNTIFS($AZ18:$AZ23,$A22,$BG18:$BG23,3)+COUNTIFS($BF18:$BF23,$A22,$BH18:$BH23,3)</f>
        <v>0</v>
      </c>
      <c r="H22" s="18">
        <f>COUNTIFS($AZ18:$AZ23,$A22,$BG18:$BG23,1)+COUNTIFS($BF18:$BF23,$A22,$BH18:$BH23,1)</f>
        <v>0</v>
      </c>
      <c r="I22" s="18">
        <f>COUNTIFS($AZ18:$AZ23,$A22,$BG18:$BG23,0)+COUNTIFS($BF18:$BF23,$A22,$BH18:$BH23,0)</f>
        <v>0</v>
      </c>
      <c r="J22" s="18">
        <f>SUMIF($AZ18:$AZ23,$A22,$BB18:$BB23)+SUMIF($BF18:$BF23,$A22,$BD18:$BD23)</f>
        <v>0</v>
      </c>
      <c r="K22" s="18">
        <f>SUMIF($AZ18:$AZ23,$A22,$BD18:$BD23)+SUMIF($BF18:$BF23,$A22,$BB18:$BB23)</f>
        <v>0</v>
      </c>
      <c r="L22" s="42">
        <f t="shared" si="52"/>
        <v>0</v>
      </c>
      <c r="M22" s="32">
        <f>SUMIF($AZ18:$AZ23,$A22,$BI18:$BI23)+SUMIF($BF18:$BF23,$A22,$BJ18:$BJ23)</f>
        <v>0</v>
      </c>
      <c r="N22" s="43">
        <f>SUMIF($AZ20:$AZ25,$A22,$BK20:$BK25)+SUMIF($BF20:$BF25,$A22,$BL20:$BL25)</f>
        <v>0</v>
      </c>
      <c r="O22" s="44">
        <f>0.002+(E22*10000)+(J22*1000)+(L22*100)-(M22*1)-(N22*5)</f>
        <v>2E-3</v>
      </c>
      <c r="P22" s="1">
        <f>RANK(O22,O20:O23)</f>
        <v>2</v>
      </c>
      <c r="Q22" s="1">
        <f>RANK(L22,L20:L23)</f>
        <v>2</v>
      </c>
      <c r="R22" s="1">
        <f>RANK(J22,J20:J23)</f>
        <v>2</v>
      </c>
      <c r="S22" s="45">
        <f>O22</f>
        <v>2E-3</v>
      </c>
      <c r="T22" s="1" t="str">
        <f>A22</f>
        <v>C3</v>
      </c>
      <c r="U22" s="1">
        <f t="shared" ref="U22:U23" si="54">P22</f>
        <v>2</v>
      </c>
      <c r="V22" s="1" t="str">
        <f>D22</f>
        <v>Benfica</v>
      </c>
      <c r="W22" s="1">
        <f t="shared" si="53"/>
        <v>0</v>
      </c>
      <c r="X22" s="1">
        <f t="shared" si="42"/>
        <v>0</v>
      </c>
      <c r="Y22" s="1">
        <f t="shared" si="43"/>
        <v>0</v>
      </c>
      <c r="Z22" s="1">
        <f t="shared" si="44"/>
        <v>0</v>
      </c>
      <c r="AA22" s="1">
        <f t="shared" si="45"/>
        <v>0</v>
      </c>
      <c r="AB22" s="1">
        <f t="shared" si="46"/>
        <v>0</v>
      </c>
      <c r="AC22" s="1">
        <f t="shared" si="47"/>
        <v>0</v>
      </c>
      <c r="AD22" s="1">
        <f t="shared" si="48"/>
        <v>0</v>
      </c>
      <c r="AE22" s="1">
        <f t="shared" si="49"/>
        <v>0</v>
      </c>
      <c r="AF22" s="1">
        <f t="shared" si="50"/>
        <v>0</v>
      </c>
      <c r="AG22" s="1">
        <f>LARGE(S20:S23,3)</f>
        <v>1E-3</v>
      </c>
      <c r="AH22" s="37" t="str">
        <f>VLOOKUP(AG22,S20:AG23,2,0)</f>
        <v>C4</v>
      </c>
      <c r="AI22" s="37">
        <f>VLOOKUP(AG22,S20:AG23,3,0)</f>
        <v>3</v>
      </c>
      <c r="AJ22" s="46" t="s">
        <v>83</v>
      </c>
      <c r="AK22" s="37" t="str">
        <f>VLOOKUP(AG22,S20:AG23,4,0)</f>
        <v>Boca Juniors</v>
      </c>
      <c r="AL22" s="37">
        <f>VLOOKUP(AG22,S20:AG23,5,0)</f>
        <v>0</v>
      </c>
      <c r="AM22" s="37">
        <f>VLOOKUP(AG22,S20:AG23,6,0)</f>
        <v>0</v>
      </c>
      <c r="AN22" s="37">
        <f>VLOOKUP(AG22,S20:AG23,7,0)</f>
        <v>0</v>
      </c>
      <c r="AO22" s="37">
        <f>VLOOKUP(AG22,S20:AG23,8,0)</f>
        <v>0</v>
      </c>
      <c r="AP22" s="37">
        <f>VLOOKUP(AG22,S20:AG23,9,0)</f>
        <v>0</v>
      </c>
      <c r="AQ22" s="37">
        <f>VLOOKUP(AG22,S20:AG23,10,0)</f>
        <v>0</v>
      </c>
      <c r="AR22" s="37">
        <f>VLOOKUP(AG22,S20:AG23,11,0)</f>
        <v>0</v>
      </c>
      <c r="AS22" s="37">
        <f>VLOOKUP(AG22,S20:AG23,12,0)</f>
        <v>0</v>
      </c>
      <c r="AT22" s="38">
        <f>VLOOKUP(AG22,S20:AG23,13,0)</f>
        <v>0</v>
      </c>
      <c r="AU22" s="39">
        <f>VLOOKUP(AG22,S20:AG23,14,0)</f>
        <v>0</v>
      </c>
      <c r="AV22" s="31"/>
      <c r="AW22" s="9">
        <v>24</v>
      </c>
      <c r="AX22" s="9" t="s">
        <v>90</v>
      </c>
      <c r="AY22" s="10">
        <v>0.87499999999995304</v>
      </c>
      <c r="AZ22" t="s">
        <v>39</v>
      </c>
      <c r="BA22" s="1" t="str">
        <f>IFERROR(INDEX(Equipe!B:B,MATCH(AZ22,Equipe!A:A,0)),"")</f>
        <v>Auckland City</v>
      </c>
      <c r="BC22" s="17" t="s">
        <v>83</v>
      </c>
      <c r="BD22" s="19"/>
      <c r="BE22" s="1" t="str">
        <f>IFERROR(INDEX(Equipe!B:B,MATCH(BF22,Equipe!A:A,0)),"")</f>
        <v>Boca Juniors</v>
      </c>
      <c r="BF22" s="47" t="s">
        <v>42</v>
      </c>
      <c r="BG22" s="2" t="str">
        <f t="shared" si="39"/>
        <v/>
      </c>
      <c r="BH22" t="str">
        <f t="shared" si="40"/>
        <v/>
      </c>
      <c r="BI22" s="20"/>
      <c r="BJ22" s="20"/>
      <c r="BK22" s="21"/>
      <c r="BL22" s="21"/>
      <c r="BT22" s="17" t="s">
        <v>105</v>
      </c>
    </row>
    <row r="23" spans="1:72" ht="15.75">
      <c r="A23" t="s">
        <v>42</v>
      </c>
      <c r="B23" s="34" t="s">
        <v>95</v>
      </c>
      <c r="C23" s="1">
        <v>4</v>
      </c>
      <c r="D23" t="str">
        <f>IFERROR(INDEX(Equipe!B:B,MATCH(A23,Equipe!A:A,0)),"")</f>
        <v>Boca Juniors</v>
      </c>
      <c r="E23" s="18">
        <f t="shared" si="51"/>
        <v>0</v>
      </c>
      <c r="F23" s="41">
        <f t="shared" si="41"/>
        <v>0</v>
      </c>
      <c r="G23" s="18">
        <f>COUNTIFS($AZ18:$AZ23,$A23,$BG18:$BG23,3)+COUNTIFS($BF18:$BF23,$A23,$BH18:$BH23,3)</f>
        <v>0</v>
      </c>
      <c r="H23" s="18">
        <f>COUNTIFS($AZ18:$AZ23,$A23,$BG18:$BG23,1)+COUNTIFS($BF18:$BF23,$A23,$BH18:$BH23,1)</f>
        <v>0</v>
      </c>
      <c r="I23" s="18">
        <f>COUNTIFS($AZ18:$AZ23,$A23,$BG18:$BG23,0)+COUNTIFS($BF18:$BF23,$A23,$BH18:$BH23,0)</f>
        <v>0</v>
      </c>
      <c r="J23" s="18">
        <f>SUMIF($AZ18:$AZ23,$A23,$BB18:$BB23)+SUMIF($BF18:$BF23,$A23,$BD18:$BD23)</f>
        <v>0</v>
      </c>
      <c r="K23" s="18">
        <f>SUMIF($AZ18:$AZ23,$A23,$BD18:$BD23)+SUMIF($BF18:$BF23,$A23,$BB18:$BB23)</f>
        <v>0</v>
      </c>
      <c r="L23" s="42">
        <f t="shared" si="52"/>
        <v>0</v>
      </c>
      <c r="M23" s="32">
        <f>SUMIF($AZ18:$AZ23,$A23,$BI18:$BI23)+SUMIF($BF18:$BF23,$A23,$BJ18:$BJ23)</f>
        <v>0</v>
      </c>
      <c r="N23" s="43">
        <f>SUMIF($AZ21:$AZ26,$A23,$BK21:$BK26)+SUMIF($BF21:$BF26,$A23,$BL21:$BL26)</f>
        <v>0</v>
      </c>
      <c r="O23" s="44">
        <f>0.001+(E23*10000)+(J23*1000)+(L23*100)-(M23*1)-(N23*5)</f>
        <v>1E-3</v>
      </c>
      <c r="P23" s="1">
        <f>RANK(O23,O20:O23)</f>
        <v>3</v>
      </c>
      <c r="Q23" s="1">
        <f>RANK(L23,L20:L23)</f>
        <v>2</v>
      </c>
      <c r="R23" s="1">
        <f>RANK(J23,J20:J23)</f>
        <v>2</v>
      </c>
      <c r="S23" s="45">
        <f>O23</f>
        <v>1E-3</v>
      </c>
      <c r="T23" s="1" t="str">
        <f>A23</f>
        <v>C4</v>
      </c>
      <c r="U23" s="1">
        <f t="shared" si="54"/>
        <v>3</v>
      </c>
      <c r="V23" s="1" t="str">
        <f>D23</f>
        <v>Boca Juniors</v>
      </c>
      <c r="W23" s="1">
        <f t="shared" si="53"/>
        <v>0</v>
      </c>
      <c r="X23" s="1">
        <f t="shared" si="42"/>
        <v>0</v>
      </c>
      <c r="Y23" s="1">
        <f t="shared" si="43"/>
        <v>0</v>
      </c>
      <c r="Z23" s="1">
        <f t="shared" si="44"/>
        <v>0</v>
      </c>
      <c r="AA23" s="1">
        <f t="shared" si="45"/>
        <v>0</v>
      </c>
      <c r="AB23" s="1">
        <f t="shared" si="46"/>
        <v>0</v>
      </c>
      <c r="AC23" s="1">
        <f t="shared" si="47"/>
        <v>0</v>
      </c>
      <c r="AD23" s="1">
        <f t="shared" si="48"/>
        <v>0</v>
      </c>
      <c r="AE23" s="1">
        <f t="shared" si="49"/>
        <v>0</v>
      </c>
      <c r="AF23" s="1">
        <f t="shared" si="50"/>
        <v>0</v>
      </c>
      <c r="AG23" s="1">
        <f>LARGE(S20:S23,4)</f>
        <v>-999.99599999999998</v>
      </c>
      <c r="AH23" s="37" t="str">
        <f>VLOOKUP(AG23,S20:AG23,2,0)</f>
        <v>C1</v>
      </c>
      <c r="AI23" s="37">
        <f>VLOOKUP(AG23,S20:AG23,3,0)</f>
        <v>4</v>
      </c>
      <c r="AJ23" s="46" t="s">
        <v>83</v>
      </c>
      <c r="AK23" s="37" t="str">
        <f>VLOOKUP(AG23,S20:AG23,4,0)</f>
        <v>Auckland City</v>
      </c>
      <c r="AL23" s="37">
        <f>VLOOKUP(AG23,S20:AG23,5,0)</f>
        <v>0</v>
      </c>
      <c r="AM23" s="37">
        <f>VLOOKUP(AG23,S20:AG23,6,0)</f>
        <v>1</v>
      </c>
      <c r="AN23" s="37">
        <f>VLOOKUP(AG23,S20:AG23,7,0)</f>
        <v>0</v>
      </c>
      <c r="AO23" s="37">
        <f>VLOOKUP(AG23,S20:AG23,8,0)</f>
        <v>0</v>
      </c>
      <c r="AP23" s="37">
        <f>VLOOKUP(AG23,S20:AG23,9,0)</f>
        <v>1</v>
      </c>
      <c r="AQ23" s="37">
        <f>VLOOKUP(AG23,S20:AG23,10,0)</f>
        <v>0</v>
      </c>
      <c r="AR23" s="37">
        <f>VLOOKUP(AG23,S20:AG23,11,0)</f>
        <v>10</v>
      </c>
      <c r="AS23" s="37">
        <f>VLOOKUP(AG23,S20:AG23,12,0)</f>
        <v>-10</v>
      </c>
      <c r="AT23" s="38">
        <f>VLOOKUP(AG23,S20:AG23,13,0)</f>
        <v>0</v>
      </c>
      <c r="AU23" s="39">
        <f>VLOOKUP(AG23,S20:AG23,14,0)</f>
        <v>0</v>
      </c>
      <c r="AV23" s="31"/>
      <c r="AW23" s="6">
        <v>24</v>
      </c>
      <c r="AX23" s="6" t="s">
        <v>90</v>
      </c>
      <c r="AY23" s="8">
        <v>0.87499999999995304</v>
      </c>
      <c r="AZ23" s="3" t="s">
        <v>41</v>
      </c>
      <c r="BA23" s="4" t="str">
        <f>IFERROR(INDEX(Equipe!B:B,MATCH(AZ23,Equipe!A:A,0)),"")</f>
        <v>Benfica</v>
      </c>
      <c r="BB23" s="23"/>
      <c r="BC23" s="22" t="s">
        <v>83</v>
      </c>
      <c r="BD23" s="23"/>
      <c r="BE23" s="4" t="str">
        <f>IFERROR(INDEX(Equipe!B:B,MATCH(BF23,Equipe!A:A,0)),"")</f>
        <v>Bayern Munich</v>
      </c>
      <c r="BF23" s="48" t="s">
        <v>40</v>
      </c>
      <c r="BG23" s="2" t="str">
        <f t="shared" si="39"/>
        <v/>
      </c>
      <c r="BH23" t="str">
        <f t="shared" si="40"/>
        <v/>
      </c>
      <c r="BI23" s="20"/>
      <c r="BJ23" s="20"/>
      <c r="BK23" s="21"/>
      <c r="BL23" s="21"/>
    </row>
    <row r="25" spans="1:72" ht="18">
      <c r="AH25" s="51" t="s">
        <v>92</v>
      </c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24"/>
      <c r="AX25" s="24"/>
      <c r="AY25" s="25"/>
      <c r="BB25" s="52" t="s">
        <v>84</v>
      </c>
      <c r="BC25" s="52"/>
      <c r="BD25" s="52"/>
      <c r="BI25" s="53" t="s">
        <v>85</v>
      </c>
      <c r="BJ25" s="53"/>
      <c r="BK25" s="54" t="s">
        <v>86</v>
      </c>
      <c r="BL25" s="54"/>
    </row>
    <row r="26" spans="1:72">
      <c r="B26" s="26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27"/>
      <c r="N26" s="27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9"/>
      <c r="AG26" s="29"/>
      <c r="AH26" s="30"/>
      <c r="AI26" s="55" t="s">
        <v>63</v>
      </c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18"/>
      <c r="AU26" s="18"/>
      <c r="AV26" s="31"/>
      <c r="AW26" s="9">
        <v>16</v>
      </c>
      <c r="AX26" s="9" t="s">
        <v>90</v>
      </c>
      <c r="AY26" s="10">
        <v>0.87499999999995304</v>
      </c>
      <c r="AZ26" t="s">
        <v>43</v>
      </c>
      <c r="BA26" s="1" t="str">
        <f>IFERROR(INDEX(Equipe!B:B,MATCH(AZ26,Equipe!A:A,0)),"")</f>
        <v>Chelsea</v>
      </c>
      <c r="BC26" s="17" t="s">
        <v>83</v>
      </c>
      <c r="BD26" s="19"/>
      <c r="BE26" s="1" t="str">
        <f>IFERROR(INDEX(Equipe!B:B,MATCH(BF26,Equipe!A:A,0)),"")</f>
        <v>Los Angeles FC</v>
      </c>
      <c r="BF26" s="47" t="s">
        <v>46</v>
      </c>
      <c r="BG26" s="2" t="str">
        <f>IF(BB26="","",IF(BB26&gt;BD26,3,IF(BB26=BD26,1,IF(BB26&lt;BD26,IF(BD26="",3,0)))))</f>
        <v/>
      </c>
      <c r="BH26" t="str">
        <f>IF(BD26="","",IF(BD26&gt;BB26,3,IF(BD26=BB26,1,IF(BD26&lt;BB26,IF(BB26="",3,0)))))</f>
        <v/>
      </c>
      <c r="BI26" s="20"/>
      <c r="BJ26" s="20"/>
      <c r="BK26" s="21"/>
      <c r="BL26" s="21"/>
    </row>
    <row r="27" spans="1:72" ht="15.75">
      <c r="B27" s="26"/>
      <c r="C27" s="18"/>
      <c r="D27" s="30"/>
      <c r="E27" s="18" t="s">
        <v>64</v>
      </c>
      <c r="F27" s="18" t="s">
        <v>65</v>
      </c>
      <c r="G27" s="18" t="s">
        <v>66</v>
      </c>
      <c r="H27" s="18" t="s">
        <v>67</v>
      </c>
      <c r="I27" s="18" t="s">
        <v>68</v>
      </c>
      <c r="J27" s="18" t="s">
        <v>69</v>
      </c>
      <c r="K27" s="18" t="s">
        <v>70</v>
      </c>
      <c r="L27" s="18" t="s">
        <v>71</v>
      </c>
      <c r="M27" s="32" t="s">
        <v>85</v>
      </c>
      <c r="N27" s="33" t="s">
        <v>86</v>
      </c>
      <c r="O27" s="28"/>
      <c r="P27" s="1" t="s">
        <v>72</v>
      </c>
      <c r="Q27" s="1" t="s">
        <v>73</v>
      </c>
      <c r="R27" s="1" t="s">
        <v>74</v>
      </c>
      <c r="S27" t="s">
        <v>75</v>
      </c>
      <c r="T27" t="s">
        <v>76</v>
      </c>
      <c r="U27" s="1" t="s">
        <v>77</v>
      </c>
      <c r="V27" s="1" t="s">
        <v>78</v>
      </c>
      <c r="W27" s="1" t="s">
        <v>79</v>
      </c>
      <c r="X27" s="1" t="s">
        <v>65</v>
      </c>
      <c r="Y27" s="1" t="s">
        <v>66</v>
      </c>
      <c r="Z27" s="1" t="s">
        <v>67</v>
      </c>
      <c r="AA27" s="1" t="s">
        <v>68</v>
      </c>
      <c r="AB27" s="1" t="s">
        <v>80</v>
      </c>
      <c r="AC27" s="1" t="s">
        <v>81</v>
      </c>
      <c r="AD27" s="34" t="s">
        <v>71</v>
      </c>
      <c r="AE27" s="34" t="s">
        <v>85</v>
      </c>
      <c r="AF27" s="35" t="s">
        <v>86</v>
      </c>
      <c r="AG27" s="35"/>
      <c r="AH27" s="18"/>
      <c r="AI27" s="18"/>
      <c r="AJ27" s="36"/>
      <c r="AK27" s="18"/>
      <c r="AL27" s="18" t="s">
        <v>64</v>
      </c>
      <c r="AM27" s="18" t="s">
        <v>65</v>
      </c>
      <c r="AN27" s="18" t="s">
        <v>66</v>
      </c>
      <c r="AO27" s="18" t="s">
        <v>67</v>
      </c>
      <c r="AP27" s="18" t="s">
        <v>68</v>
      </c>
      <c r="AQ27" s="18" t="s">
        <v>69</v>
      </c>
      <c r="AR27" s="18" t="s">
        <v>70</v>
      </c>
      <c r="AS27" s="37" t="s">
        <v>71</v>
      </c>
      <c r="AT27" s="38" t="s">
        <v>85</v>
      </c>
      <c r="AU27" s="39" t="s">
        <v>86</v>
      </c>
      <c r="AV27" s="40"/>
      <c r="AW27" s="6">
        <v>17</v>
      </c>
      <c r="AX27" s="6" t="s">
        <v>90</v>
      </c>
      <c r="AY27" s="8">
        <v>0.125</v>
      </c>
      <c r="AZ27" s="3" t="s">
        <v>45</v>
      </c>
      <c r="BA27" s="4" t="str">
        <f>IFERROR(INDEX(Equipe!B:B,MATCH(AZ27,Equipe!A:A,0)),"")</f>
        <v>Flamengo</v>
      </c>
      <c r="BB27" s="23"/>
      <c r="BC27" s="22" t="s">
        <v>83</v>
      </c>
      <c r="BD27" s="23"/>
      <c r="BE27" s="4" t="str">
        <f>IFERROR(INDEX(Equipe!B:B,MATCH(BF27,Equipe!A:A,0)),"")</f>
        <v>Es Tunis</v>
      </c>
      <c r="BF27" s="48" t="s">
        <v>44</v>
      </c>
      <c r="BG27" s="2" t="str">
        <f t="shared" ref="BG27:BG31" si="55">IF(BB27="","",IF(BB27&gt;BD27,3,IF(BB27=BD27,1,IF(BB27&lt;BD27,IF(BD27="",3,0)))))</f>
        <v/>
      </c>
      <c r="BH27" t="str">
        <f t="shared" ref="BH27:BH31" si="56">IF(BD27="","",IF(BD27&gt;BB27,3,IF(BD27=BB27,1,IF(BD27&lt;BB27,IF(BB27="",3,0)))))</f>
        <v/>
      </c>
      <c r="BI27" s="20"/>
      <c r="BJ27" s="20"/>
      <c r="BK27" s="21"/>
      <c r="BL27" s="21"/>
    </row>
    <row r="28" spans="1:72" ht="15.75">
      <c r="A28" t="s">
        <v>43</v>
      </c>
      <c r="B28" s="34" t="s">
        <v>82</v>
      </c>
      <c r="C28" s="1">
        <v>1</v>
      </c>
      <c r="D28" t="str">
        <f>IFERROR(INDEX(Equipe!B:B,MATCH(A28,Equipe!A:A,0)),"")</f>
        <v>Chelsea</v>
      </c>
      <c r="E28" s="18">
        <f>(G28*3)+H28</f>
        <v>0</v>
      </c>
      <c r="F28" s="41">
        <f t="shared" ref="F28:F31" si="57">G28+H28+I28</f>
        <v>0</v>
      </c>
      <c r="G28" s="18">
        <f>COUNTIFS($AZ26:$AZ31,$A28,$BG26:$BG31,3)+COUNTIFS($BF26:$BF31,$A28,$BH26:$BH31,3)</f>
        <v>0</v>
      </c>
      <c r="H28" s="18">
        <f>COUNTIFS($AZ26:$AZ31,$A28,$BG26:$BG31,1)+COUNTIFS($BF26:$BF31,$A28,$BH26:$BH31,1)</f>
        <v>0</v>
      </c>
      <c r="I28" s="18">
        <f>COUNTIFS($AZ26:$AZ31,$A28,$BG26:$BG31,0)+COUNTIFS($BF26:$BF31,$A28,$BH26:$BH31,0)</f>
        <v>0</v>
      </c>
      <c r="J28" s="18">
        <f>SUMIF($AZ26:$AZ31,$A28,$BB26:$BB31)+SUMIF($BF26:$BF31,$A28,$BD26:$BD31)</f>
        <v>0</v>
      </c>
      <c r="K28" s="18">
        <f>SUMIF($AZ26:$AZ31,$A28,$BD26:$BD31)+SUMIF($BF26:$BF31,$A28,$BB26:$BB31)</f>
        <v>0</v>
      </c>
      <c r="L28" s="42">
        <f>J28-K28</f>
        <v>0</v>
      </c>
      <c r="M28" s="32">
        <f>SUMIF($AZ26:$AZ31,$A28,$BI26:$BI31)+SUMIF($BF26:$BF31,$A28,$BJ26:$BJ31)</f>
        <v>0</v>
      </c>
      <c r="N28" s="43">
        <f>SUMIF($AZ26:$AZ31,$A28,$BK26:$BK31)+SUMIF($BF26:$BF31,$A28,$BL26:$BL31)</f>
        <v>0</v>
      </c>
      <c r="O28" s="44">
        <f>0.004+(E28*10000)+(J28*1000)+(L28*100)-(M28*1)-(N28*5)</f>
        <v>4.0000000000000001E-3</v>
      </c>
      <c r="P28" s="1">
        <f>RANK(O28,O28:O31)</f>
        <v>1</v>
      </c>
      <c r="Q28" s="1">
        <f>RANK(L28,L$12:L31)</f>
        <v>4</v>
      </c>
      <c r="R28" s="1">
        <f>RANK(J28,J28:J31)</f>
        <v>1</v>
      </c>
      <c r="S28" s="45">
        <f>O28</f>
        <v>4.0000000000000001E-3</v>
      </c>
      <c r="T28" s="1" t="str">
        <f>A28</f>
        <v>D1</v>
      </c>
      <c r="U28" s="1">
        <f>P28</f>
        <v>1</v>
      </c>
      <c r="V28" s="1" t="str">
        <f>D28</f>
        <v>Chelsea</v>
      </c>
      <c r="W28" s="1">
        <f>E28</f>
        <v>0</v>
      </c>
      <c r="X28" s="1">
        <f t="shared" ref="X28:X31" si="58">F28</f>
        <v>0</v>
      </c>
      <c r="Y28" s="1">
        <f t="shared" ref="Y28:Y31" si="59">G28</f>
        <v>0</v>
      </c>
      <c r="Z28" s="1">
        <f t="shared" ref="Z28:Z31" si="60">H28</f>
        <v>0</v>
      </c>
      <c r="AA28" s="1">
        <f t="shared" ref="AA28:AA31" si="61">I28</f>
        <v>0</v>
      </c>
      <c r="AB28" s="1">
        <f t="shared" ref="AB28:AB31" si="62">J28</f>
        <v>0</v>
      </c>
      <c r="AC28" s="1">
        <f t="shared" ref="AC28:AC31" si="63">K28</f>
        <v>0</v>
      </c>
      <c r="AD28" s="1">
        <f t="shared" ref="AD28:AD31" si="64">L28</f>
        <v>0</v>
      </c>
      <c r="AE28" s="1">
        <f t="shared" ref="AE28:AE31" si="65">M28</f>
        <v>0</v>
      </c>
      <c r="AF28" s="1">
        <f t="shared" ref="AF28:AF31" si="66">N28</f>
        <v>0</v>
      </c>
      <c r="AG28" s="1">
        <f>LARGE(S28:S31,1)</f>
        <v>4.0000000000000001E-3</v>
      </c>
      <c r="AH28" s="37" t="str">
        <f>VLOOKUP(AG28,S28:AG31,2,0)</f>
        <v>D1</v>
      </c>
      <c r="AI28" s="37">
        <f>VLOOKUP(AG28,S28:AG31,3,0)</f>
        <v>1</v>
      </c>
      <c r="AJ28" s="46" t="s">
        <v>83</v>
      </c>
      <c r="AK28" s="37" t="str">
        <f>VLOOKUP(AG28,S28:AG31,4,0)</f>
        <v>Chelsea</v>
      </c>
      <c r="AL28" s="37">
        <f>VLOOKUP(AG28,S28:AG31,5,0)</f>
        <v>0</v>
      </c>
      <c r="AM28" s="37">
        <f>VLOOKUP(AG28,S28:AG31,6,0)</f>
        <v>0</v>
      </c>
      <c r="AN28" s="37">
        <f>VLOOKUP(AG28,S28:AG31,7,0)</f>
        <v>0</v>
      </c>
      <c r="AO28" s="37">
        <f>VLOOKUP(AG28,S28:AG31,8,0)</f>
        <v>0</v>
      </c>
      <c r="AP28" s="37">
        <f>VLOOKUP(AG28,S28:AG31,9,0)</f>
        <v>0</v>
      </c>
      <c r="AQ28" s="37">
        <f>VLOOKUP(AG28,S28:AG31,10,0)</f>
        <v>0</v>
      </c>
      <c r="AR28" s="37">
        <f>VLOOKUP(AG28,S28:AG31,11,0)</f>
        <v>0</v>
      </c>
      <c r="AS28" s="37">
        <f>VLOOKUP(AG28,S28:AG31,12,0)</f>
        <v>0</v>
      </c>
      <c r="AT28" s="38">
        <f>VLOOKUP(AG28,S28:AG31,13,0)</f>
        <v>0</v>
      </c>
      <c r="AU28" s="39">
        <f>VLOOKUP(AG28,S28:AG31,14,0)</f>
        <v>0</v>
      </c>
      <c r="AV28" s="31"/>
      <c r="AW28" s="9">
        <v>20</v>
      </c>
      <c r="AX28" s="9" t="s">
        <v>90</v>
      </c>
      <c r="AY28" s="10">
        <v>0.83333333333328896</v>
      </c>
      <c r="AZ28" t="s">
        <v>45</v>
      </c>
      <c r="BA28" s="1" t="str">
        <f>IFERROR(INDEX(Equipe!B:B,MATCH(AZ28,Equipe!A:A,0)),"")</f>
        <v>Flamengo</v>
      </c>
      <c r="BC28" s="17" t="s">
        <v>83</v>
      </c>
      <c r="BD28" s="19"/>
      <c r="BE28" s="1" t="str">
        <f>IFERROR(INDEX(Equipe!B:B,MATCH(BF28,Equipe!A:A,0)),"")</f>
        <v>Chelsea</v>
      </c>
      <c r="BF28" s="47" t="s">
        <v>43</v>
      </c>
      <c r="BG28" s="2" t="str">
        <f t="shared" si="55"/>
        <v/>
      </c>
      <c r="BH28" t="str">
        <f t="shared" si="56"/>
        <v/>
      </c>
      <c r="BI28" s="20"/>
      <c r="BJ28" s="20"/>
      <c r="BK28" s="21"/>
      <c r="BL28" s="21"/>
    </row>
    <row r="29" spans="1:72" ht="15.75">
      <c r="A29" t="s">
        <v>44</v>
      </c>
      <c r="B29" s="34" t="s">
        <v>82</v>
      </c>
      <c r="C29" s="1">
        <v>2</v>
      </c>
      <c r="D29" t="str">
        <f>IFERROR(INDEX(Equipe!B:B,MATCH(A29,Equipe!A:A,0)),"")</f>
        <v>Es Tunis</v>
      </c>
      <c r="E29" s="18">
        <f t="shared" ref="E29:E31" si="67">(G29*3)+H29</f>
        <v>0</v>
      </c>
      <c r="F29" s="41">
        <f t="shared" si="57"/>
        <v>0</v>
      </c>
      <c r="G29" s="18">
        <f>COUNTIFS($AZ26:$AZ31,$A29,$BG26:$BG31,3)+COUNTIFS($BF26:$BF31,$A29,$BH26:$BH31,3)</f>
        <v>0</v>
      </c>
      <c r="H29" s="18">
        <f>COUNTIFS($AZ26:$AZ31,$A29,$BG26:$BG31,1)+COUNTIFS($BF26:$BF31,$A29,$BH26:$BH31,1)</f>
        <v>0</v>
      </c>
      <c r="I29" s="18">
        <f>COUNTIFS($AZ26:$AZ31,$A29,$BG26:$BG31,0)+COUNTIFS($BF26:$BF31,$A29,$BH26:$BH31,0)</f>
        <v>0</v>
      </c>
      <c r="J29" s="18">
        <f>SUMIF($AZ26:$AZ31,$A29,$BB26:$BB31)+SUMIF($BF26:$BF31,$A29,$BD26:$BD31)</f>
        <v>0</v>
      </c>
      <c r="K29" s="18">
        <f>SUMIF($AZ26:$AZ31,$A29,$BD26:$BD31)+SUMIF($BF26:$BF31,$A29,$BB26:$BB31)</f>
        <v>0</v>
      </c>
      <c r="L29" s="42">
        <f t="shared" ref="L29:L31" si="68">J29-K29</f>
        <v>0</v>
      </c>
      <c r="M29" s="32">
        <f>SUMIF($AZ26:$AZ31,$A29,$BI26:$BI31)+SUMIF($BF26:$BF31,$A29,$BJ26:$BJ31)</f>
        <v>0</v>
      </c>
      <c r="N29" s="43">
        <f>SUMIF($AZ27:$AZ32,$A29,$BK27:$BK32)+SUMIF($BF27:$BF32,$A29,$BL27:$BL32)</f>
        <v>0</v>
      </c>
      <c r="O29" s="44">
        <f>0.002+(E29*10000)+(J29*1000)+(L29*100)-(M29*1)-(N29*5)</f>
        <v>2E-3</v>
      </c>
      <c r="P29" s="1">
        <f>RANK(O29,O28:O31)</f>
        <v>3</v>
      </c>
      <c r="Q29" s="1">
        <f>RANK(L29,L28:L31)</f>
        <v>1</v>
      </c>
      <c r="R29" s="1">
        <f>RANK(J29,J28:J31)</f>
        <v>1</v>
      </c>
      <c r="S29" s="45">
        <f>O29</f>
        <v>2E-3</v>
      </c>
      <c r="T29" s="1" t="str">
        <f>A29</f>
        <v>D2</v>
      </c>
      <c r="U29" s="1">
        <f>P29</f>
        <v>3</v>
      </c>
      <c r="V29" s="1" t="str">
        <f>D29</f>
        <v>Es Tunis</v>
      </c>
      <c r="W29" s="1">
        <f t="shared" ref="W29:W31" si="69">E29</f>
        <v>0</v>
      </c>
      <c r="X29" s="1">
        <f t="shared" si="58"/>
        <v>0</v>
      </c>
      <c r="Y29" s="1">
        <f t="shared" si="59"/>
        <v>0</v>
      </c>
      <c r="Z29" s="1">
        <f t="shared" si="60"/>
        <v>0</v>
      </c>
      <c r="AA29" s="1">
        <f t="shared" si="61"/>
        <v>0</v>
      </c>
      <c r="AB29" s="1">
        <f t="shared" si="62"/>
        <v>0</v>
      </c>
      <c r="AC29" s="1">
        <f t="shared" si="63"/>
        <v>0</v>
      </c>
      <c r="AD29" s="1">
        <f t="shared" si="64"/>
        <v>0</v>
      </c>
      <c r="AE29" s="1">
        <f t="shared" si="65"/>
        <v>0</v>
      </c>
      <c r="AF29" s="1">
        <f t="shared" si="66"/>
        <v>0</v>
      </c>
      <c r="AG29" s="1">
        <f>LARGE(S28:S31,2)</f>
        <v>3.0000000000000001E-3</v>
      </c>
      <c r="AH29" s="37" t="str">
        <f>VLOOKUP(AG29,S28:AG31,2,0)</f>
        <v>D4</v>
      </c>
      <c r="AI29" s="37">
        <f>VLOOKUP(AG29,S28:AG31,3,0)</f>
        <v>2</v>
      </c>
      <c r="AJ29" s="46" t="s">
        <v>83</v>
      </c>
      <c r="AK29" s="37" t="str">
        <f>VLOOKUP(AG29,S28:AG31,4,0)</f>
        <v>Los Angeles FC</v>
      </c>
      <c r="AL29" s="37">
        <f>VLOOKUP(AG29,S28:AG31,5,0)</f>
        <v>0</v>
      </c>
      <c r="AM29" s="37">
        <f>VLOOKUP(AG29,S28:AG31,6,0)</f>
        <v>0</v>
      </c>
      <c r="AN29" s="37">
        <f>VLOOKUP(AG29,S28:AG31,7,0)</f>
        <v>0</v>
      </c>
      <c r="AO29" s="37">
        <f>VLOOKUP(AG29,S28:AG31,8,0)</f>
        <v>0</v>
      </c>
      <c r="AP29" s="37">
        <f>VLOOKUP(AG29,S28:AG31,9,0)</f>
        <v>0</v>
      </c>
      <c r="AQ29" s="37">
        <f>VLOOKUP(AG29,S28:AG31,10,0)</f>
        <v>0</v>
      </c>
      <c r="AR29" s="37">
        <f>VLOOKUP(AG29,S28:AG31,11,0)</f>
        <v>0</v>
      </c>
      <c r="AS29" s="37">
        <f>VLOOKUP(AG29,S28:AG31,12,0)</f>
        <v>0</v>
      </c>
      <c r="AT29" s="38">
        <f>VLOOKUP(AG29,S28:AG31,13,0)</f>
        <v>0</v>
      </c>
      <c r="AU29" s="39">
        <f>VLOOKUP(AG29,S28:AG31,14,0)</f>
        <v>0</v>
      </c>
      <c r="AV29" s="31"/>
      <c r="AW29" s="6">
        <v>21</v>
      </c>
      <c r="AX29" s="6" t="s">
        <v>90</v>
      </c>
      <c r="AY29" s="8">
        <v>0</v>
      </c>
      <c r="AZ29" s="3" t="s">
        <v>46</v>
      </c>
      <c r="BA29" s="4" t="str">
        <f>IFERROR(INDEX(Equipe!B:B,MATCH(AZ29,Equipe!A:A,0)),"")</f>
        <v>Los Angeles FC</v>
      </c>
      <c r="BB29" s="23"/>
      <c r="BC29" s="22" t="s">
        <v>83</v>
      </c>
      <c r="BD29" s="23"/>
      <c r="BE29" s="4" t="str">
        <f>IFERROR(INDEX(Equipe!B:B,MATCH(BF29,Equipe!A:A,0)),"")</f>
        <v>Es Tunis</v>
      </c>
      <c r="BF29" s="48" t="s">
        <v>44</v>
      </c>
      <c r="BG29" s="2" t="str">
        <f t="shared" si="55"/>
        <v/>
      </c>
      <c r="BH29" t="str">
        <f t="shared" si="56"/>
        <v/>
      </c>
      <c r="BI29" s="20"/>
      <c r="BJ29" s="20"/>
      <c r="BK29" s="21"/>
      <c r="BL29" s="21"/>
    </row>
    <row r="30" spans="1:72" ht="15.75">
      <c r="A30" t="s">
        <v>45</v>
      </c>
      <c r="B30" s="34" t="s">
        <v>95</v>
      </c>
      <c r="C30" s="1">
        <v>3</v>
      </c>
      <c r="D30" t="str">
        <f>IFERROR(INDEX(Equipe!B:B,MATCH(A30,Equipe!A:A,0)),"")</f>
        <v>Flamengo</v>
      </c>
      <c r="E30" s="18">
        <f t="shared" si="67"/>
        <v>0</v>
      </c>
      <c r="F30" s="41">
        <f t="shared" si="57"/>
        <v>0</v>
      </c>
      <c r="G30" s="18">
        <f>COUNTIFS($AZ26:$AZ31,$A30,$BG26:$BG31,3)+COUNTIFS($BF26:$BF31,$A30,$BH26:$BH31,3)</f>
        <v>0</v>
      </c>
      <c r="H30" s="18">
        <f>COUNTIFS($AZ26:$AZ31,$A30,$BG26:$BG31,1)+COUNTIFS($BF26:$BF31,$A30,$BH26:$BH31,1)</f>
        <v>0</v>
      </c>
      <c r="I30" s="18">
        <f>COUNTIFS($AZ26:$AZ31,$A30,$BG26:$BG31,0)+COUNTIFS($BF26:$BF31,$A30,$BH26:$BH31,0)</f>
        <v>0</v>
      </c>
      <c r="J30" s="18">
        <f>SUMIF($AZ26:$AZ31,$A30,$BB26:$BB31)+SUMIF($BF26:$BF31,$A30,$BD26:$BD31)</f>
        <v>0</v>
      </c>
      <c r="K30" s="18">
        <f>SUMIF($AZ26:$AZ31,$A30,$BD26:$BD31)+SUMIF($BF26:$BF31,$A30,$BB26:$BB31)</f>
        <v>0</v>
      </c>
      <c r="L30" s="42">
        <f t="shared" si="68"/>
        <v>0</v>
      </c>
      <c r="M30" s="32">
        <f>SUMIF($AZ26:$AZ31,$A30,$BI26:$BI31)+SUMIF($BF26:$BF31,$A30,$BJ26:$BJ31)</f>
        <v>0</v>
      </c>
      <c r="N30" s="43">
        <f>SUMIF($AZ28:$AZ33,$A30,$BK28:$BK33)+SUMIF($BF28:$BF33,$A30,$BL28:$BL33)</f>
        <v>0</v>
      </c>
      <c r="O30" s="44">
        <f>0.001+(E30*10000)+(J30*1000)+(L30*100)-(M30*1)-(N30*5)</f>
        <v>1E-3</v>
      </c>
      <c r="P30" s="1">
        <f>RANK(O30,O28:O31)</f>
        <v>4</v>
      </c>
      <c r="Q30" s="1">
        <f>RANK(L30,L28:L31)</f>
        <v>1</v>
      </c>
      <c r="R30" s="1">
        <f>RANK(J30,J28:J31)</f>
        <v>1</v>
      </c>
      <c r="S30" s="45">
        <f>O30</f>
        <v>1E-3</v>
      </c>
      <c r="T30" s="1" t="str">
        <f>A30</f>
        <v>D3</v>
      </c>
      <c r="U30" s="1">
        <f t="shared" ref="U30:U31" si="70">P30</f>
        <v>4</v>
      </c>
      <c r="V30" s="1" t="str">
        <f>D30</f>
        <v>Flamengo</v>
      </c>
      <c r="W30" s="1">
        <f t="shared" si="69"/>
        <v>0</v>
      </c>
      <c r="X30" s="1">
        <f t="shared" si="58"/>
        <v>0</v>
      </c>
      <c r="Y30" s="1">
        <f t="shared" si="59"/>
        <v>0</v>
      </c>
      <c r="Z30" s="1">
        <f t="shared" si="60"/>
        <v>0</v>
      </c>
      <c r="AA30" s="1">
        <f t="shared" si="61"/>
        <v>0</v>
      </c>
      <c r="AB30" s="1">
        <f t="shared" si="62"/>
        <v>0</v>
      </c>
      <c r="AC30" s="1">
        <f t="shared" si="63"/>
        <v>0</v>
      </c>
      <c r="AD30" s="1">
        <f t="shared" si="64"/>
        <v>0</v>
      </c>
      <c r="AE30" s="1">
        <f t="shared" si="65"/>
        <v>0</v>
      </c>
      <c r="AF30" s="1">
        <f t="shared" si="66"/>
        <v>0</v>
      </c>
      <c r="AG30" s="1">
        <f>LARGE(S28:S31,3)</f>
        <v>2E-3</v>
      </c>
      <c r="AH30" s="37" t="str">
        <f>VLOOKUP(AG30,S28:AG31,2,0)</f>
        <v>D2</v>
      </c>
      <c r="AI30" s="37">
        <f>VLOOKUP(AG30,S28:AG31,3,0)</f>
        <v>3</v>
      </c>
      <c r="AJ30" s="46" t="s">
        <v>83</v>
      </c>
      <c r="AK30" s="37" t="str">
        <f>VLOOKUP(AG30,S28:AG31,4,0)</f>
        <v>Es Tunis</v>
      </c>
      <c r="AL30" s="37">
        <f>VLOOKUP(AG30,S28:AG31,5,0)</f>
        <v>0</v>
      </c>
      <c r="AM30" s="37">
        <f>VLOOKUP(AG30,S28:AG31,6,0)</f>
        <v>0</v>
      </c>
      <c r="AN30" s="37">
        <f>VLOOKUP(AG30,S28:AG31,7,0)</f>
        <v>0</v>
      </c>
      <c r="AO30" s="37">
        <f>VLOOKUP(AG30,S28:AG31,8,0)</f>
        <v>0</v>
      </c>
      <c r="AP30" s="37">
        <f>VLOOKUP(AG30,S28:AG31,9,0)</f>
        <v>0</v>
      </c>
      <c r="AQ30" s="37">
        <f>VLOOKUP(AG30,S28:AG31,10,0)</f>
        <v>0</v>
      </c>
      <c r="AR30" s="37">
        <f>VLOOKUP(AG30,S28:AG31,11,0)</f>
        <v>0</v>
      </c>
      <c r="AS30" s="37">
        <f>VLOOKUP(AG30,S28:AG31,12,0)</f>
        <v>0</v>
      </c>
      <c r="AT30" s="38">
        <f>VLOOKUP(AG30,S28:AG31,13,0)</f>
        <v>0</v>
      </c>
      <c r="AU30" s="39">
        <f>VLOOKUP(AG30,S28:AG31,14,0)</f>
        <v>0</v>
      </c>
      <c r="AV30" s="31"/>
      <c r="AW30" s="9">
        <v>25</v>
      </c>
      <c r="AX30" s="9" t="s">
        <v>90</v>
      </c>
      <c r="AY30" s="10">
        <v>0.125</v>
      </c>
      <c r="AZ30" t="s">
        <v>46</v>
      </c>
      <c r="BA30" s="1" t="str">
        <f>IFERROR(INDEX(Equipe!B:B,MATCH(AZ30,Equipe!A:A,0)),"")</f>
        <v>Los Angeles FC</v>
      </c>
      <c r="BC30" s="17" t="s">
        <v>83</v>
      </c>
      <c r="BD30" s="19"/>
      <c r="BE30" s="1" t="str">
        <f>IFERROR(INDEX(Equipe!B:B,MATCH(BF30,Equipe!A:A,0)),"")</f>
        <v>Flamengo</v>
      </c>
      <c r="BF30" s="47" t="s">
        <v>45</v>
      </c>
      <c r="BG30" s="2" t="str">
        <f t="shared" si="55"/>
        <v/>
      </c>
      <c r="BH30" t="str">
        <f t="shared" si="56"/>
        <v/>
      </c>
      <c r="BI30" s="20"/>
      <c r="BJ30" s="20"/>
      <c r="BK30" s="21"/>
      <c r="BL30" s="21"/>
    </row>
    <row r="31" spans="1:72" ht="15.75">
      <c r="A31" t="s">
        <v>46</v>
      </c>
      <c r="B31" s="34" t="s">
        <v>95</v>
      </c>
      <c r="C31" s="1">
        <v>4</v>
      </c>
      <c r="D31" t="str">
        <f>IFERROR(INDEX(Equipe!B:B,MATCH(A31,Equipe!A:A,0)),"")</f>
        <v>Los Angeles FC</v>
      </c>
      <c r="E31" s="18">
        <f t="shared" si="67"/>
        <v>0</v>
      </c>
      <c r="F31" s="41">
        <f t="shared" si="57"/>
        <v>0</v>
      </c>
      <c r="G31" s="18">
        <f>COUNTIFS($AZ26:$AZ31,$A31,$BG26:$BG31,3)+COUNTIFS($BF26:$BF31,$A31,$BH26:$BH31,3)</f>
        <v>0</v>
      </c>
      <c r="H31" s="18">
        <f>COUNTIFS($AZ26:$AZ31,$A31,$BG26:$BG31,1)+COUNTIFS($BF26:$BF31,$A31,$BH26:$BH31,1)</f>
        <v>0</v>
      </c>
      <c r="I31" s="18">
        <f>COUNTIFS($AZ26:$AZ31,$A31,$BG26:$BG31,0)+COUNTIFS($BF26:$BF31,$A31,$BH26:$BH31,0)</f>
        <v>0</v>
      </c>
      <c r="J31" s="18">
        <f>SUMIF($AZ26:$AZ31,$A31,$BB26:$BB31)+SUMIF($BF26:$BF31,$A31,$BD26:$BD31)</f>
        <v>0</v>
      </c>
      <c r="K31" s="18">
        <f>SUMIF($AZ26:$AZ31,$A31,$BD26:$BD31)+SUMIF($BF26:$BF31,$A31,$BB26:$BB31)</f>
        <v>0</v>
      </c>
      <c r="L31" s="42">
        <f t="shared" si="68"/>
        <v>0</v>
      </c>
      <c r="M31" s="32">
        <f>SUMIF($AZ26:$AZ31,$A31,$BI26:$BI31)+SUMIF($BF26:$BF31,$A31,$BJ26:$BJ31)</f>
        <v>0</v>
      </c>
      <c r="N31" s="43">
        <f>SUMIF($AZ29:$AZ34,$A31,$BK29:$BK34)+SUMIF($BF29:$BF34,$A31,$BL29:$BL34)</f>
        <v>0</v>
      </c>
      <c r="O31" s="44">
        <f>0.003+(E31*10000)+(J31*1000)+(L31*100)-(M31*1)-(N31*5)</f>
        <v>3.0000000000000001E-3</v>
      </c>
      <c r="P31" s="1">
        <f>RANK(O31,O28:O31)</f>
        <v>2</v>
      </c>
      <c r="Q31" s="1">
        <f>RANK(L31,L28:L31)</f>
        <v>1</v>
      </c>
      <c r="R31" s="1">
        <f>RANK(J31,J28:J31)</f>
        <v>1</v>
      </c>
      <c r="S31" s="45">
        <f>O31</f>
        <v>3.0000000000000001E-3</v>
      </c>
      <c r="T31" s="1" t="str">
        <f>A31</f>
        <v>D4</v>
      </c>
      <c r="U31" s="1">
        <f t="shared" si="70"/>
        <v>2</v>
      </c>
      <c r="V31" s="1" t="str">
        <f>D31</f>
        <v>Los Angeles FC</v>
      </c>
      <c r="W31" s="1">
        <f t="shared" si="69"/>
        <v>0</v>
      </c>
      <c r="X31" s="1">
        <f t="shared" si="58"/>
        <v>0</v>
      </c>
      <c r="Y31" s="1">
        <f t="shared" si="59"/>
        <v>0</v>
      </c>
      <c r="Z31" s="1">
        <f t="shared" si="60"/>
        <v>0</v>
      </c>
      <c r="AA31" s="1">
        <f t="shared" si="61"/>
        <v>0</v>
      </c>
      <c r="AB31" s="1">
        <f t="shared" si="62"/>
        <v>0</v>
      </c>
      <c r="AC31" s="1">
        <f t="shared" si="63"/>
        <v>0</v>
      </c>
      <c r="AD31" s="1">
        <f t="shared" si="64"/>
        <v>0</v>
      </c>
      <c r="AE31" s="1">
        <f t="shared" si="65"/>
        <v>0</v>
      </c>
      <c r="AF31" s="1">
        <f t="shared" si="66"/>
        <v>0</v>
      </c>
      <c r="AG31" s="1">
        <f>LARGE(S28:S31,4)</f>
        <v>1E-3</v>
      </c>
      <c r="AH31" s="37" t="str">
        <f>VLOOKUP(AG31,S28:AG31,2,0)</f>
        <v>D3</v>
      </c>
      <c r="AI31" s="37">
        <f>VLOOKUP(AG31,S28:AG31,3,0)</f>
        <v>4</v>
      </c>
      <c r="AJ31" s="46" t="s">
        <v>83</v>
      </c>
      <c r="AK31" s="37" t="str">
        <f>VLOOKUP(AG31,S28:AG31,4,0)</f>
        <v>Flamengo</v>
      </c>
      <c r="AL31" s="37">
        <f>VLOOKUP(AG31,S28:AG31,5,0)</f>
        <v>0</v>
      </c>
      <c r="AM31" s="37">
        <f>VLOOKUP(AG31,S28:AG31,6,0)</f>
        <v>0</v>
      </c>
      <c r="AN31" s="37">
        <f>VLOOKUP(AG31,S28:AG31,7,0)</f>
        <v>0</v>
      </c>
      <c r="AO31" s="37">
        <f>VLOOKUP(AG31,S28:AG31,8,0)</f>
        <v>0</v>
      </c>
      <c r="AP31" s="37">
        <f>VLOOKUP(AG31,S28:AG31,9,0)</f>
        <v>0</v>
      </c>
      <c r="AQ31" s="37">
        <f>VLOOKUP(AG31,S28:AG31,10,0)</f>
        <v>0</v>
      </c>
      <c r="AR31" s="37">
        <f>VLOOKUP(AG31,S28:AG31,11,0)</f>
        <v>0</v>
      </c>
      <c r="AS31" s="37">
        <f>VLOOKUP(AG31,S28:AG31,12,0)</f>
        <v>0</v>
      </c>
      <c r="AT31" s="38">
        <f>VLOOKUP(AG31,S28:AG31,13,0)</f>
        <v>0</v>
      </c>
      <c r="AU31" s="39">
        <f>VLOOKUP(AG31,S28:AG31,14,0)</f>
        <v>0</v>
      </c>
      <c r="AV31" s="31"/>
      <c r="AW31" s="6">
        <v>25</v>
      </c>
      <c r="AX31" s="6" t="s">
        <v>90</v>
      </c>
      <c r="AY31" s="8">
        <v>0.125</v>
      </c>
      <c r="AZ31" s="3" t="s">
        <v>44</v>
      </c>
      <c r="BA31" s="4" t="str">
        <f>IFERROR(INDEX(Equipe!B:B,MATCH(AZ31,Equipe!A:A,0)),"")</f>
        <v>Es Tunis</v>
      </c>
      <c r="BB31" s="23"/>
      <c r="BC31" s="22" t="s">
        <v>83</v>
      </c>
      <c r="BD31" s="23"/>
      <c r="BE31" s="4" t="str">
        <f>IFERROR(INDEX(Equipe!B:B,MATCH(BF31,Equipe!A:A,0)),"")</f>
        <v>Chelsea</v>
      </c>
      <c r="BF31" s="48" t="s">
        <v>43</v>
      </c>
      <c r="BG31" s="2" t="str">
        <f t="shared" si="55"/>
        <v/>
      </c>
      <c r="BH31" t="str">
        <f t="shared" si="56"/>
        <v/>
      </c>
      <c r="BI31" s="20"/>
      <c r="BJ31" s="20"/>
      <c r="BK31" s="21"/>
      <c r="BL31" s="21"/>
    </row>
    <row r="33" spans="1:64" ht="18">
      <c r="AH33" s="51" t="s">
        <v>93</v>
      </c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24"/>
      <c r="AX33" s="24"/>
      <c r="AY33" s="25"/>
      <c r="BB33" s="52" t="s">
        <v>84</v>
      </c>
      <c r="BC33" s="52"/>
      <c r="BD33" s="52"/>
      <c r="BI33" s="53" t="s">
        <v>85</v>
      </c>
      <c r="BJ33" s="53"/>
      <c r="BK33" s="54" t="s">
        <v>86</v>
      </c>
      <c r="BL33" s="54"/>
    </row>
    <row r="34" spans="1:64">
      <c r="B34" s="26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27"/>
      <c r="N34" s="27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9"/>
      <c r="AG34" s="29"/>
      <c r="AH34" s="30"/>
      <c r="AI34" s="55" t="s">
        <v>63</v>
      </c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18"/>
      <c r="AU34" s="18"/>
      <c r="AV34" s="31"/>
      <c r="AW34" s="9">
        <v>17</v>
      </c>
      <c r="AX34" s="9" t="s">
        <v>90</v>
      </c>
      <c r="AY34" s="10">
        <v>0.87499999999995304</v>
      </c>
      <c r="AZ34" t="s">
        <v>49</v>
      </c>
      <c r="BA34" s="1" t="str">
        <f>IFERROR(INDEX(Equipe!B:B,MATCH(AZ34,Equipe!A:A,0)),"")</f>
        <v>River Plate</v>
      </c>
      <c r="BC34" s="17" t="s">
        <v>83</v>
      </c>
      <c r="BD34" s="19"/>
      <c r="BE34" s="1" t="str">
        <f>IFERROR(INDEX(Equipe!B:B,MATCH(BF34,Equipe!A:A,0)),"")</f>
        <v>Urawa Reds</v>
      </c>
      <c r="BF34" s="47" t="s">
        <v>50</v>
      </c>
      <c r="BG34" s="2" t="str">
        <f>IF(BB34="","",IF(BB34&gt;BD34,3,IF(BB34=BD34,1,IF(BB34&lt;BD34,IF(BD34="",3,0)))))</f>
        <v/>
      </c>
      <c r="BH34" t="str">
        <f>IF(BD34="","",IF(BD34&gt;BB34,3,IF(BD34=BB34,1,IF(BD34&lt;BB34,IF(BB34="",3,0)))))</f>
        <v/>
      </c>
      <c r="BI34" s="20"/>
      <c r="BJ34" s="20"/>
      <c r="BK34" s="21"/>
      <c r="BL34" s="21"/>
    </row>
    <row r="35" spans="1:64" ht="15.75">
      <c r="B35" s="26"/>
      <c r="C35" s="18"/>
      <c r="D35" s="30"/>
      <c r="E35" s="18" t="s">
        <v>64</v>
      </c>
      <c r="F35" s="18" t="s">
        <v>65</v>
      </c>
      <c r="G35" s="18" t="s">
        <v>66</v>
      </c>
      <c r="H35" s="18" t="s">
        <v>67</v>
      </c>
      <c r="I35" s="18" t="s">
        <v>68</v>
      </c>
      <c r="J35" s="18" t="s">
        <v>69</v>
      </c>
      <c r="K35" s="18" t="s">
        <v>70</v>
      </c>
      <c r="L35" s="18" t="s">
        <v>71</v>
      </c>
      <c r="M35" s="32" t="s">
        <v>85</v>
      </c>
      <c r="N35" s="33" t="s">
        <v>86</v>
      </c>
      <c r="O35" s="28"/>
      <c r="P35" s="1" t="s">
        <v>72</v>
      </c>
      <c r="Q35" s="1" t="s">
        <v>73</v>
      </c>
      <c r="R35" s="1" t="s">
        <v>74</v>
      </c>
      <c r="S35" t="s">
        <v>75</v>
      </c>
      <c r="T35" t="s">
        <v>76</v>
      </c>
      <c r="U35" s="1" t="s">
        <v>77</v>
      </c>
      <c r="V35" s="1" t="s">
        <v>78</v>
      </c>
      <c r="W35" s="1" t="s">
        <v>79</v>
      </c>
      <c r="X35" s="1" t="s">
        <v>65</v>
      </c>
      <c r="Y35" s="1" t="s">
        <v>66</v>
      </c>
      <c r="Z35" s="1" t="s">
        <v>67</v>
      </c>
      <c r="AA35" s="1" t="s">
        <v>68</v>
      </c>
      <c r="AB35" s="1" t="s">
        <v>80</v>
      </c>
      <c r="AC35" s="1" t="s">
        <v>81</v>
      </c>
      <c r="AD35" s="34" t="s">
        <v>71</v>
      </c>
      <c r="AE35" s="34" t="s">
        <v>85</v>
      </c>
      <c r="AF35" s="35" t="s">
        <v>86</v>
      </c>
      <c r="AG35" s="35"/>
      <c r="AH35" s="18"/>
      <c r="AI35" s="18"/>
      <c r="AJ35" s="36"/>
      <c r="AK35" s="18"/>
      <c r="AL35" s="18" t="s">
        <v>64</v>
      </c>
      <c r="AM35" s="18" t="s">
        <v>65</v>
      </c>
      <c r="AN35" s="18" t="s">
        <v>66</v>
      </c>
      <c r="AO35" s="18" t="s">
        <v>67</v>
      </c>
      <c r="AP35" s="18" t="s">
        <v>68</v>
      </c>
      <c r="AQ35" s="18" t="s">
        <v>69</v>
      </c>
      <c r="AR35" s="18" t="s">
        <v>70</v>
      </c>
      <c r="AS35" s="37" t="s">
        <v>71</v>
      </c>
      <c r="AT35" s="38" t="s">
        <v>85</v>
      </c>
      <c r="AU35" s="39" t="s">
        <v>86</v>
      </c>
      <c r="AV35" s="40"/>
      <c r="AW35" s="6">
        <v>18</v>
      </c>
      <c r="AX35" s="6" t="s">
        <v>90</v>
      </c>
      <c r="AY35" s="8">
        <v>0.125</v>
      </c>
      <c r="AZ35" s="3" t="s">
        <v>48</v>
      </c>
      <c r="BA35" s="4" t="str">
        <f>IFERROR(INDEX(Equipe!B:B,MATCH(AZ35,Equipe!A:A,0)),"")</f>
        <v>CF Monterrey</v>
      </c>
      <c r="BB35" s="23"/>
      <c r="BC35" s="22" t="s">
        <v>83</v>
      </c>
      <c r="BD35" s="23"/>
      <c r="BE35" s="4" t="str">
        <f>IFERROR(INDEX(Equipe!B:B,MATCH(BF35,Equipe!A:A,0)),"")</f>
        <v>Inter Milan</v>
      </c>
      <c r="BF35" s="48" t="s">
        <v>47</v>
      </c>
      <c r="BG35" s="2" t="str">
        <f t="shared" ref="BG35:BG39" si="71">IF(BB35="","",IF(BB35&gt;BD35,3,IF(BB35=BD35,1,IF(BB35&lt;BD35,IF(BD35="",3,0)))))</f>
        <v/>
      </c>
      <c r="BH35" t="str">
        <f t="shared" ref="BH35:BH39" si="72">IF(BD35="","",IF(BD35&gt;BB35,3,IF(BD35=BB35,1,IF(BD35&lt;BB35,IF(BB35="",3,0)))))</f>
        <v/>
      </c>
      <c r="BI35" s="20"/>
      <c r="BJ35" s="20"/>
      <c r="BK35" s="21"/>
      <c r="BL35" s="21"/>
    </row>
    <row r="36" spans="1:64" ht="15.75">
      <c r="A36" t="s">
        <v>47</v>
      </c>
      <c r="B36" s="34" t="s">
        <v>82</v>
      </c>
      <c r="C36" s="1">
        <v>1</v>
      </c>
      <c r="D36" t="str">
        <f>IFERROR(INDEX(Equipe!B:B,MATCH(A36,Equipe!A:A,0)),"")</f>
        <v>Inter Milan</v>
      </c>
      <c r="E36" s="18">
        <f>(G36*3)+H36</f>
        <v>0</v>
      </c>
      <c r="F36" s="41">
        <f t="shared" ref="F36:F39" si="73">G36+H36+I36</f>
        <v>0</v>
      </c>
      <c r="G36" s="18">
        <f>COUNTIFS($AZ34:$AZ39,$A36,$BG34:$BG39,3)+COUNTIFS($BF34:$BF39,$A36,$BH34:$BH39,3)</f>
        <v>0</v>
      </c>
      <c r="H36" s="18">
        <f>COUNTIFS($AZ34:$AZ39,$A36,$BG34:$BG39,1)+COUNTIFS($BF34:$BF39,$A36,$BH34:$BH39,1)</f>
        <v>0</v>
      </c>
      <c r="I36" s="18">
        <f>COUNTIFS($AZ34:$AZ39,$A36,$BG34:$BG39,0)+COUNTIFS($BF34:$BF39,$A36,$BH34:$BH39,0)</f>
        <v>0</v>
      </c>
      <c r="J36" s="18">
        <f>SUMIF($AZ34:$AZ39,$A36,$BB34:$BB39)+SUMIF($BF34:$BF39,$A36,$BD34:$BD39)</f>
        <v>0</v>
      </c>
      <c r="K36" s="18">
        <f>SUMIF($AZ34:$AZ39,$A36,$BD34:$BD39)+SUMIF($BF34:$BF39,$A36,$BB34:$BB39)</f>
        <v>0</v>
      </c>
      <c r="L36" s="42">
        <f>J36-K36</f>
        <v>0</v>
      </c>
      <c r="M36" s="32">
        <f>SUMIF($AZ34:$AZ39,$A36,$BI34:$BI39)+SUMIF($BF34:$BF39,$A36,$BJ34:$BJ39)</f>
        <v>0</v>
      </c>
      <c r="N36" s="43">
        <f>SUMIF($AZ34:$AZ39,$A36,$BK34:$BK39)+SUMIF($BF34:$BF39,$A36,$BL34:$BL39)</f>
        <v>0</v>
      </c>
      <c r="O36" s="44">
        <f>0.003+(E36*10000)+(J36*1000)+(L36*100)-(M36*1)-(N36*5)</f>
        <v>3.0000000000000001E-3</v>
      </c>
      <c r="P36" s="1">
        <f>RANK(O36,O36:O39)</f>
        <v>2</v>
      </c>
      <c r="Q36" s="1">
        <f>RANK(L36,L$12:L39)</f>
        <v>4</v>
      </c>
      <c r="R36" s="1">
        <f>RANK(J36,J36:J39)</f>
        <v>1</v>
      </c>
      <c r="S36" s="45">
        <f>O36</f>
        <v>3.0000000000000001E-3</v>
      </c>
      <c r="T36" s="1" t="str">
        <f>A36</f>
        <v>E1</v>
      </c>
      <c r="U36" s="1">
        <f>P36</f>
        <v>2</v>
      </c>
      <c r="V36" s="1" t="str">
        <f>D36</f>
        <v>Inter Milan</v>
      </c>
      <c r="W36" s="1">
        <f>E36</f>
        <v>0</v>
      </c>
      <c r="X36" s="1">
        <f t="shared" ref="X36:X39" si="74">F36</f>
        <v>0</v>
      </c>
      <c r="Y36" s="1">
        <f t="shared" ref="Y36:Y39" si="75">G36</f>
        <v>0</v>
      </c>
      <c r="Z36" s="1">
        <f t="shared" ref="Z36:Z39" si="76">H36</f>
        <v>0</v>
      </c>
      <c r="AA36" s="1">
        <f t="shared" ref="AA36:AA39" si="77">I36</f>
        <v>0</v>
      </c>
      <c r="AB36" s="1">
        <f t="shared" ref="AB36:AB39" si="78">J36</f>
        <v>0</v>
      </c>
      <c r="AC36" s="1">
        <f t="shared" ref="AC36:AC39" si="79">K36</f>
        <v>0</v>
      </c>
      <c r="AD36" s="1">
        <f t="shared" ref="AD36:AD39" si="80">L36</f>
        <v>0</v>
      </c>
      <c r="AE36" s="1">
        <f t="shared" ref="AE36:AE39" si="81">M36</f>
        <v>0</v>
      </c>
      <c r="AF36" s="1">
        <f t="shared" ref="AF36:AF39" si="82">N36</f>
        <v>0</v>
      </c>
      <c r="AG36" s="1">
        <f>LARGE(S36:S39,1)</f>
        <v>4.0000000000000001E-3</v>
      </c>
      <c r="AH36" s="37" t="str">
        <f>VLOOKUP(AG36,S36:AG39,2,0)</f>
        <v>E2</v>
      </c>
      <c r="AI36" s="37">
        <f>VLOOKUP(AG36,S36:AG39,3,0)</f>
        <v>1</v>
      </c>
      <c r="AJ36" s="46" t="s">
        <v>83</v>
      </c>
      <c r="AK36" s="37" t="str">
        <f>VLOOKUP(AG36,S36:AG39,4,0)</f>
        <v>CF Monterrey</v>
      </c>
      <c r="AL36" s="37">
        <f>VLOOKUP(AG36,S36:AG39,5,0)</f>
        <v>0</v>
      </c>
      <c r="AM36" s="37">
        <f>VLOOKUP(AG36,S36:AG39,6,0)</f>
        <v>0</v>
      </c>
      <c r="AN36" s="37">
        <f>VLOOKUP(AG36,S36:AG39,7,0)</f>
        <v>0</v>
      </c>
      <c r="AO36" s="37">
        <f>VLOOKUP(AG36,S36:AG39,8,0)</f>
        <v>0</v>
      </c>
      <c r="AP36" s="37">
        <f>VLOOKUP(AG36,S36:AG39,9,0)</f>
        <v>0</v>
      </c>
      <c r="AQ36" s="37">
        <f>VLOOKUP(AG36,S36:AG39,10,0)</f>
        <v>0</v>
      </c>
      <c r="AR36" s="37">
        <f>VLOOKUP(AG36,S36:AG39,11,0)</f>
        <v>0</v>
      </c>
      <c r="AS36" s="37">
        <f>VLOOKUP(AG36,S36:AG39,12,0)</f>
        <v>0</v>
      </c>
      <c r="AT36" s="38">
        <f>VLOOKUP(AG36,S36:AG39,13,0)</f>
        <v>0</v>
      </c>
      <c r="AU36" s="39">
        <f>VLOOKUP(AG36,S36:AG39,14,0)</f>
        <v>0</v>
      </c>
      <c r="AV36" s="31"/>
      <c r="AW36" s="9">
        <v>21</v>
      </c>
      <c r="AX36" s="9" t="s">
        <v>90</v>
      </c>
      <c r="AY36" s="10">
        <v>0.87499999999995304</v>
      </c>
      <c r="AZ36" t="s">
        <v>47</v>
      </c>
      <c r="BA36" s="1" t="str">
        <f>IFERROR(INDEX(Equipe!B:B,MATCH(AZ36,Equipe!A:A,0)),"")</f>
        <v>Inter Milan</v>
      </c>
      <c r="BC36" s="17" t="s">
        <v>83</v>
      </c>
      <c r="BD36" s="19"/>
      <c r="BE36" s="1" t="str">
        <f>IFERROR(INDEX(Equipe!B:B,MATCH(BF36,Equipe!A:A,0)),"")</f>
        <v>River Plate</v>
      </c>
      <c r="BF36" s="47" t="s">
        <v>49</v>
      </c>
      <c r="BG36" s="2" t="str">
        <f t="shared" si="71"/>
        <v/>
      </c>
      <c r="BH36" t="str">
        <f t="shared" si="72"/>
        <v/>
      </c>
      <c r="BI36" s="20"/>
      <c r="BJ36" s="20"/>
      <c r="BK36" s="21"/>
      <c r="BL36" s="21"/>
    </row>
    <row r="37" spans="1:64" ht="15.75">
      <c r="A37" t="s">
        <v>48</v>
      </c>
      <c r="B37" s="34" t="s">
        <v>82</v>
      </c>
      <c r="C37" s="1">
        <v>2</v>
      </c>
      <c r="D37" t="str">
        <f>IFERROR(INDEX(Equipe!B:B,MATCH(A37,Equipe!A:A,0)),"")</f>
        <v>CF Monterrey</v>
      </c>
      <c r="E37" s="18">
        <f t="shared" ref="E37:E39" si="83">(G37*3)+H37</f>
        <v>0</v>
      </c>
      <c r="F37" s="41">
        <f t="shared" si="73"/>
        <v>0</v>
      </c>
      <c r="G37" s="18">
        <f>COUNTIFS($AZ34:$AZ39,$A37,$BG34:$BG39,3)+COUNTIFS($BF34:$BF39,$A37,$BH34:$BH39,3)</f>
        <v>0</v>
      </c>
      <c r="H37" s="18">
        <f>COUNTIFS($AZ34:$AZ39,$A37,$BG34:$BG39,1)+COUNTIFS($BF34:$BF39,$A37,$BH34:$BH39,1)</f>
        <v>0</v>
      </c>
      <c r="I37" s="18">
        <f>COUNTIFS($AZ34:$AZ39,$A37,$BG34:$BG39,0)+COUNTIFS($BF34:$BF39,$A37,$BH34:$BH39,0)</f>
        <v>0</v>
      </c>
      <c r="J37" s="18">
        <f>SUMIF($AZ34:$AZ39,$A37,$BB34:$BB39)+SUMIF($BF34:$BF39,$A37,$BD34:$BD39)</f>
        <v>0</v>
      </c>
      <c r="K37" s="18">
        <f>SUMIF($AZ34:$AZ39,$A37,$BD34:$BD39)+SUMIF($BF34:$BF39,$A37,$BB34:$BB39)</f>
        <v>0</v>
      </c>
      <c r="L37" s="42">
        <f t="shared" ref="L37:L39" si="84">J37-K37</f>
        <v>0</v>
      </c>
      <c r="M37" s="32">
        <f>SUMIF($AZ34:$AZ39,$A37,$BI34:$BI39)+SUMIF($BF34:$BF39,$A37,$BJ34:$BJ39)</f>
        <v>0</v>
      </c>
      <c r="N37" s="43">
        <f>SUMIF($AZ35:$AZ40,$A37,$BK35:$BK40)+SUMIF($BF35:$BF40,$A37,$BL35:$BL40)</f>
        <v>0</v>
      </c>
      <c r="O37" s="44">
        <f>0.004+(E37*10000)+(J37*1000)+(L37*100)-(M37*1)-(N37*5)</f>
        <v>4.0000000000000001E-3</v>
      </c>
      <c r="P37" s="1">
        <f>RANK(O37,O36:O39)</f>
        <v>1</v>
      </c>
      <c r="Q37" s="1">
        <f>RANK(L37,L36:L39)</f>
        <v>1</v>
      </c>
      <c r="R37" s="1">
        <f>RANK(J37,J36:J39)</f>
        <v>1</v>
      </c>
      <c r="S37" s="45">
        <f>O37</f>
        <v>4.0000000000000001E-3</v>
      </c>
      <c r="T37" s="1" t="str">
        <f>A37</f>
        <v>E2</v>
      </c>
      <c r="U37" s="1">
        <f>P37</f>
        <v>1</v>
      </c>
      <c r="V37" s="1" t="str">
        <f>D37</f>
        <v>CF Monterrey</v>
      </c>
      <c r="W37" s="1">
        <f t="shared" ref="W37:W39" si="85">E37</f>
        <v>0</v>
      </c>
      <c r="X37" s="1">
        <f t="shared" si="74"/>
        <v>0</v>
      </c>
      <c r="Y37" s="1">
        <f t="shared" si="75"/>
        <v>0</v>
      </c>
      <c r="Z37" s="1">
        <f t="shared" si="76"/>
        <v>0</v>
      </c>
      <c r="AA37" s="1">
        <f t="shared" si="77"/>
        <v>0</v>
      </c>
      <c r="AB37" s="1">
        <f t="shared" si="78"/>
        <v>0</v>
      </c>
      <c r="AC37" s="1">
        <f t="shared" si="79"/>
        <v>0</v>
      </c>
      <c r="AD37" s="1">
        <f t="shared" si="80"/>
        <v>0</v>
      </c>
      <c r="AE37" s="1">
        <f t="shared" si="81"/>
        <v>0</v>
      </c>
      <c r="AF37" s="1">
        <f t="shared" si="82"/>
        <v>0</v>
      </c>
      <c r="AG37" s="1">
        <f>LARGE(S36:S39,2)</f>
        <v>3.0000000000000001E-3</v>
      </c>
      <c r="AH37" s="37" t="str">
        <f>VLOOKUP(AG37,S36:AG39,2,0)</f>
        <v>E1</v>
      </c>
      <c r="AI37" s="37">
        <f>VLOOKUP(AG37,S36:AG39,3,0)</f>
        <v>2</v>
      </c>
      <c r="AJ37" s="46" t="s">
        <v>83</v>
      </c>
      <c r="AK37" s="37" t="str">
        <f>VLOOKUP(AG37,S36:AG39,4,0)</f>
        <v>Inter Milan</v>
      </c>
      <c r="AL37" s="37">
        <f>VLOOKUP(AG37,S36:AG39,5,0)</f>
        <v>0</v>
      </c>
      <c r="AM37" s="37">
        <f>VLOOKUP(AG37,S36:AG39,6,0)</f>
        <v>0</v>
      </c>
      <c r="AN37" s="37">
        <f>VLOOKUP(AG37,S36:AG39,7,0)</f>
        <v>0</v>
      </c>
      <c r="AO37" s="37">
        <f>VLOOKUP(AG37,S36:AG39,8,0)</f>
        <v>0</v>
      </c>
      <c r="AP37" s="37">
        <f>VLOOKUP(AG37,S36:AG39,9,0)</f>
        <v>0</v>
      </c>
      <c r="AQ37" s="37">
        <f>VLOOKUP(AG37,S36:AG39,10,0)</f>
        <v>0</v>
      </c>
      <c r="AR37" s="37">
        <f>VLOOKUP(AG37,S36:AG39,11,0)</f>
        <v>0</v>
      </c>
      <c r="AS37" s="37">
        <f>VLOOKUP(AG37,S36:AG39,12,0)</f>
        <v>0</v>
      </c>
      <c r="AT37" s="38">
        <f>VLOOKUP(AG37,S36:AG39,13,0)</f>
        <v>0</v>
      </c>
      <c r="AU37" s="39">
        <f>VLOOKUP(AG37,S36:AG39,14,0)</f>
        <v>0</v>
      </c>
      <c r="AV37" s="31"/>
      <c r="AW37" s="6">
        <v>22</v>
      </c>
      <c r="AX37" s="6" t="s">
        <v>90</v>
      </c>
      <c r="AY37" s="8">
        <v>0.125</v>
      </c>
      <c r="AZ37" s="3" t="s">
        <v>50</v>
      </c>
      <c r="BA37" s="4" t="str">
        <f>IFERROR(INDEX(Equipe!B:B,MATCH(AZ37,Equipe!A:A,0)),"")</f>
        <v>Urawa Reds</v>
      </c>
      <c r="BB37" s="23"/>
      <c r="BC37" s="22" t="s">
        <v>83</v>
      </c>
      <c r="BD37" s="23"/>
      <c r="BE37" s="4" t="str">
        <f>IFERROR(INDEX(Equipe!B:B,MATCH(BF37,Equipe!A:A,0)),"")</f>
        <v>CF Monterrey</v>
      </c>
      <c r="BF37" s="48" t="s">
        <v>48</v>
      </c>
      <c r="BG37" s="2" t="str">
        <f t="shared" si="71"/>
        <v/>
      </c>
      <c r="BH37" t="str">
        <f t="shared" si="72"/>
        <v/>
      </c>
      <c r="BI37" s="20"/>
      <c r="BJ37" s="20"/>
      <c r="BK37" s="21"/>
      <c r="BL37" s="21"/>
    </row>
    <row r="38" spans="1:64" ht="15.75">
      <c r="A38" t="s">
        <v>49</v>
      </c>
      <c r="B38" s="34" t="s">
        <v>95</v>
      </c>
      <c r="C38" s="1">
        <v>3</v>
      </c>
      <c r="D38" t="str">
        <f>IFERROR(INDEX(Equipe!B:B,MATCH(A38,Equipe!A:A,0)),"")</f>
        <v>River Plate</v>
      </c>
      <c r="E38" s="18">
        <f t="shared" si="83"/>
        <v>0</v>
      </c>
      <c r="F38" s="41">
        <f t="shared" si="73"/>
        <v>0</v>
      </c>
      <c r="G38" s="18">
        <f>COUNTIFS($AZ34:$AZ39,$A38,$BG34:$BG39,3)+COUNTIFS($BF34:$BF39,$A38,$BH34:$BH39,3)</f>
        <v>0</v>
      </c>
      <c r="H38" s="18">
        <f>COUNTIFS($AZ34:$AZ39,$A38,$BG34:$BG39,1)+COUNTIFS($BF34:$BF39,$A38,$BH34:$BH39,1)</f>
        <v>0</v>
      </c>
      <c r="I38" s="18">
        <f>COUNTIFS($AZ34:$AZ39,$A38,$BG34:$BG39,0)+COUNTIFS($BF34:$BF39,$A38,$BH34:$BH39,0)</f>
        <v>0</v>
      </c>
      <c r="J38" s="18">
        <f>SUMIF($AZ34:$AZ39,$A38,$BB34:$BB39)+SUMIF($BF34:$BF39,$A38,$BD34:$BD39)</f>
        <v>0</v>
      </c>
      <c r="K38" s="18">
        <f>SUMIF($AZ34:$AZ39,$A38,$BD34:$BD39)+SUMIF($BF34:$BF39,$A38,$BB34:$BB39)</f>
        <v>0</v>
      </c>
      <c r="L38" s="42">
        <f t="shared" si="84"/>
        <v>0</v>
      </c>
      <c r="M38" s="32">
        <f>SUMIF($AZ34:$AZ39,$A38,$BI34:$BI39)+SUMIF($BF34:$BF39,$A38,$BJ34:$BJ39)</f>
        <v>0</v>
      </c>
      <c r="N38" s="43">
        <f>SUMIF($AZ36:$AZ41,$A38,$BK36:$BK41)+SUMIF($BF36:$BF41,$A38,$BL36:$BL41)</f>
        <v>0</v>
      </c>
      <c r="O38" s="44">
        <f>0.002+(E38*10000)+(J38*1000)+(L38*100)-(M38*1)-(N38*5)</f>
        <v>2E-3</v>
      </c>
      <c r="P38" s="1">
        <f>RANK(O38,O36:O39)</f>
        <v>3</v>
      </c>
      <c r="Q38" s="1">
        <f>RANK(L38,L36:L39)</f>
        <v>1</v>
      </c>
      <c r="R38" s="1">
        <f>RANK(J38,J36:J39)</f>
        <v>1</v>
      </c>
      <c r="S38" s="45">
        <f>O38</f>
        <v>2E-3</v>
      </c>
      <c r="T38" s="1" t="str">
        <f>A38</f>
        <v>E3</v>
      </c>
      <c r="U38" s="1">
        <f t="shared" ref="U38:U39" si="86">P38</f>
        <v>3</v>
      </c>
      <c r="V38" s="1" t="str">
        <f>D38</f>
        <v>River Plate</v>
      </c>
      <c r="W38" s="1">
        <f t="shared" si="85"/>
        <v>0</v>
      </c>
      <c r="X38" s="1">
        <f t="shared" si="74"/>
        <v>0</v>
      </c>
      <c r="Y38" s="1">
        <f t="shared" si="75"/>
        <v>0</v>
      </c>
      <c r="Z38" s="1">
        <f t="shared" si="76"/>
        <v>0</v>
      </c>
      <c r="AA38" s="1">
        <f t="shared" si="77"/>
        <v>0</v>
      </c>
      <c r="AB38" s="1">
        <f t="shared" si="78"/>
        <v>0</v>
      </c>
      <c r="AC38" s="1">
        <f t="shared" si="79"/>
        <v>0</v>
      </c>
      <c r="AD38" s="1">
        <f t="shared" si="80"/>
        <v>0</v>
      </c>
      <c r="AE38" s="1">
        <f t="shared" si="81"/>
        <v>0</v>
      </c>
      <c r="AF38" s="1">
        <f t="shared" si="82"/>
        <v>0</v>
      </c>
      <c r="AG38" s="1">
        <f>LARGE(S36:S39,3)</f>
        <v>2E-3</v>
      </c>
      <c r="AH38" s="37" t="str">
        <f>VLOOKUP(AG38,S36:AG39,2,0)</f>
        <v>E3</v>
      </c>
      <c r="AI38" s="37">
        <f>VLOOKUP(AG38,S36:AG39,3,0)</f>
        <v>3</v>
      </c>
      <c r="AJ38" s="46" t="s">
        <v>83</v>
      </c>
      <c r="AK38" s="37" t="str">
        <f>VLOOKUP(AG38,S36:AG39,4,0)</f>
        <v>River Plate</v>
      </c>
      <c r="AL38" s="37">
        <f>VLOOKUP(AG38,S36:AG39,5,0)</f>
        <v>0</v>
      </c>
      <c r="AM38" s="37">
        <f>VLOOKUP(AG38,S36:AG39,6,0)</f>
        <v>0</v>
      </c>
      <c r="AN38" s="37">
        <f>VLOOKUP(AG38,S36:AG39,7,0)</f>
        <v>0</v>
      </c>
      <c r="AO38" s="37">
        <f>VLOOKUP(AG38,S36:AG39,8,0)</f>
        <v>0</v>
      </c>
      <c r="AP38" s="37">
        <f>VLOOKUP(AG38,S36:AG39,9,0)</f>
        <v>0</v>
      </c>
      <c r="AQ38" s="37">
        <f>VLOOKUP(AG38,S36:AG39,10,0)</f>
        <v>0</v>
      </c>
      <c r="AR38" s="37">
        <f>VLOOKUP(AG38,S36:AG39,11,0)</f>
        <v>0</v>
      </c>
      <c r="AS38" s="37">
        <f>VLOOKUP(AG38,S36:AG39,12,0)</f>
        <v>0</v>
      </c>
      <c r="AT38" s="38">
        <f>VLOOKUP(AG38,S36:AG39,13,0)</f>
        <v>0</v>
      </c>
      <c r="AU38" s="39">
        <f>VLOOKUP(AG38,S36:AG39,14,0)</f>
        <v>0</v>
      </c>
      <c r="AV38" s="31"/>
      <c r="AW38" s="9">
        <v>26</v>
      </c>
      <c r="AX38" s="9" t="s">
        <v>90</v>
      </c>
      <c r="AY38" s="10">
        <v>0.125</v>
      </c>
      <c r="AZ38" t="s">
        <v>47</v>
      </c>
      <c r="BA38" s="1" t="str">
        <f>IFERROR(INDEX(Equipe!B:B,MATCH(AZ38,Equipe!A:A,0)),"")</f>
        <v>Inter Milan</v>
      </c>
      <c r="BC38" s="17" t="s">
        <v>83</v>
      </c>
      <c r="BD38" s="19"/>
      <c r="BE38" s="1" t="str">
        <f>IFERROR(INDEX(Equipe!B:B,MATCH(BF38,Equipe!A:A,0)),"")</f>
        <v>River Plate</v>
      </c>
      <c r="BF38" s="47" t="s">
        <v>49</v>
      </c>
      <c r="BG38" s="2" t="str">
        <f t="shared" si="71"/>
        <v/>
      </c>
      <c r="BH38" t="str">
        <f t="shared" si="72"/>
        <v/>
      </c>
      <c r="BI38" s="20"/>
      <c r="BJ38" s="20"/>
      <c r="BK38" s="21"/>
      <c r="BL38" s="21"/>
    </row>
    <row r="39" spans="1:64" ht="15.75">
      <c r="A39" t="s">
        <v>50</v>
      </c>
      <c r="B39" s="34" t="s">
        <v>95</v>
      </c>
      <c r="C39" s="1">
        <v>4</v>
      </c>
      <c r="D39" t="str">
        <f>IFERROR(INDEX(Equipe!B:B,MATCH(A39,Equipe!A:A,0)),"")</f>
        <v>Urawa Reds</v>
      </c>
      <c r="E39" s="18">
        <f t="shared" si="83"/>
        <v>0</v>
      </c>
      <c r="F39" s="41">
        <f t="shared" si="73"/>
        <v>0</v>
      </c>
      <c r="G39" s="18">
        <f>COUNTIFS($AZ34:$AZ39,$A39,$BG34:$BG39,3)+COUNTIFS($BF34:$BF39,$A39,$BH34:$BH39,3)</f>
        <v>0</v>
      </c>
      <c r="H39" s="18">
        <f>COUNTIFS($AZ34:$AZ39,$A39,$BG34:$BG39,1)+COUNTIFS($BF34:$BF39,$A39,$BH34:$BH39,1)</f>
        <v>0</v>
      </c>
      <c r="I39" s="18">
        <f>COUNTIFS($AZ34:$AZ39,$A39,$BG34:$BG39,0)+COUNTIFS($BF34:$BF39,$A39,$BH34:$BH39,0)</f>
        <v>0</v>
      </c>
      <c r="J39" s="18">
        <f>SUMIF($AZ34:$AZ39,$A39,$BB34:$BB39)+SUMIF($BF34:$BF39,$A39,$BD34:$BD39)</f>
        <v>0</v>
      </c>
      <c r="K39" s="18">
        <f>SUMIF($AZ34:$AZ39,$A39,$BD34:$BD39)+SUMIF($BF34:$BF39,$A39,$BB34:$BB39)</f>
        <v>0</v>
      </c>
      <c r="L39" s="42">
        <f t="shared" si="84"/>
        <v>0</v>
      </c>
      <c r="M39" s="32">
        <f>SUMIF($AZ34:$AZ39,$A39,$BI34:$BI39)+SUMIF($BF34:$BF39,$A39,$BJ34:$BJ39)</f>
        <v>0</v>
      </c>
      <c r="N39" s="43">
        <f>SUMIF($AZ37:$AZ42,$A39,$BK37:$BK42)+SUMIF($BF37:$BF42,$A39,$BL37:$BL42)</f>
        <v>0</v>
      </c>
      <c r="O39" s="44">
        <f>0.001+(E39*10000)+(J39*1000)+(L39*100)-(M39*1)-(N39*5)</f>
        <v>1E-3</v>
      </c>
      <c r="P39" s="1">
        <f>RANK(O39,O36:O39)</f>
        <v>4</v>
      </c>
      <c r="Q39" s="1">
        <f>RANK(L39,L36:L39)</f>
        <v>1</v>
      </c>
      <c r="R39" s="1">
        <f>RANK(J39,J36:J39)</f>
        <v>1</v>
      </c>
      <c r="S39" s="45">
        <f>O39</f>
        <v>1E-3</v>
      </c>
      <c r="T39" s="1" t="str">
        <f>A39</f>
        <v>E4</v>
      </c>
      <c r="U39" s="1">
        <f t="shared" si="86"/>
        <v>4</v>
      </c>
      <c r="V39" s="1" t="str">
        <f>D39</f>
        <v>Urawa Reds</v>
      </c>
      <c r="W39" s="1">
        <f t="shared" si="85"/>
        <v>0</v>
      </c>
      <c r="X39" s="1">
        <f t="shared" si="74"/>
        <v>0</v>
      </c>
      <c r="Y39" s="1">
        <f t="shared" si="75"/>
        <v>0</v>
      </c>
      <c r="Z39" s="1">
        <f t="shared" si="76"/>
        <v>0</v>
      </c>
      <c r="AA39" s="1">
        <f t="shared" si="77"/>
        <v>0</v>
      </c>
      <c r="AB39" s="1">
        <f t="shared" si="78"/>
        <v>0</v>
      </c>
      <c r="AC39" s="1">
        <f t="shared" si="79"/>
        <v>0</v>
      </c>
      <c r="AD39" s="1">
        <f t="shared" si="80"/>
        <v>0</v>
      </c>
      <c r="AE39" s="1">
        <f t="shared" si="81"/>
        <v>0</v>
      </c>
      <c r="AF39" s="1">
        <f t="shared" si="82"/>
        <v>0</v>
      </c>
      <c r="AG39" s="1">
        <f>LARGE(S36:S39,4)</f>
        <v>1E-3</v>
      </c>
      <c r="AH39" s="37" t="str">
        <f>VLOOKUP(AG39,S36:AG39,2,0)</f>
        <v>E4</v>
      </c>
      <c r="AI39" s="37">
        <f>VLOOKUP(AG39,S36:AG39,3,0)</f>
        <v>4</v>
      </c>
      <c r="AJ39" s="46" t="s">
        <v>83</v>
      </c>
      <c r="AK39" s="37" t="str">
        <f>VLOOKUP(AG39,S36:AG39,4,0)</f>
        <v>Urawa Reds</v>
      </c>
      <c r="AL39" s="37">
        <f>VLOOKUP(AG39,S36:AG39,5,0)</f>
        <v>0</v>
      </c>
      <c r="AM39" s="37">
        <f>VLOOKUP(AG39,S36:AG39,6,0)</f>
        <v>0</v>
      </c>
      <c r="AN39" s="37">
        <f>VLOOKUP(AG39,S36:AG39,7,0)</f>
        <v>0</v>
      </c>
      <c r="AO39" s="37">
        <f>VLOOKUP(AG39,S36:AG39,8,0)</f>
        <v>0</v>
      </c>
      <c r="AP39" s="37">
        <f>VLOOKUP(AG39,S36:AG39,9,0)</f>
        <v>0</v>
      </c>
      <c r="AQ39" s="37">
        <f>VLOOKUP(AG39,S36:AG39,10,0)</f>
        <v>0</v>
      </c>
      <c r="AR39" s="37">
        <f>VLOOKUP(AG39,S36:AG39,11,0)</f>
        <v>0</v>
      </c>
      <c r="AS39" s="37">
        <f>VLOOKUP(AG39,S36:AG39,12,0)</f>
        <v>0</v>
      </c>
      <c r="AT39" s="38">
        <f>VLOOKUP(AG39,S36:AG39,13,0)</f>
        <v>0</v>
      </c>
      <c r="AU39" s="39">
        <f>VLOOKUP(AG39,S36:AG39,14,0)</f>
        <v>0</v>
      </c>
      <c r="AV39" s="31"/>
      <c r="AW39" s="6">
        <v>26</v>
      </c>
      <c r="AX39" s="6" t="s">
        <v>90</v>
      </c>
      <c r="AY39" s="8">
        <v>0.125</v>
      </c>
      <c r="AZ39" s="3" t="s">
        <v>50</v>
      </c>
      <c r="BA39" s="4" t="str">
        <f>IFERROR(INDEX(Equipe!B:B,MATCH(AZ39,Equipe!A:A,0)),"")</f>
        <v>Urawa Reds</v>
      </c>
      <c r="BB39" s="23"/>
      <c r="BC39" s="22" t="s">
        <v>83</v>
      </c>
      <c r="BD39" s="23"/>
      <c r="BE39" s="4" t="str">
        <f>IFERROR(INDEX(Equipe!B:B,MATCH(BF39,Equipe!A:A,0)),"")</f>
        <v>CF Monterrey</v>
      </c>
      <c r="BF39" s="48" t="s">
        <v>48</v>
      </c>
      <c r="BG39" s="2" t="str">
        <f t="shared" si="71"/>
        <v/>
      </c>
      <c r="BH39" t="str">
        <f t="shared" si="72"/>
        <v/>
      </c>
      <c r="BI39" s="20"/>
      <c r="BJ39" s="20"/>
      <c r="BK39" s="21"/>
      <c r="BL39" s="21"/>
    </row>
    <row r="41" spans="1:64" ht="18">
      <c r="AH41" s="51" t="s">
        <v>94</v>
      </c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24"/>
      <c r="AX41" s="24"/>
      <c r="AY41" s="25"/>
      <c r="BB41" s="52" t="s">
        <v>84</v>
      </c>
      <c r="BC41" s="52"/>
      <c r="BD41" s="52"/>
      <c r="BI41" s="53" t="s">
        <v>85</v>
      </c>
      <c r="BJ41" s="53"/>
      <c r="BK41" s="54" t="s">
        <v>86</v>
      </c>
      <c r="BL41" s="54"/>
    </row>
    <row r="42" spans="1:64">
      <c r="B42" s="26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27"/>
      <c r="N42" s="27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9"/>
      <c r="AG42" s="29"/>
      <c r="AH42" s="30"/>
      <c r="AI42" s="55" t="s">
        <v>63</v>
      </c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18"/>
      <c r="AU42" s="18"/>
      <c r="AV42" s="31"/>
      <c r="AW42" s="9">
        <v>17</v>
      </c>
      <c r="AX42" s="9" t="s">
        <v>90</v>
      </c>
      <c r="AY42" s="10">
        <v>0.74999999999996103</v>
      </c>
      <c r="AZ42" t="s">
        <v>52</v>
      </c>
      <c r="BA42" s="1" t="str">
        <f>IFERROR(INDEX(Equipe!B:B,MATCH(AZ42,Equipe!A:A,0)),"")</f>
        <v>Fluminense</v>
      </c>
      <c r="BC42" s="17" t="s">
        <v>83</v>
      </c>
      <c r="BD42" s="19"/>
      <c r="BE42" s="1" t="str">
        <f>IFERROR(INDEX(Equipe!B:B,MATCH(BF42,Equipe!A:A,0)),"")</f>
        <v>Borussia Dortmund</v>
      </c>
      <c r="BF42" s="47" t="s">
        <v>51</v>
      </c>
      <c r="BG42" s="2" t="str">
        <f>IF(BB42="","",IF(BB42&gt;BD42,3,IF(BB42=BD42,1,IF(BB42&lt;BD42,IF(BD42="",3,0)))))</f>
        <v/>
      </c>
      <c r="BH42" t="str">
        <f>IF(BD42="","",IF(BD42&gt;BB42,3,IF(BD42=BB42,1,IF(BD42&lt;BB42,IF(BB42="",3,0)))))</f>
        <v/>
      </c>
      <c r="BI42" s="20"/>
      <c r="BJ42" s="20"/>
      <c r="BK42" s="21"/>
      <c r="BL42" s="21"/>
    </row>
    <row r="43" spans="1:64" ht="15.75">
      <c r="B43" s="26"/>
      <c r="C43" s="18"/>
      <c r="D43" s="30"/>
      <c r="E43" s="18" t="s">
        <v>64</v>
      </c>
      <c r="F43" s="18" t="s">
        <v>65</v>
      </c>
      <c r="G43" s="18" t="s">
        <v>66</v>
      </c>
      <c r="H43" s="18" t="s">
        <v>67</v>
      </c>
      <c r="I43" s="18" t="s">
        <v>68</v>
      </c>
      <c r="J43" s="18" t="s">
        <v>69</v>
      </c>
      <c r="K43" s="18" t="s">
        <v>70</v>
      </c>
      <c r="L43" s="18" t="s">
        <v>71</v>
      </c>
      <c r="M43" s="32" t="s">
        <v>85</v>
      </c>
      <c r="N43" s="33" t="s">
        <v>86</v>
      </c>
      <c r="O43" s="28"/>
      <c r="P43" s="1" t="s">
        <v>72</v>
      </c>
      <c r="Q43" s="1" t="s">
        <v>73</v>
      </c>
      <c r="R43" s="1" t="s">
        <v>74</v>
      </c>
      <c r="S43" t="s">
        <v>75</v>
      </c>
      <c r="T43" t="s">
        <v>76</v>
      </c>
      <c r="U43" s="1" t="s">
        <v>77</v>
      </c>
      <c r="V43" s="1" t="s">
        <v>78</v>
      </c>
      <c r="W43" s="1" t="s">
        <v>79</v>
      </c>
      <c r="X43" s="1" t="s">
        <v>65</v>
      </c>
      <c r="Y43" s="1" t="s">
        <v>66</v>
      </c>
      <c r="Z43" s="1" t="s">
        <v>67</v>
      </c>
      <c r="AA43" s="1" t="s">
        <v>68</v>
      </c>
      <c r="AB43" s="1" t="s">
        <v>80</v>
      </c>
      <c r="AC43" s="1" t="s">
        <v>81</v>
      </c>
      <c r="AD43" s="34" t="s">
        <v>71</v>
      </c>
      <c r="AE43" s="34" t="s">
        <v>85</v>
      </c>
      <c r="AF43" s="35" t="s">
        <v>86</v>
      </c>
      <c r="AG43" s="35"/>
      <c r="AH43" s="18"/>
      <c r="AI43" s="18"/>
      <c r="AJ43" s="36"/>
      <c r="AK43" s="18"/>
      <c r="AL43" s="18" t="s">
        <v>64</v>
      </c>
      <c r="AM43" s="18" t="s">
        <v>65</v>
      </c>
      <c r="AN43" s="18" t="s">
        <v>66</v>
      </c>
      <c r="AO43" s="18" t="s">
        <v>67</v>
      </c>
      <c r="AP43" s="18" t="s">
        <v>68</v>
      </c>
      <c r="AQ43" s="18" t="s">
        <v>69</v>
      </c>
      <c r="AR43" s="18" t="s">
        <v>70</v>
      </c>
      <c r="AS43" s="37" t="s">
        <v>71</v>
      </c>
      <c r="AT43" s="38" t="s">
        <v>85</v>
      </c>
      <c r="AU43" s="39" t="s">
        <v>86</v>
      </c>
      <c r="AV43" s="40"/>
      <c r="AW43" s="6">
        <v>18</v>
      </c>
      <c r="AX43" s="6" t="s">
        <v>90</v>
      </c>
      <c r="AY43" s="8">
        <v>0</v>
      </c>
      <c r="AZ43" s="3" t="s">
        <v>53</v>
      </c>
      <c r="BA43" s="4" t="str">
        <f>IFERROR(INDEX(Equipe!B:B,MATCH(AZ43,Equipe!A:A,0)),"")</f>
        <v>Sundowns</v>
      </c>
      <c r="BB43" s="23"/>
      <c r="BC43" s="22" t="s">
        <v>83</v>
      </c>
      <c r="BD43" s="23"/>
      <c r="BE43" s="4" t="str">
        <f>IFERROR(INDEX(Equipe!B:B,MATCH(BF43,Equipe!A:A,0)),"")</f>
        <v>Ulsan</v>
      </c>
      <c r="BF43" s="48" t="s">
        <v>54</v>
      </c>
      <c r="BG43" s="2" t="str">
        <f>IF(BB43="","",IF(BB43&gt;BD43,3,IF(BB43=BD43,1,IF(BB43&lt;BD43,IF(BD43="",3,0)))))</f>
        <v/>
      </c>
      <c r="BH43" t="str">
        <f>IF(BD43="","",IF(BD43&gt;BB43,3,IF(BD43=BB43,1,IF(BD43&lt;BB43,IF(BB43="",3,0)))))</f>
        <v/>
      </c>
      <c r="BI43" s="20"/>
      <c r="BJ43" s="20"/>
      <c r="BK43" s="21"/>
      <c r="BL43" s="21"/>
    </row>
    <row r="44" spans="1:64" ht="15.75">
      <c r="A44" t="s">
        <v>51</v>
      </c>
      <c r="B44" s="34" t="s">
        <v>82</v>
      </c>
      <c r="C44" s="1">
        <v>1</v>
      </c>
      <c r="D44" t="str">
        <f>IFERROR(INDEX(Equipe!B:B,MATCH(A44,Equipe!A:A,0)),"")</f>
        <v>Borussia Dortmund</v>
      </c>
      <c r="E44" s="18">
        <f>(G44*3)+H44</f>
        <v>0</v>
      </c>
      <c r="F44" s="41">
        <f t="shared" ref="F44:F47" si="87">G44+H44+I44</f>
        <v>0</v>
      </c>
      <c r="G44" s="18">
        <f>COUNTIFS($AZ42:$AZ47,$A44,$BG42:$BG47,3)+COUNTIFS($BF42:$BF47,$A44,$BH42:$BH47,3)</f>
        <v>0</v>
      </c>
      <c r="H44" s="18">
        <f>COUNTIFS($AZ42:$AZ47,$A44,$BG42:$BG47,1)+COUNTIFS($BF42:$BF47,$A44,$BH42:$BH47,1)</f>
        <v>0</v>
      </c>
      <c r="I44" s="18">
        <f>COUNTIFS($AZ42:$AZ47,$A44,$BG42:$BG47,0)+COUNTIFS($BF42:$BF47,$A44,$BH42:$BH47,0)</f>
        <v>0</v>
      </c>
      <c r="J44" s="18">
        <f>SUMIF($AZ42:$AZ47,$A44,$BB42:$BB47)+SUMIF($BF42:$BF47,$A44,$BD42:$BD47)</f>
        <v>0</v>
      </c>
      <c r="K44" s="18">
        <f>SUMIF($AZ42:$AZ47,$A44,$BD42:$BD47)+SUMIF($BF42:$BF47,$A44,$BB42:$BB47)</f>
        <v>0</v>
      </c>
      <c r="L44" s="42">
        <f>J44-K44</f>
        <v>0</v>
      </c>
      <c r="M44" s="32">
        <f>SUMIF($AZ42:$AZ47,$A44,$BI42:$BI47)+SUMIF($BF42:$BF47,$A44,$BJ42:$BJ47)</f>
        <v>0</v>
      </c>
      <c r="N44" s="43">
        <f>SUMIF($AZ42:$AZ47,$A44,$BK42:$BK47)+SUMIF($BF42:$BF47,$A44,$BL42:$BL47)</f>
        <v>0</v>
      </c>
      <c r="O44" s="44">
        <f>0.003+(E44*10000)+(J44*1000)+(L44*100)-(M44*1)-(N44*5)</f>
        <v>3.0000000000000001E-3</v>
      </c>
      <c r="P44" s="1">
        <f>RANK(O44,O44:O47)</f>
        <v>2</v>
      </c>
      <c r="Q44" s="1">
        <f>RANK(L44,L$12:L47)</f>
        <v>4</v>
      </c>
      <c r="R44" s="1">
        <f>RANK(J44,J44:J47)</f>
        <v>1</v>
      </c>
      <c r="S44" s="45">
        <f>O44</f>
        <v>3.0000000000000001E-3</v>
      </c>
      <c r="T44" s="1" t="str">
        <f>A44</f>
        <v>F1</v>
      </c>
      <c r="U44" s="1">
        <f>P44</f>
        <v>2</v>
      </c>
      <c r="V44" s="1" t="str">
        <f>D44</f>
        <v>Borussia Dortmund</v>
      </c>
      <c r="W44" s="1">
        <f>E44</f>
        <v>0</v>
      </c>
      <c r="X44" s="1">
        <f t="shared" ref="X44:X47" si="88">F44</f>
        <v>0</v>
      </c>
      <c r="Y44" s="1">
        <f t="shared" ref="Y44:Y47" si="89">G44</f>
        <v>0</v>
      </c>
      <c r="Z44" s="1">
        <f t="shared" ref="Z44:Z47" si="90">H44</f>
        <v>0</v>
      </c>
      <c r="AA44" s="1">
        <f t="shared" ref="AA44:AA47" si="91">I44</f>
        <v>0</v>
      </c>
      <c r="AB44" s="1">
        <f t="shared" ref="AB44:AB47" si="92">J44</f>
        <v>0</v>
      </c>
      <c r="AC44" s="1">
        <f t="shared" ref="AC44:AC47" si="93">K44</f>
        <v>0</v>
      </c>
      <c r="AD44" s="1">
        <f t="shared" ref="AD44:AD47" si="94">L44</f>
        <v>0</v>
      </c>
      <c r="AE44" s="1">
        <f t="shared" ref="AE44:AE47" si="95">M44</f>
        <v>0</v>
      </c>
      <c r="AF44" s="1">
        <f t="shared" ref="AF44:AF47" si="96">N44</f>
        <v>0</v>
      </c>
      <c r="AG44" s="1">
        <f>LARGE(S44:S47,1)</f>
        <v>4.0000000000000001E-3</v>
      </c>
      <c r="AH44" s="37" t="str">
        <f>VLOOKUP(AG44,S44:AG47,2,0)</f>
        <v>F2</v>
      </c>
      <c r="AI44" s="37">
        <f>VLOOKUP(AG44,S44:AG47,3,0)</f>
        <v>1</v>
      </c>
      <c r="AJ44" s="46" t="s">
        <v>83</v>
      </c>
      <c r="AK44" s="37" t="str">
        <f>VLOOKUP(AG44,S44:AG47,4,0)</f>
        <v>Fluminense</v>
      </c>
      <c r="AL44" s="37">
        <f>VLOOKUP(AG44,S44:AG47,5,0)</f>
        <v>0</v>
      </c>
      <c r="AM44" s="37">
        <f>VLOOKUP(AG44,S44:AG47,6,0)</f>
        <v>0</v>
      </c>
      <c r="AN44" s="37">
        <f>VLOOKUP(AG44,S44:AG47,7,0)</f>
        <v>0</v>
      </c>
      <c r="AO44" s="37">
        <f>VLOOKUP(AG44,S44:AG47,8,0)</f>
        <v>0</v>
      </c>
      <c r="AP44" s="37">
        <f>VLOOKUP(AG44,S44:AG47,9,0)</f>
        <v>0</v>
      </c>
      <c r="AQ44" s="37">
        <f>VLOOKUP(AG44,S44:AG47,10,0)</f>
        <v>0</v>
      </c>
      <c r="AR44" s="37">
        <f>VLOOKUP(AG44,S44:AG47,11,0)</f>
        <v>0</v>
      </c>
      <c r="AS44" s="37">
        <f>VLOOKUP(AG44,S44:AG47,12,0)</f>
        <v>0</v>
      </c>
      <c r="AT44" s="38">
        <f>VLOOKUP(AG44,S44:AG47,13,0)</f>
        <v>0</v>
      </c>
      <c r="AU44" s="39">
        <f>VLOOKUP(AG44,S44:AG47,14,0)</f>
        <v>0</v>
      </c>
      <c r="AV44" s="31"/>
      <c r="AW44" s="9">
        <v>21</v>
      </c>
      <c r="AX44" s="9" t="s">
        <v>90</v>
      </c>
      <c r="AY44" s="10">
        <v>0.74999999999996103</v>
      </c>
      <c r="AZ44" t="s">
        <v>51</v>
      </c>
      <c r="BA44" s="1" t="str">
        <f>IFERROR(INDEX(Equipe!B:B,MATCH(AZ44,Equipe!A:A,0)),"")</f>
        <v>Borussia Dortmund</v>
      </c>
      <c r="BC44" s="17" t="s">
        <v>83</v>
      </c>
      <c r="BD44" s="19"/>
      <c r="BE44" s="1" t="str">
        <f>IFERROR(INDEX(Equipe!B:B,MATCH(BF44,Equipe!A:A,0)),"")</f>
        <v>Sundowns</v>
      </c>
      <c r="BF44" s="47" t="s">
        <v>53</v>
      </c>
      <c r="BG44" s="2" t="str">
        <f t="shared" ref="BG44:BG47" si="97">IF(BB44="","",IF(BB44&gt;BD44,3,IF(BB44=BD44,1,IF(BB44&lt;BD44,IF(BD44="",3,0)))))</f>
        <v/>
      </c>
      <c r="BH44" t="str">
        <f t="shared" ref="BH44:BH47" si="98">IF(BD44="","",IF(BD44&gt;BB44,3,IF(BD44=BB44,1,IF(BD44&lt;BB44,IF(BB44="",3,0)))))</f>
        <v/>
      </c>
      <c r="BI44" s="20"/>
      <c r="BJ44" s="20"/>
      <c r="BK44" s="21"/>
      <c r="BL44" s="21"/>
    </row>
    <row r="45" spans="1:64" ht="15.75">
      <c r="A45" t="s">
        <v>52</v>
      </c>
      <c r="B45" s="34" t="s">
        <v>82</v>
      </c>
      <c r="C45" s="1">
        <v>2</v>
      </c>
      <c r="D45" t="str">
        <f>IFERROR(INDEX(Equipe!B:B,MATCH(A45,Equipe!A:A,0)),"")</f>
        <v>Fluminense</v>
      </c>
      <c r="E45" s="18">
        <f t="shared" ref="E45:E47" si="99">(G45*3)+H45</f>
        <v>0</v>
      </c>
      <c r="F45" s="41">
        <f t="shared" si="87"/>
        <v>0</v>
      </c>
      <c r="G45" s="18">
        <f>COUNTIFS($AZ42:$AZ47,$A45,$BG42:$BG47,3)+COUNTIFS($BF42:$BF47,$A45,$BH42:$BH47,3)</f>
        <v>0</v>
      </c>
      <c r="H45" s="18">
        <f>COUNTIFS($AZ42:$AZ47,$A45,$BG42:$BG47,1)+COUNTIFS($BF42:$BF47,$A45,$BH42:$BH47,1)</f>
        <v>0</v>
      </c>
      <c r="I45" s="18">
        <f>COUNTIFS($AZ42:$AZ47,$A45,$BG42:$BG47,0)+COUNTIFS($BF42:$BF47,$A45,$BH42:$BH47,0)</f>
        <v>0</v>
      </c>
      <c r="J45" s="18">
        <f>SUMIF($AZ42:$AZ47,$A45,$BB42:$BB47)+SUMIF($BF42:$BF47,$A45,$BD42:$BD47)</f>
        <v>0</v>
      </c>
      <c r="K45" s="18">
        <f>SUMIF($AZ42:$AZ47,$A45,$BD42:$BD47)+SUMIF($BF42:$BF47,$A45,$BB42:$BB47)</f>
        <v>0</v>
      </c>
      <c r="L45" s="42">
        <f t="shared" ref="L45:L47" si="100">J45-K45</f>
        <v>0</v>
      </c>
      <c r="M45" s="32">
        <f>SUMIF($AZ42:$AZ47,$A45,$BI42:$BI47)+SUMIF($BF42:$BF47,$A45,$BJ42:$BJ47)</f>
        <v>0</v>
      </c>
      <c r="N45" s="43">
        <f>SUMIF($AZ43:$AZ48,$A45,$BK43:$BK48)+SUMIF($BF43:$BF48,$A45,$BL43:$BL48)</f>
        <v>0</v>
      </c>
      <c r="O45" s="44">
        <f>0.004+(E45*10000)+(J45*1000)+(L45*100)-(M45*1)-(N45*5)</f>
        <v>4.0000000000000001E-3</v>
      </c>
      <c r="P45" s="1">
        <f>RANK(O45,O44:O47)</f>
        <v>1</v>
      </c>
      <c r="Q45" s="1">
        <f>RANK(L45,L44:L47)</f>
        <v>1</v>
      </c>
      <c r="R45" s="1">
        <f>RANK(J45,J44:J47)</f>
        <v>1</v>
      </c>
      <c r="S45" s="45">
        <f>O45</f>
        <v>4.0000000000000001E-3</v>
      </c>
      <c r="T45" s="1" t="str">
        <f>A45</f>
        <v>F2</v>
      </c>
      <c r="U45" s="1">
        <f>P45</f>
        <v>1</v>
      </c>
      <c r="V45" s="1" t="str">
        <f>D45</f>
        <v>Fluminense</v>
      </c>
      <c r="W45" s="1">
        <f t="shared" ref="W45:W47" si="101">E45</f>
        <v>0</v>
      </c>
      <c r="X45" s="1">
        <f t="shared" si="88"/>
        <v>0</v>
      </c>
      <c r="Y45" s="1">
        <f t="shared" si="89"/>
        <v>0</v>
      </c>
      <c r="Z45" s="1">
        <f t="shared" si="90"/>
        <v>0</v>
      </c>
      <c r="AA45" s="1">
        <f t="shared" si="91"/>
        <v>0</v>
      </c>
      <c r="AB45" s="1">
        <f t="shared" si="92"/>
        <v>0</v>
      </c>
      <c r="AC45" s="1">
        <f t="shared" si="93"/>
        <v>0</v>
      </c>
      <c r="AD45" s="1">
        <f t="shared" si="94"/>
        <v>0</v>
      </c>
      <c r="AE45" s="1">
        <f t="shared" si="95"/>
        <v>0</v>
      </c>
      <c r="AF45" s="1">
        <f t="shared" si="96"/>
        <v>0</v>
      </c>
      <c r="AG45" s="1">
        <f>LARGE(S44:S47,2)</f>
        <v>3.0000000000000001E-3</v>
      </c>
      <c r="AH45" s="37" t="str">
        <f>VLOOKUP(AG45,S44:AG47,2,0)</f>
        <v>F1</v>
      </c>
      <c r="AI45" s="37">
        <f>VLOOKUP(AG45,S44:AG47,3,0)</f>
        <v>2</v>
      </c>
      <c r="AJ45" s="46" t="s">
        <v>83</v>
      </c>
      <c r="AK45" s="37" t="str">
        <f>VLOOKUP(AG45,S44:AG47,4,0)</f>
        <v>Borussia Dortmund</v>
      </c>
      <c r="AL45" s="37">
        <f>VLOOKUP(AG45,S44:AG47,5,0)</f>
        <v>0</v>
      </c>
      <c r="AM45" s="37">
        <f>VLOOKUP(AG45,S44:AG47,6,0)</f>
        <v>0</v>
      </c>
      <c r="AN45" s="37">
        <f>VLOOKUP(AG45,S44:AG47,7,0)</f>
        <v>0</v>
      </c>
      <c r="AO45" s="37">
        <f>VLOOKUP(AG45,S44:AG47,8,0)</f>
        <v>0</v>
      </c>
      <c r="AP45" s="37">
        <f>VLOOKUP(AG45,S44:AG47,9,0)</f>
        <v>0</v>
      </c>
      <c r="AQ45" s="37">
        <f>VLOOKUP(AG45,S44:AG47,10,0)</f>
        <v>0</v>
      </c>
      <c r="AR45" s="37">
        <f>VLOOKUP(AG45,S44:AG47,11,0)</f>
        <v>0</v>
      </c>
      <c r="AS45" s="37">
        <f>VLOOKUP(AG45,S44:AG47,12,0)</f>
        <v>0</v>
      </c>
      <c r="AT45" s="38">
        <f>VLOOKUP(AG45,S44:AG47,13,0)</f>
        <v>0</v>
      </c>
      <c r="AU45" s="39">
        <f>VLOOKUP(AG45,S44:AG47,14,0)</f>
        <v>0</v>
      </c>
      <c r="AV45" s="31"/>
      <c r="AW45" s="6">
        <v>22</v>
      </c>
      <c r="AX45" s="6" t="s">
        <v>90</v>
      </c>
      <c r="AY45" s="8">
        <v>0</v>
      </c>
      <c r="AZ45" s="3" t="s">
        <v>54</v>
      </c>
      <c r="BA45" s="4" t="str">
        <f>IFERROR(INDEX(Equipe!B:B,MATCH(AZ45,Equipe!A:A,0)),"")</f>
        <v>Ulsan</v>
      </c>
      <c r="BB45" s="23"/>
      <c r="BC45" s="22" t="s">
        <v>83</v>
      </c>
      <c r="BD45" s="23"/>
      <c r="BE45" s="4" t="str">
        <f>IFERROR(INDEX(Equipe!B:B,MATCH(BF45,Equipe!A:A,0)),"")</f>
        <v>Fluminense</v>
      </c>
      <c r="BF45" s="48" t="s">
        <v>52</v>
      </c>
      <c r="BG45" s="2" t="str">
        <f t="shared" si="97"/>
        <v/>
      </c>
      <c r="BH45" t="str">
        <f t="shared" si="98"/>
        <v/>
      </c>
      <c r="BI45" s="20"/>
      <c r="BJ45" s="20"/>
      <c r="BK45" s="21"/>
      <c r="BL45" s="21"/>
    </row>
    <row r="46" spans="1:64" ht="15.75">
      <c r="A46" t="s">
        <v>53</v>
      </c>
      <c r="B46" s="34" t="s">
        <v>95</v>
      </c>
      <c r="C46" s="1">
        <v>3</v>
      </c>
      <c r="D46" t="str">
        <f>IFERROR(INDEX(Equipe!B:B,MATCH(A46,Equipe!A:A,0)),"")</f>
        <v>Sundowns</v>
      </c>
      <c r="E46" s="18">
        <f t="shared" si="99"/>
        <v>0</v>
      </c>
      <c r="F46" s="41">
        <f t="shared" si="87"/>
        <v>0</v>
      </c>
      <c r="G46" s="18">
        <f>COUNTIFS($AZ42:$AZ47,$A46,$BG42:$BG47,3)+COUNTIFS($BF42:$BF47,$A46,$BH42:$BH47,3)</f>
        <v>0</v>
      </c>
      <c r="H46" s="18">
        <f>COUNTIFS($AZ42:$AZ47,$A46,$BG42:$BG47,1)+COUNTIFS($BF42:$BF47,$A46,$BH42:$BH47,1)</f>
        <v>0</v>
      </c>
      <c r="I46" s="18">
        <f>COUNTIFS($AZ42:$AZ47,$A46,$BG42:$BG47,0)+COUNTIFS($BF42:$BF47,$A46,$BH42:$BH47,0)</f>
        <v>0</v>
      </c>
      <c r="J46" s="18">
        <f>SUMIF($AZ42:$AZ47,$A46,$BB42:$BB47)+SUMIF($BF42:$BF47,$A46,$BD42:$BD47)</f>
        <v>0</v>
      </c>
      <c r="K46" s="18">
        <f>SUMIF($AZ42:$AZ47,$A46,$BD42:$BD47)+SUMIF($BF42:$BF47,$A46,$BB42:$BB47)</f>
        <v>0</v>
      </c>
      <c r="L46" s="42">
        <f t="shared" si="100"/>
        <v>0</v>
      </c>
      <c r="M46" s="32">
        <f>SUMIF($AZ42:$AZ47,$A46,$BI42:$BI47)+SUMIF($BF42:$BF47,$A46,$BJ42:$BJ47)</f>
        <v>0</v>
      </c>
      <c r="N46" s="43">
        <f>SUMIF($AZ44:$AZ49,$A46,$BK44:$BK49)+SUMIF($BF44:$BF49,$A46,$BL44:$BL49)</f>
        <v>0</v>
      </c>
      <c r="O46" s="44">
        <f>0.002+(E46*10000)+(J46*1000)+(L46*100)-(M46*1)-(N46*5)</f>
        <v>2E-3</v>
      </c>
      <c r="P46" s="1">
        <f>RANK(O46,O44:O47)</f>
        <v>3</v>
      </c>
      <c r="Q46" s="1">
        <f>RANK(L46,L44:L47)</f>
        <v>1</v>
      </c>
      <c r="R46" s="1">
        <f>RANK(J46,J44:J47)</f>
        <v>1</v>
      </c>
      <c r="S46" s="45">
        <f>O46</f>
        <v>2E-3</v>
      </c>
      <c r="T46" s="1" t="str">
        <f>A46</f>
        <v>F3</v>
      </c>
      <c r="U46" s="1">
        <f t="shared" ref="U46:U47" si="102">P46</f>
        <v>3</v>
      </c>
      <c r="V46" s="1" t="str">
        <f>D46</f>
        <v>Sundowns</v>
      </c>
      <c r="W46" s="1">
        <f t="shared" si="101"/>
        <v>0</v>
      </c>
      <c r="X46" s="1">
        <f t="shared" si="88"/>
        <v>0</v>
      </c>
      <c r="Y46" s="1">
        <f t="shared" si="89"/>
        <v>0</v>
      </c>
      <c r="Z46" s="1">
        <f t="shared" si="90"/>
        <v>0</v>
      </c>
      <c r="AA46" s="1">
        <f t="shared" si="91"/>
        <v>0</v>
      </c>
      <c r="AB46" s="1">
        <f t="shared" si="92"/>
        <v>0</v>
      </c>
      <c r="AC46" s="1">
        <f t="shared" si="93"/>
        <v>0</v>
      </c>
      <c r="AD46" s="1">
        <f t="shared" si="94"/>
        <v>0</v>
      </c>
      <c r="AE46" s="1">
        <f t="shared" si="95"/>
        <v>0</v>
      </c>
      <c r="AF46" s="1">
        <f t="shared" si="96"/>
        <v>0</v>
      </c>
      <c r="AG46" s="1">
        <f>LARGE(S44:S47,3)</f>
        <v>2E-3</v>
      </c>
      <c r="AH46" s="37" t="str">
        <f>VLOOKUP(AG46,S44:AG47,2,0)</f>
        <v>F3</v>
      </c>
      <c r="AI46" s="37">
        <f>VLOOKUP(AG46,S44:AG47,3,0)</f>
        <v>3</v>
      </c>
      <c r="AJ46" s="46" t="s">
        <v>83</v>
      </c>
      <c r="AK46" s="37" t="str">
        <f>VLOOKUP(AG46,S44:AG47,4,0)</f>
        <v>Sundowns</v>
      </c>
      <c r="AL46" s="37">
        <f>VLOOKUP(AG46,S44:AG47,5,0)</f>
        <v>0</v>
      </c>
      <c r="AM46" s="37">
        <f>VLOOKUP(AG46,S44:AG47,6,0)</f>
        <v>0</v>
      </c>
      <c r="AN46" s="37">
        <f>VLOOKUP(AG46,S44:AG47,7,0)</f>
        <v>0</v>
      </c>
      <c r="AO46" s="37">
        <f>VLOOKUP(AG46,S44:AG47,8,0)</f>
        <v>0</v>
      </c>
      <c r="AP46" s="37">
        <f>VLOOKUP(AG46,S44:AG47,9,0)</f>
        <v>0</v>
      </c>
      <c r="AQ46" s="37">
        <f>VLOOKUP(AG46,S44:AG47,10,0)</f>
        <v>0</v>
      </c>
      <c r="AR46" s="37">
        <f>VLOOKUP(AG46,S44:AG47,11,0)</f>
        <v>0</v>
      </c>
      <c r="AS46" s="37">
        <f>VLOOKUP(AG46,S44:AG47,12,0)</f>
        <v>0</v>
      </c>
      <c r="AT46" s="38">
        <f>VLOOKUP(AG46,S44:AG47,13,0)</f>
        <v>0</v>
      </c>
      <c r="AU46" s="39">
        <f>VLOOKUP(AG46,S44:AG47,14,0)</f>
        <v>0</v>
      </c>
      <c r="AV46" s="31"/>
      <c r="AW46" s="9">
        <v>25</v>
      </c>
      <c r="AX46" s="9" t="s">
        <v>90</v>
      </c>
      <c r="AY46" s="10">
        <v>0</v>
      </c>
      <c r="AZ46" t="s">
        <v>53</v>
      </c>
      <c r="BA46" s="1" t="str">
        <f>IFERROR(INDEX(Equipe!B:B,MATCH(AZ46,Equipe!A:A,0)),"")</f>
        <v>Sundowns</v>
      </c>
      <c r="BC46" s="17" t="s">
        <v>83</v>
      </c>
      <c r="BD46" s="19"/>
      <c r="BE46" s="1" t="str">
        <f>IFERROR(INDEX(Equipe!B:B,MATCH(BF46,Equipe!A:A,0)),"")</f>
        <v>Fluminense</v>
      </c>
      <c r="BF46" s="47" t="s">
        <v>52</v>
      </c>
      <c r="BG46" s="2" t="str">
        <f t="shared" si="97"/>
        <v/>
      </c>
      <c r="BH46" t="str">
        <f t="shared" si="98"/>
        <v/>
      </c>
      <c r="BI46" s="20"/>
      <c r="BJ46" s="20"/>
      <c r="BK46" s="21"/>
      <c r="BL46" s="21"/>
    </row>
    <row r="47" spans="1:64" ht="15.75">
      <c r="A47" t="s">
        <v>54</v>
      </c>
      <c r="B47" s="34" t="s">
        <v>95</v>
      </c>
      <c r="C47" s="1">
        <v>4</v>
      </c>
      <c r="D47" t="str">
        <f>IFERROR(INDEX(Equipe!B:B,MATCH(A47,Equipe!A:A,0)),"")</f>
        <v>Ulsan</v>
      </c>
      <c r="E47" s="18">
        <f t="shared" si="99"/>
        <v>0</v>
      </c>
      <c r="F47" s="41">
        <f t="shared" si="87"/>
        <v>0</v>
      </c>
      <c r="G47" s="18">
        <f>COUNTIFS($AZ42:$AZ47,$A47,$BG42:$BG47,3)+COUNTIFS($BF42:$BF47,$A47,$BH42:$BH47,3)</f>
        <v>0</v>
      </c>
      <c r="H47" s="18">
        <f>COUNTIFS($AZ42:$AZ47,$A47,$BG42:$BG47,1)+COUNTIFS($BF42:$BF47,$A47,$BH42:$BH47,1)</f>
        <v>0</v>
      </c>
      <c r="I47" s="18">
        <f>COUNTIFS($AZ42:$AZ47,$A47,$BG42:$BG47,0)+COUNTIFS($BF42:$BF47,$A47,$BH42:$BH47,0)</f>
        <v>0</v>
      </c>
      <c r="J47" s="18">
        <f>SUMIF($AZ42:$AZ47,$A47,$BB42:$BB47)+SUMIF($BF42:$BF47,$A47,$BD42:$BD47)</f>
        <v>0</v>
      </c>
      <c r="K47" s="18">
        <f>SUMIF($AZ42:$AZ47,$A47,$BD42:$BD47)+SUMIF($BF42:$BF47,$A47,$BB42:$BB47)</f>
        <v>0</v>
      </c>
      <c r="L47" s="42">
        <f t="shared" si="100"/>
        <v>0</v>
      </c>
      <c r="M47" s="32">
        <f>SUMIF($AZ42:$AZ47,$A47,$BI42:$BI47)+SUMIF($BF42:$BF47,$A47,$BJ42:$BJ47)</f>
        <v>0</v>
      </c>
      <c r="N47" s="43">
        <f>SUMIF($AZ45:$AZ50,$A47,$BK45:$BK50)+SUMIF($BF45:$BF50,$A47,$BL45:$BL50)</f>
        <v>0</v>
      </c>
      <c r="O47" s="44">
        <f>0.001+(E47*10000)+(J47*1000)+(L47*100)-(M47*1)-(N47*5)</f>
        <v>1E-3</v>
      </c>
      <c r="P47" s="1">
        <f>RANK(O47,O44:O47)</f>
        <v>4</v>
      </c>
      <c r="Q47" s="1">
        <f>RANK(L47,L44:L47)</f>
        <v>1</v>
      </c>
      <c r="R47" s="1">
        <f>RANK(J47,J44:J47)</f>
        <v>1</v>
      </c>
      <c r="S47" s="45">
        <f>O47</f>
        <v>1E-3</v>
      </c>
      <c r="T47" s="1" t="str">
        <f>A47</f>
        <v>F4</v>
      </c>
      <c r="U47" s="1">
        <f t="shared" si="102"/>
        <v>4</v>
      </c>
      <c r="V47" s="1" t="str">
        <f>D47</f>
        <v>Ulsan</v>
      </c>
      <c r="W47" s="1">
        <f t="shared" si="101"/>
        <v>0</v>
      </c>
      <c r="X47" s="1">
        <f t="shared" si="88"/>
        <v>0</v>
      </c>
      <c r="Y47" s="1">
        <f t="shared" si="89"/>
        <v>0</v>
      </c>
      <c r="Z47" s="1">
        <f t="shared" si="90"/>
        <v>0</v>
      </c>
      <c r="AA47" s="1">
        <f t="shared" si="91"/>
        <v>0</v>
      </c>
      <c r="AB47" s="1">
        <f t="shared" si="92"/>
        <v>0</v>
      </c>
      <c r="AC47" s="1">
        <f t="shared" si="93"/>
        <v>0</v>
      </c>
      <c r="AD47" s="1">
        <f t="shared" si="94"/>
        <v>0</v>
      </c>
      <c r="AE47" s="1">
        <f t="shared" si="95"/>
        <v>0</v>
      </c>
      <c r="AF47" s="1">
        <f t="shared" si="96"/>
        <v>0</v>
      </c>
      <c r="AG47" s="1">
        <f>LARGE(S44:S47,4)</f>
        <v>1E-3</v>
      </c>
      <c r="AH47" s="37" t="str">
        <f>VLOOKUP(AG47,S44:AG47,2,0)</f>
        <v>F4</v>
      </c>
      <c r="AI47" s="37">
        <f>VLOOKUP(AG47,S44:AG47,3,0)</f>
        <v>4</v>
      </c>
      <c r="AJ47" s="46" t="s">
        <v>83</v>
      </c>
      <c r="AK47" s="37" t="str">
        <f>VLOOKUP(AG47,S44:AG47,4,0)</f>
        <v>Ulsan</v>
      </c>
      <c r="AL47" s="37">
        <f>VLOOKUP(AG47,S44:AG47,5,0)</f>
        <v>0</v>
      </c>
      <c r="AM47" s="37">
        <f>VLOOKUP(AG47,S44:AG47,6,0)</f>
        <v>0</v>
      </c>
      <c r="AN47" s="37">
        <f>VLOOKUP(AG47,S44:AG47,7,0)</f>
        <v>0</v>
      </c>
      <c r="AO47" s="37">
        <f>VLOOKUP(AG47,S44:AG47,8,0)</f>
        <v>0</v>
      </c>
      <c r="AP47" s="37">
        <f>VLOOKUP(AG47,S44:AG47,9,0)</f>
        <v>0</v>
      </c>
      <c r="AQ47" s="37">
        <f>VLOOKUP(AG47,S44:AG47,10,0)</f>
        <v>0</v>
      </c>
      <c r="AR47" s="37">
        <f>VLOOKUP(AG47,S44:AG47,11,0)</f>
        <v>0</v>
      </c>
      <c r="AS47" s="37">
        <f>VLOOKUP(AG47,S44:AG47,12,0)</f>
        <v>0</v>
      </c>
      <c r="AT47" s="38">
        <f>VLOOKUP(AG47,S44:AG47,13,0)</f>
        <v>0</v>
      </c>
      <c r="AU47" s="39">
        <f>VLOOKUP(AG47,S44:AG47,14,0)</f>
        <v>0</v>
      </c>
      <c r="AV47" s="31"/>
      <c r="AW47" s="6">
        <v>25</v>
      </c>
      <c r="AX47" s="6" t="s">
        <v>90</v>
      </c>
      <c r="AY47" s="8">
        <v>0.87499999999995304</v>
      </c>
      <c r="AZ47" s="3" t="s">
        <v>51</v>
      </c>
      <c r="BA47" s="4" t="str">
        <f>IFERROR(INDEX(Equipe!B:B,MATCH(AZ47,Equipe!A:A,0)),"")</f>
        <v>Borussia Dortmund</v>
      </c>
      <c r="BB47" s="23"/>
      <c r="BC47" s="22" t="s">
        <v>83</v>
      </c>
      <c r="BD47" s="23"/>
      <c r="BE47" s="4" t="str">
        <f>IFERROR(INDEX(Equipe!B:B,MATCH(BF47,Equipe!A:A,0)),"")</f>
        <v>Ulsan</v>
      </c>
      <c r="BF47" s="48" t="s">
        <v>54</v>
      </c>
      <c r="BG47" s="2" t="str">
        <f t="shared" si="97"/>
        <v/>
      </c>
      <c r="BH47" t="str">
        <f t="shared" si="98"/>
        <v/>
      </c>
      <c r="BI47" s="20"/>
      <c r="BJ47" s="20"/>
      <c r="BK47" s="21"/>
      <c r="BL47" s="21"/>
    </row>
    <row r="49" spans="1:64" ht="18">
      <c r="AH49" s="51" t="s">
        <v>96</v>
      </c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24"/>
      <c r="AX49" s="24"/>
      <c r="AY49" s="25"/>
      <c r="BB49" s="52" t="s">
        <v>84</v>
      </c>
      <c r="BC49" s="52"/>
      <c r="BD49" s="52"/>
      <c r="BI49" s="53" t="s">
        <v>85</v>
      </c>
      <c r="BJ49" s="53"/>
      <c r="BK49" s="54" t="s">
        <v>86</v>
      </c>
      <c r="BL49" s="54"/>
    </row>
    <row r="50" spans="1:64">
      <c r="B50" s="26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27"/>
      <c r="N50" s="27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9"/>
      <c r="AG50" s="29"/>
      <c r="AH50" s="30"/>
      <c r="AI50" s="55" t="s">
        <v>63</v>
      </c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18"/>
      <c r="AU50" s="18"/>
      <c r="AV50" s="31"/>
      <c r="AW50" s="9">
        <v>18</v>
      </c>
      <c r="AX50" s="9" t="s">
        <v>90</v>
      </c>
      <c r="AY50" s="10">
        <v>0.74999999999996103</v>
      </c>
      <c r="AZ50" t="s">
        <v>55</v>
      </c>
      <c r="BA50" s="1" t="str">
        <f>IFERROR(INDEX(Equipe!B:B,MATCH(AZ50,Equipe!A:A,0)),"")</f>
        <v>Wydad AC</v>
      </c>
      <c r="BC50" s="17" t="s">
        <v>83</v>
      </c>
      <c r="BD50" s="19"/>
      <c r="BE50" s="1" t="str">
        <f>IFERROR(INDEX(Equipe!B:B,MATCH(BF50,Equipe!A:A,0)),"")</f>
        <v>Manchester City</v>
      </c>
      <c r="BF50" s="47" t="s">
        <v>62</v>
      </c>
      <c r="BG50" s="2" t="str">
        <f>IF(BB50="","",IF(BB50&gt;BD50,3,IF(BB50=BD50,1,IF(BB50&lt;BD50,IF(BD50="",3,0)))))</f>
        <v/>
      </c>
      <c r="BH50" t="str">
        <f>IF(BD50="","",IF(BD50&gt;BB50,3,IF(BD50=BB50,1,IF(BD50&lt;BB50,IF(BB50="",3,0)))))</f>
        <v/>
      </c>
      <c r="BI50" s="20"/>
      <c r="BJ50" s="20"/>
      <c r="BK50" s="21"/>
      <c r="BL50" s="21"/>
    </row>
    <row r="51" spans="1:64" ht="15.75">
      <c r="B51" s="26"/>
      <c r="C51" s="18"/>
      <c r="D51" s="30"/>
      <c r="E51" s="18" t="s">
        <v>64</v>
      </c>
      <c r="F51" s="18" t="s">
        <v>65</v>
      </c>
      <c r="G51" s="18" t="s">
        <v>66</v>
      </c>
      <c r="H51" s="18" t="s">
        <v>67</v>
      </c>
      <c r="I51" s="18" t="s">
        <v>68</v>
      </c>
      <c r="J51" s="18" t="s">
        <v>69</v>
      </c>
      <c r="K51" s="18" t="s">
        <v>70</v>
      </c>
      <c r="L51" s="18" t="s">
        <v>71</v>
      </c>
      <c r="M51" s="32" t="s">
        <v>85</v>
      </c>
      <c r="N51" s="33" t="s">
        <v>86</v>
      </c>
      <c r="O51" s="28"/>
      <c r="P51" s="1" t="s">
        <v>72</v>
      </c>
      <c r="Q51" s="1" t="s">
        <v>73</v>
      </c>
      <c r="R51" s="1" t="s">
        <v>74</v>
      </c>
      <c r="S51" t="s">
        <v>75</v>
      </c>
      <c r="T51" t="s">
        <v>76</v>
      </c>
      <c r="U51" s="1" t="s">
        <v>77</v>
      </c>
      <c r="V51" s="1" t="s">
        <v>78</v>
      </c>
      <c r="W51" s="1" t="s">
        <v>79</v>
      </c>
      <c r="X51" s="1" t="s">
        <v>65</v>
      </c>
      <c r="Y51" s="1" t="s">
        <v>66</v>
      </c>
      <c r="Z51" s="1" t="s">
        <v>67</v>
      </c>
      <c r="AA51" s="1" t="s">
        <v>68</v>
      </c>
      <c r="AB51" s="1" t="s">
        <v>80</v>
      </c>
      <c r="AC51" s="1" t="s">
        <v>81</v>
      </c>
      <c r="AD51" s="34" t="s">
        <v>71</v>
      </c>
      <c r="AE51" s="34" t="s">
        <v>85</v>
      </c>
      <c r="AF51" s="35" t="s">
        <v>86</v>
      </c>
      <c r="AG51" s="35"/>
      <c r="AH51" s="18"/>
      <c r="AI51" s="18"/>
      <c r="AJ51" s="36"/>
      <c r="AK51" s="18"/>
      <c r="AL51" s="18" t="s">
        <v>64</v>
      </c>
      <c r="AM51" s="18" t="s">
        <v>65</v>
      </c>
      <c r="AN51" s="18" t="s">
        <v>66</v>
      </c>
      <c r="AO51" s="18" t="s">
        <v>67</v>
      </c>
      <c r="AP51" s="18" t="s">
        <v>68</v>
      </c>
      <c r="AQ51" s="18" t="s">
        <v>69</v>
      </c>
      <c r="AR51" s="18" t="s">
        <v>70</v>
      </c>
      <c r="AS51" s="37" t="s">
        <v>71</v>
      </c>
      <c r="AT51" s="38" t="s">
        <v>85</v>
      </c>
      <c r="AU51" s="39" t="s">
        <v>86</v>
      </c>
      <c r="AV51" s="40"/>
      <c r="AW51" s="6">
        <v>19</v>
      </c>
      <c r="AX51" s="6" t="s">
        <v>90</v>
      </c>
      <c r="AY51" s="8">
        <v>0.125</v>
      </c>
      <c r="AZ51" s="3" t="s">
        <v>61</v>
      </c>
      <c r="BA51" s="4" t="str">
        <f>IFERROR(INDEX(Equipe!B:B,MATCH(AZ51,Equipe!A:A,0)),"")</f>
        <v>Juventus Turin</v>
      </c>
      <c r="BB51" s="23"/>
      <c r="BC51" s="22" t="s">
        <v>83</v>
      </c>
      <c r="BD51" s="23"/>
      <c r="BE51" s="4" t="str">
        <f>IFERROR(INDEX(Equipe!B:B,MATCH(BF51,Equipe!A:A,0)),"")</f>
        <v>Al Ain</v>
      </c>
      <c r="BF51" s="48" t="s">
        <v>60</v>
      </c>
      <c r="BG51" s="2" t="str">
        <f t="shared" ref="BG51:BG55" si="103">IF(BB51="","",IF(BB51&gt;BD51,3,IF(BB51=BD51,1,IF(BB51&lt;BD51,IF(BD51="",3,0)))))</f>
        <v/>
      </c>
      <c r="BH51" t="str">
        <f t="shared" ref="BH51:BH55" si="104">IF(BD51="","",IF(BD51&gt;BB51,3,IF(BD51=BB51,1,IF(BD51&lt;BB51,IF(BB51="",3,0)))))</f>
        <v/>
      </c>
      <c r="BI51" s="20"/>
      <c r="BJ51" s="20"/>
      <c r="BK51" s="21"/>
      <c r="BL51" s="21"/>
    </row>
    <row r="52" spans="1:64" ht="15.75">
      <c r="A52" t="s">
        <v>60</v>
      </c>
      <c r="B52" s="34" t="s">
        <v>82</v>
      </c>
      <c r="C52" s="1">
        <v>1</v>
      </c>
      <c r="D52" t="str">
        <f>IFERROR(INDEX(Equipe!B:B,MATCH(A52,Equipe!A:A,0)),"")</f>
        <v>Al Ain</v>
      </c>
      <c r="E52" s="18">
        <f>(G52*3)+H52</f>
        <v>0</v>
      </c>
      <c r="F52" s="41">
        <f t="shared" ref="F52:F55" si="105">G52+H52+I52</f>
        <v>0</v>
      </c>
      <c r="G52" s="18">
        <f>COUNTIFS($AZ50:$AZ55,$A52,$BG50:$BG55,3)+COUNTIFS($BF50:$BF55,$A52,$BH50:$BH55,3)</f>
        <v>0</v>
      </c>
      <c r="H52" s="18">
        <f>COUNTIFS($AZ50:$AZ55,$A52,$BG50:$BG55,1)+COUNTIFS($BF50:$BF55,$A52,$BH50:$BH55,1)</f>
        <v>0</v>
      </c>
      <c r="I52" s="18">
        <f>COUNTIFS($AZ50:$AZ55,$A52,$BG50:$BG55,0)+COUNTIFS($BF50:$BF55,$A52,$BH50:$BH55,0)</f>
        <v>0</v>
      </c>
      <c r="J52" s="18">
        <f>SUMIF($AZ50:$AZ55,$A52,$BB50:$BB55)+SUMIF($BF50:$BF55,$A52,$BD50:$BD55)</f>
        <v>0</v>
      </c>
      <c r="K52" s="18">
        <f>SUMIF($AZ50:$AZ55,$A52,$BD50:$BD55)+SUMIF($BF50:$BF55,$A52,$BB50:$BB55)</f>
        <v>0</v>
      </c>
      <c r="L52" s="42">
        <f>J52-K52</f>
        <v>0</v>
      </c>
      <c r="M52" s="32">
        <f>SUMIF($AZ50:$AZ55,$A52,$BI50:$BI55)+SUMIF($BF50:$BF55,$A52,$BJ50:$BJ55)</f>
        <v>0</v>
      </c>
      <c r="N52" s="43">
        <f>SUMIF($AZ50:$AZ55,$A52,$BK50:$BK55)+SUMIF($BF50:$BF55,$A52,$BL50:$BL55)</f>
        <v>0</v>
      </c>
      <c r="O52" s="44">
        <f>0.003+(E52*10000)+(J52*1000)+(L52*100)-(M52*1)-(N52*5)</f>
        <v>3.0000000000000001E-3</v>
      </c>
      <c r="P52" s="1">
        <f>RANK(O52,O52:O55)</f>
        <v>2</v>
      </c>
      <c r="Q52" s="1">
        <f>RANK(L52,L$12:L55)</f>
        <v>4</v>
      </c>
      <c r="R52" s="1">
        <f>RANK(J52,J52:J55)</f>
        <v>1</v>
      </c>
      <c r="S52" s="45">
        <f>O52</f>
        <v>3.0000000000000001E-3</v>
      </c>
      <c r="T52" s="1" t="str">
        <f>A52</f>
        <v>G1</v>
      </c>
      <c r="U52" s="1">
        <f>P52</f>
        <v>2</v>
      </c>
      <c r="V52" s="1" t="str">
        <f>D52</f>
        <v>Al Ain</v>
      </c>
      <c r="W52" s="1">
        <f>E52</f>
        <v>0</v>
      </c>
      <c r="X52" s="1">
        <f t="shared" ref="X52:X55" si="106">F52</f>
        <v>0</v>
      </c>
      <c r="Y52" s="1">
        <f t="shared" ref="Y52:Y55" si="107">G52</f>
        <v>0</v>
      </c>
      <c r="Z52" s="1">
        <f t="shared" ref="Z52:Z55" si="108">H52</f>
        <v>0</v>
      </c>
      <c r="AA52" s="1">
        <f t="shared" ref="AA52:AA55" si="109">I52</f>
        <v>0</v>
      </c>
      <c r="AB52" s="1">
        <f t="shared" ref="AB52:AB55" si="110">J52</f>
        <v>0</v>
      </c>
      <c r="AC52" s="1">
        <f t="shared" ref="AC52:AC55" si="111">K52</f>
        <v>0</v>
      </c>
      <c r="AD52" s="1">
        <f t="shared" ref="AD52:AD55" si="112">L52</f>
        <v>0</v>
      </c>
      <c r="AE52" s="1">
        <f t="shared" ref="AE52:AE55" si="113">M52</f>
        <v>0</v>
      </c>
      <c r="AF52" s="1">
        <f t="shared" ref="AF52:AF55" si="114">N52</f>
        <v>0</v>
      </c>
      <c r="AG52" s="1">
        <f>LARGE(S52:S55,1)</f>
        <v>4.0000000000000001E-3</v>
      </c>
      <c r="AH52" s="37" t="str">
        <f>VLOOKUP(AG52,S52:AG55,2,0)</f>
        <v>G2</v>
      </c>
      <c r="AI52" s="37">
        <f>VLOOKUP(AG52,S52:AG55,3,0)</f>
        <v>1</v>
      </c>
      <c r="AJ52" s="46" t="s">
        <v>83</v>
      </c>
      <c r="AK52" s="37" t="str">
        <f>VLOOKUP(AG52,S52:AG55,4,0)</f>
        <v>Juventus Turin</v>
      </c>
      <c r="AL52" s="37">
        <f>VLOOKUP(AG52,S52:AG55,5,0)</f>
        <v>0</v>
      </c>
      <c r="AM52" s="37">
        <f>VLOOKUP(AG52,S52:AG55,6,0)</f>
        <v>0</v>
      </c>
      <c r="AN52" s="37">
        <f>VLOOKUP(AG52,S52:AG55,7,0)</f>
        <v>0</v>
      </c>
      <c r="AO52" s="37">
        <f>VLOOKUP(AG52,S52:AG55,8,0)</f>
        <v>0</v>
      </c>
      <c r="AP52" s="37">
        <f>VLOOKUP(AG52,S52:AG55,9,0)</f>
        <v>0</v>
      </c>
      <c r="AQ52" s="37">
        <f>VLOOKUP(AG52,S52:AG55,10,0)</f>
        <v>0</v>
      </c>
      <c r="AR52" s="37">
        <f>VLOOKUP(AG52,S52:AG55,11,0)</f>
        <v>0</v>
      </c>
      <c r="AS52" s="37">
        <f>VLOOKUP(AG52,S52:AG55,12,0)</f>
        <v>0</v>
      </c>
      <c r="AT52" s="38">
        <f>VLOOKUP(AG52,S52:AG55,13,0)</f>
        <v>0</v>
      </c>
      <c r="AU52" s="39">
        <f>VLOOKUP(AG52,S52:AG55,14,0)</f>
        <v>0</v>
      </c>
      <c r="AV52" s="31"/>
      <c r="AW52" s="9">
        <v>22</v>
      </c>
      <c r="AX52" s="9" t="s">
        <v>90</v>
      </c>
      <c r="AY52" s="10">
        <v>0.74999999999996103</v>
      </c>
      <c r="AZ52" t="s">
        <v>61</v>
      </c>
      <c r="BA52" s="1" t="str">
        <f>IFERROR(INDEX(Equipe!B:B,MATCH(AZ52,Equipe!A:A,0)),"")</f>
        <v>Juventus Turin</v>
      </c>
      <c r="BC52" s="17" t="s">
        <v>83</v>
      </c>
      <c r="BD52" s="19"/>
      <c r="BE52" s="1" t="str">
        <f>IFERROR(INDEX(Equipe!B:B,MATCH(BF52,Equipe!A:A,0)),"")</f>
        <v>Wydad AC</v>
      </c>
      <c r="BF52" s="47" t="s">
        <v>55</v>
      </c>
      <c r="BG52" s="2" t="str">
        <f t="shared" si="103"/>
        <v/>
      </c>
      <c r="BH52" t="str">
        <f t="shared" si="104"/>
        <v/>
      </c>
      <c r="BI52" s="20"/>
      <c r="BJ52" s="20"/>
      <c r="BK52" s="21"/>
      <c r="BL52" s="21"/>
    </row>
    <row r="53" spans="1:64" ht="15.75">
      <c r="A53" t="s">
        <v>61</v>
      </c>
      <c r="B53" s="34" t="s">
        <v>82</v>
      </c>
      <c r="C53" s="1">
        <v>2</v>
      </c>
      <c r="D53" t="str">
        <f>IFERROR(INDEX(Equipe!B:B,MATCH(A53,Equipe!A:A,0)),"")</f>
        <v>Juventus Turin</v>
      </c>
      <c r="E53" s="18">
        <f t="shared" ref="E53:E55" si="115">(G53*3)+H53</f>
        <v>0</v>
      </c>
      <c r="F53" s="41">
        <f t="shared" si="105"/>
        <v>0</v>
      </c>
      <c r="G53" s="18">
        <f>COUNTIFS($AZ50:$AZ55,$A53,$BG50:$BG55,3)+COUNTIFS($BF50:$BF55,$A53,$BH50:$BH55,3)</f>
        <v>0</v>
      </c>
      <c r="H53" s="18">
        <f>COUNTIFS($AZ50:$AZ55,$A53,$BG50:$BG55,1)+COUNTIFS($BF50:$BF55,$A53,$BH50:$BH55,1)</f>
        <v>0</v>
      </c>
      <c r="I53" s="18">
        <f>COUNTIFS($AZ50:$AZ55,$A53,$BG50:$BG55,0)+COUNTIFS($BF50:$BF55,$A53,$BH50:$BH55,0)</f>
        <v>0</v>
      </c>
      <c r="J53" s="18">
        <f>SUMIF($AZ50:$AZ55,$A53,$BB50:$BB55)+SUMIF($BF50:$BF55,$A53,$BD50:$BD55)</f>
        <v>0</v>
      </c>
      <c r="K53" s="18">
        <f>SUMIF($AZ50:$AZ55,$A53,$BD50:$BD55)+SUMIF($BF50:$BF55,$A53,$BB50:$BB55)</f>
        <v>0</v>
      </c>
      <c r="L53" s="42">
        <f t="shared" ref="L53:L55" si="116">J53-K53</f>
        <v>0</v>
      </c>
      <c r="M53" s="32">
        <f>SUMIF($AZ50:$AZ55,$A53,$BI50:$BI55)+SUMIF($BF50:$BF55,$A53,$BJ50:$BJ55)</f>
        <v>0</v>
      </c>
      <c r="N53" s="43">
        <f>SUMIF($AZ51:$AZ56,$A53,$BK51:$BK56)+SUMIF($BF51:$BF56,$A53,$BL51:$BL56)</f>
        <v>0</v>
      </c>
      <c r="O53" s="44">
        <f>0.004+(E53*10000)+(J53*1000)+(L53*100)-(M53*1)-(N53*5)</f>
        <v>4.0000000000000001E-3</v>
      </c>
      <c r="P53" s="1">
        <f>RANK(O53,O52:O55)</f>
        <v>1</v>
      </c>
      <c r="Q53" s="1">
        <f>RANK(L53,L52:L55)</f>
        <v>1</v>
      </c>
      <c r="R53" s="1">
        <f>RANK(J53,J52:J55)</f>
        <v>1</v>
      </c>
      <c r="S53" s="45">
        <f>O53</f>
        <v>4.0000000000000001E-3</v>
      </c>
      <c r="T53" s="1" t="str">
        <f>A53</f>
        <v>G2</v>
      </c>
      <c r="U53" s="1">
        <f>P53</f>
        <v>1</v>
      </c>
      <c r="V53" s="1" t="str">
        <f>D53</f>
        <v>Juventus Turin</v>
      </c>
      <c r="W53" s="1">
        <f t="shared" ref="W53:W55" si="117">E53</f>
        <v>0</v>
      </c>
      <c r="X53" s="1">
        <f t="shared" si="106"/>
        <v>0</v>
      </c>
      <c r="Y53" s="1">
        <f t="shared" si="107"/>
        <v>0</v>
      </c>
      <c r="Z53" s="1">
        <f t="shared" si="108"/>
        <v>0</v>
      </c>
      <c r="AA53" s="1">
        <f t="shared" si="109"/>
        <v>0</v>
      </c>
      <c r="AB53" s="1">
        <f t="shared" si="110"/>
        <v>0</v>
      </c>
      <c r="AC53" s="1">
        <f t="shared" si="111"/>
        <v>0</v>
      </c>
      <c r="AD53" s="1">
        <f t="shared" si="112"/>
        <v>0</v>
      </c>
      <c r="AE53" s="1">
        <f t="shared" si="113"/>
        <v>0</v>
      </c>
      <c r="AF53" s="1">
        <f t="shared" si="114"/>
        <v>0</v>
      </c>
      <c r="AG53" s="1">
        <f>LARGE(S52:S55,2)</f>
        <v>3.0000000000000001E-3</v>
      </c>
      <c r="AH53" s="37" t="str">
        <f>VLOOKUP(AG53,S52:AG55,2,0)</f>
        <v>G1</v>
      </c>
      <c r="AI53" s="37">
        <f>VLOOKUP(AG53,S52:AG55,3,0)</f>
        <v>2</v>
      </c>
      <c r="AJ53" s="46" t="s">
        <v>83</v>
      </c>
      <c r="AK53" s="37" t="str">
        <f>VLOOKUP(AG53,S52:AG55,4,0)</f>
        <v>Al Ain</v>
      </c>
      <c r="AL53" s="37">
        <f>VLOOKUP(AG53,S52:AG55,5,0)</f>
        <v>0</v>
      </c>
      <c r="AM53" s="37">
        <f>VLOOKUP(AG53,S52:AG55,6,0)</f>
        <v>0</v>
      </c>
      <c r="AN53" s="37">
        <f>VLOOKUP(AG53,S52:AG55,7,0)</f>
        <v>0</v>
      </c>
      <c r="AO53" s="37">
        <f>VLOOKUP(AG53,S52:AG55,8,0)</f>
        <v>0</v>
      </c>
      <c r="AP53" s="37">
        <f>VLOOKUP(AG53,S52:AG55,9,0)</f>
        <v>0</v>
      </c>
      <c r="AQ53" s="37">
        <f>VLOOKUP(AG53,S52:AG55,10,0)</f>
        <v>0</v>
      </c>
      <c r="AR53" s="37">
        <f>VLOOKUP(AG53,S52:AG55,11,0)</f>
        <v>0</v>
      </c>
      <c r="AS53" s="37">
        <f>VLOOKUP(AG53,S52:AG55,12,0)</f>
        <v>0</v>
      </c>
      <c r="AT53" s="38">
        <f>VLOOKUP(AG53,S52:AG55,13,0)</f>
        <v>0</v>
      </c>
      <c r="AU53" s="39">
        <f>VLOOKUP(AG53,S52:AG55,14,0)</f>
        <v>0</v>
      </c>
      <c r="AV53" s="31"/>
      <c r="AW53" s="6">
        <v>23</v>
      </c>
      <c r="AX53" s="6" t="s">
        <v>90</v>
      </c>
      <c r="AY53" s="8">
        <v>0.125</v>
      </c>
      <c r="AZ53" s="3" t="s">
        <v>62</v>
      </c>
      <c r="BA53" s="4" t="str">
        <f>IFERROR(INDEX(Equipe!B:B,MATCH(AZ53,Equipe!A:A,0)),"")</f>
        <v>Manchester City</v>
      </c>
      <c r="BB53" s="23"/>
      <c r="BC53" s="22" t="s">
        <v>83</v>
      </c>
      <c r="BD53" s="23"/>
      <c r="BE53" s="4" t="str">
        <f>IFERROR(INDEX(Equipe!B:B,MATCH(BF53,Equipe!A:A,0)),"")</f>
        <v>Al Ain</v>
      </c>
      <c r="BF53" s="48" t="s">
        <v>60</v>
      </c>
      <c r="BG53" s="2" t="str">
        <f t="shared" si="103"/>
        <v/>
      </c>
      <c r="BH53" t="str">
        <f t="shared" si="104"/>
        <v/>
      </c>
      <c r="BI53" s="20"/>
      <c r="BJ53" s="20"/>
      <c r="BK53" s="21"/>
      <c r="BL53" s="21"/>
    </row>
    <row r="54" spans="1:64" ht="15.75">
      <c r="A54" t="s">
        <v>62</v>
      </c>
      <c r="B54" s="34" t="s">
        <v>82</v>
      </c>
      <c r="C54" s="1">
        <v>3</v>
      </c>
      <c r="D54" t="str">
        <f>IFERROR(INDEX(Equipe!B:B,MATCH(A54,Equipe!A:A,0)),"")</f>
        <v>Manchester City</v>
      </c>
      <c r="E54" s="18">
        <f t="shared" si="115"/>
        <v>0</v>
      </c>
      <c r="F54" s="41">
        <f t="shared" si="105"/>
        <v>0</v>
      </c>
      <c r="G54" s="18">
        <f>COUNTIFS($AZ50:$AZ55,$A54,$BG50:$BG55,3)+COUNTIFS($BF50:$BF55,$A54,$BH50:$BH55,3)</f>
        <v>0</v>
      </c>
      <c r="H54" s="18">
        <f>COUNTIFS($AZ50:$AZ55,$A54,$BG50:$BG55,1)+COUNTIFS($BF50:$BF55,$A54,$BH50:$BH55,1)</f>
        <v>0</v>
      </c>
      <c r="I54" s="18">
        <f>COUNTIFS($AZ50:$AZ55,$A54,$BG50:$BG55,0)+COUNTIFS($BF50:$BF55,$A54,$BH50:$BH55,0)</f>
        <v>0</v>
      </c>
      <c r="J54" s="18">
        <f>SUMIF($AZ50:$AZ55,$A54,$BB50:$BB55)+SUMIF($BF50:$BF55,$A54,$BD50:$BD55)</f>
        <v>0</v>
      </c>
      <c r="K54" s="18">
        <f>SUMIF($AZ50:$AZ55,$A54,$BD50:$BD55)+SUMIF($BF50:$BF55,$A54,$BB50:$BB55)</f>
        <v>0</v>
      </c>
      <c r="L54" s="42">
        <f t="shared" si="116"/>
        <v>0</v>
      </c>
      <c r="M54" s="32">
        <f>SUMIF($AZ50:$AZ55,$A54,$BI50:$BI55)+SUMIF($BF50:$BF55,$A54,$BJ50:$BJ55)</f>
        <v>0</v>
      </c>
      <c r="N54" s="43">
        <f>SUMIF($AZ52:$AZ57,$A54,$BK52:$BK57)+SUMIF($BF52:$BF57,$A54,$BL52:$BL57)</f>
        <v>0</v>
      </c>
      <c r="O54" s="44">
        <f>0.002+(E54*10000)+(J54*1000)+(L54*100)-(M54*1)-(N54*5)</f>
        <v>2E-3</v>
      </c>
      <c r="P54" s="1">
        <f>RANK(O54,O52:O55)</f>
        <v>3</v>
      </c>
      <c r="Q54" s="1">
        <f>RANK(L54,L52:L55)</f>
        <v>1</v>
      </c>
      <c r="R54" s="1">
        <f>RANK(J54,J52:J55)</f>
        <v>1</v>
      </c>
      <c r="S54" s="45">
        <f>O54</f>
        <v>2E-3</v>
      </c>
      <c r="T54" s="1" t="str">
        <f>A54</f>
        <v>G3</v>
      </c>
      <c r="U54" s="1">
        <f t="shared" ref="U54:U55" si="118">P54</f>
        <v>3</v>
      </c>
      <c r="V54" s="1" t="str">
        <f>D54</f>
        <v>Manchester City</v>
      </c>
      <c r="W54" s="1">
        <f t="shared" si="117"/>
        <v>0</v>
      </c>
      <c r="X54" s="1">
        <f t="shared" si="106"/>
        <v>0</v>
      </c>
      <c r="Y54" s="1">
        <f t="shared" si="107"/>
        <v>0</v>
      </c>
      <c r="Z54" s="1">
        <f t="shared" si="108"/>
        <v>0</v>
      </c>
      <c r="AA54" s="1">
        <f t="shared" si="109"/>
        <v>0</v>
      </c>
      <c r="AB54" s="1">
        <f t="shared" si="110"/>
        <v>0</v>
      </c>
      <c r="AC54" s="1">
        <f t="shared" si="111"/>
        <v>0</v>
      </c>
      <c r="AD54" s="1">
        <f t="shared" si="112"/>
        <v>0</v>
      </c>
      <c r="AE54" s="1">
        <f t="shared" si="113"/>
        <v>0</v>
      </c>
      <c r="AF54" s="1">
        <f t="shared" si="114"/>
        <v>0</v>
      </c>
      <c r="AG54" s="1">
        <f>LARGE(S52:S55,3)</f>
        <v>2E-3</v>
      </c>
      <c r="AH54" s="37" t="str">
        <f>VLOOKUP(AG54,S52:AG55,2,0)</f>
        <v>G3</v>
      </c>
      <c r="AI54" s="37">
        <f>VLOOKUP(AG54,S52:AG55,3,0)</f>
        <v>3</v>
      </c>
      <c r="AJ54" s="46" t="s">
        <v>83</v>
      </c>
      <c r="AK54" s="37" t="str">
        <f>VLOOKUP(AG54,S52:AG55,4,0)</f>
        <v>Manchester City</v>
      </c>
      <c r="AL54" s="37">
        <f>VLOOKUP(AG54,S52:AG55,5,0)</f>
        <v>0</v>
      </c>
      <c r="AM54" s="37">
        <f>VLOOKUP(AG54,S52:AG55,6,0)</f>
        <v>0</v>
      </c>
      <c r="AN54" s="37">
        <f>VLOOKUP(AG54,S52:AG55,7,0)</f>
        <v>0</v>
      </c>
      <c r="AO54" s="37">
        <f>VLOOKUP(AG54,S52:AG55,8,0)</f>
        <v>0</v>
      </c>
      <c r="AP54" s="37">
        <f>VLOOKUP(AG54,S52:AG55,9,0)</f>
        <v>0</v>
      </c>
      <c r="AQ54" s="37">
        <f>VLOOKUP(AG54,S52:AG55,10,0)</f>
        <v>0</v>
      </c>
      <c r="AR54" s="37">
        <f>VLOOKUP(AG54,S52:AG55,11,0)</f>
        <v>0</v>
      </c>
      <c r="AS54" s="37">
        <f>VLOOKUP(AG54,S52:AG55,12,0)</f>
        <v>0</v>
      </c>
      <c r="AT54" s="38">
        <f>VLOOKUP(AG54,S52:AG55,13,0)</f>
        <v>0</v>
      </c>
      <c r="AU54" s="39">
        <f>VLOOKUP(AG54,S52:AG55,14,0)</f>
        <v>0</v>
      </c>
      <c r="AV54" s="31"/>
      <c r="AW54" s="9">
        <v>26</v>
      </c>
      <c r="AX54" s="9" t="s">
        <v>90</v>
      </c>
      <c r="AY54" s="10">
        <v>0.87499999999995304</v>
      </c>
      <c r="AZ54" t="s">
        <v>62</v>
      </c>
      <c r="BA54" s="1" t="str">
        <f>IFERROR(INDEX(Equipe!B:B,MATCH(AZ54,Equipe!A:A,0)),"")</f>
        <v>Manchester City</v>
      </c>
      <c r="BC54" s="17" t="s">
        <v>83</v>
      </c>
      <c r="BD54" s="19"/>
      <c r="BE54" s="1" t="str">
        <f>IFERROR(INDEX(Equipe!B:B,MATCH(BF54,Equipe!A:A,0)),"")</f>
        <v>Juventus Turin</v>
      </c>
      <c r="BF54" s="47" t="s">
        <v>61</v>
      </c>
      <c r="BG54" s="2" t="str">
        <f t="shared" si="103"/>
        <v/>
      </c>
      <c r="BH54" t="str">
        <f t="shared" si="104"/>
        <v/>
      </c>
      <c r="BI54" s="20"/>
      <c r="BJ54" s="20"/>
      <c r="BK54" s="21"/>
      <c r="BL54" s="21"/>
    </row>
    <row r="55" spans="1:64" ht="15.75">
      <c r="A55" t="s">
        <v>55</v>
      </c>
      <c r="B55" s="34" t="s">
        <v>82</v>
      </c>
      <c r="C55" s="1">
        <v>4</v>
      </c>
      <c r="D55" t="str">
        <f>IFERROR(INDEX(Equipe!B:B,MATCH(A55,Equipe!A:A,0)),"")</f>
        <v>Wydad AC</v>
      </c>
      <c r="E55" s="18">
        <f t="shared" si="115"/>
        <v>0</v>
      </c>
      <c r="F55" s="41">
        <f t="shared" si="105"/>
        <v>0</v>
      </c>
      <c r="G55" s="18">
        <f>COUNTIFS($AZ50:$AZ55,$A55,$BG50:$BG55,3)+COUNTIFS($BF50:$BF55,$A55,$BH50:$BH55,3)</f>
        <v>0</v>
      </c>
      <c r="H55" s="18">
        <f>COUNTIFS($AZ50:$AZ55,$A55,$BG50:$BG55,1)+COUNTIFS($BF50:$BF55,$A55,$BH50:$BH55,1)</f>
        <v>0</v>
      </c>
      <c r="I55" s="18">
        <f>COUNTIFS($AZ50:$AZ55,$A55,$BG50:$BG55,0)+COUNTIFS($BF50:$BF55,$A55,$BH50:$BH55,0)</f>
        <v>0</v>
      </c>
      <c r="J55" s="18">
        <f>SUMIF($AZ50:$AZ55,$A55,$BB50:$BB55)+SUMIF($BF50:$BF55,$A55,$BD50:$BD55)</f>
        <v>0</v>
      </c>
      <c r="K55" s="18">
        <f>SUMIF($AZ50:$AZ55,$A55,$BD50:$BD55)+SUMIF($BF50:$BF55,$A55,$BB50:$BB55)</f>
        <v>0</v>
      </c>
      <c r="L55" s="42">
        <f t="shared" si="116"/>
        <v>0</v>
      </c>
      <c r="M55" s="32">
        <f>SUMIF($AZ50:$AZ55,$A55,$BI50:$BI55)+SUMIF($BF50:$BF55,$A55,$BJ50:$BJ55)</f>
        <v>0</v>
      </c>
      <c r="N55" s="43">
        <f>SUMIF($AZ53:$AZ58,$A55,$BK53:$BK58)+SUMIF($BF53:$BF58,$A55,$BL53:$BL58)</f>
        <v>0</v>
      </c>
      <c r="O55" s="44">
        <f>0.001+(E55*10000)+(J55*1000)+(L55*100)-(M55*1)-(N55*5)</f>
        <v>1E-3</v>
      </c>
      <c r="P55" s="1">
        <f>RANK(O55,O52:O55)</f>
        <v>4</v>
      </c>
      <c r="Q55" s="1">
        <f>RANK(L55,L52:L55)</f>
        <v>1</v>
      </c>
      <c r="R55" s="1">
        <f>RANK(J55,J52:J55)</f>
        <v>1</v>
      </c>
      <c r="S55" s="45">
        <f>O55</f>
        <v>1E-3</v>
      </c>
      <c r="T55" s="1" t="str">
        <f>A55</f>
        <v>G4</v>
      </c>
      <c r="U55" s="1">
        <f t="shared" si="118"/>
        <v>4</v>
      </c>
      <c r="V55" s="1" t="str">
        <f>D55</f>
        <v>Wydad AC</v>
      </c>
      <c r="W55" s="1">
        <f t="shared" si="117"/>
        <v>0</v>
      </c>
      <c r="X55" s="1">
        <f t="shared" si="106"/>
        <v>0</v>
      </c>
      <c r="Y55" s="1">
        <f t="shared" si="107"/>
        <v>0</v>
      </c>
      <c r="Z55" s="1">
        <f t="shared" si="108"/>
        <v>0</v>
      </c>
      <c r="AA55" s="1">
        <f t="shared" si="109"/>
        <v>0</v>
      </c>
      <c r="AB55" s="1">
        <f t="shared" si="110"/>
        <v>0</v>
      </c>
      <c r="AC55" s="1">
        <f t="shared" si="111"/>
        <v>0</v>
      </c>
      <c r="AD55" s="1">
        <f t="shared" si="112"/>
        <v>0</v>
      </c>
      <c r="AE55" s="1">
        <f t="shared" si="113"/>
        <v>0</v>
      </c>
      <c r="AF55" s="1">
        <f t="shared" si="114"/>
        <v>0</v>
      </c>
      <c r="AG55" s="1">
        <f>LARGE(S52:S55,4)</f>
        <v>1E-3</v>
      </c>
      <c r="AH55" s="37" t="str">
        <f>VLOOKUP(AG55,S52:AG55,2,0)</f>
        <v>G4</v>
      </c>
      <c r="AI55" s="37">
        <f>VLOOKUP(AG55,S52:AG55,3,0)</f>
        <v>4</v>
      </c>
      <c r="AJ55" s="46" t="s">
        <v>83</v>
      </c>
      <c r="AK55" s="37" t="str">
        <f>VLOOKUP(AG55,S52:AG55,4,0)</f>
        <v>Wydad AC</v>
      </c>
      <c r="AL55" s="37">
        <f>VLOOKUP(AG55,S52:AG55,5,0)</f>
        <v>0</v>
      </c>
      <c r="AM55" s="37">
        <f>VLOOKUP(AG55,S52:AG55,6,0)</f>
        <v>0</v>
      </c>
      <c r="AN55" s="37">
        <f>VLOOKUP(AG55,S52:AG55,7,0)</f>
        <v>0</v>
      </c>
      <c r="AO55" s="37">
        <f>VLOOKUP(AG55,S52:AG55,8,0)</f>
        <v>0</v>
      </c>
      <c r="AP55" s="37">
        <f>VLOOKUP(AG55,S52:AG55,9,0)</f>
        <v>0</v>
      </c>
      <c r="AQ55" s="37">
        <f>VLOOKUP(AG55,S52:AG55,10,0)</f>
        <v>0</v>
      </c>
      <c r="AR55" s="37">
        <f>VLOOKUP(AG55,S52:AG55,11,0)</f>
        <v>0</v>
      </c>
      <c r="AS55" s="37">
        <f>VLOOKUP(AG55,S52:AG55,12,0)</f>
        <v>0</v>
      </c>
      <c r="AT55" s="38">
        <f>VLOOKUP(AG55,S52:AG55,13,0)</f>
        <v>0</v>
      </c>
      <c r="AU55" s="39">
        <f>VLOOKUP(AG55,S52:AG55,14,0)</f>
        <v>0</v>
      </c>
      <c r="AV55" s="31"/>
      <c r="AW55" s="6">
        <v>26</v>
      </c>
      <c r="AX55" s="6" t="s">
        <v>90</v>
      </c>
      <c r="AY55" s="8">
        <v>0.87499999999995304</v>
      </c>
      <c r="AZ55" s="3" t="s">
        <v>55</v>
      </c>
      <c r="BA55" s="4" t="str">
        <f>IFERROR(INDEX(Equipe!B:B,MATCH(AZ55,Equipe!A:A,0)),"")</f>
        <v>Wydad AC</v>
      </c>
      <c r="BB55" s="23"/>
      <c r="BC55" s="22" t="s">
        <v>83</v>
      </c>
      <c r="BD55" s="23"/>
      <c r="BE55" s="4" t="str">
        <f>IFERROR(INDEX(Equipe!B:B,MATCH(BF55,Equipe!A:A,0)),"")</f>
        <v>Al Ain</v>
      </c>
      <c r="BF55" s="48" t="s">
        <v>60</v>
      </c>
      <c r="BG55" s="2" t="str">
        <f t="shared" si="103"/>
        <v/>
      </c>
      <c r="BH55" t="str">
        <f t="shared" si="104"/>
        <v/>
      </c>
      <c r="BI55" s="20"/>
      <c r="BJ55" s="20"/>
      <c r="BK55" s="21"/>
      <c r="BL55" s="21"/>
    </row>
    <row r="57" spans="1:64" ht="18">
      <c r="AH57" s="51" t="s">
        <v>98</v>
      </c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24"/>
      <c r="AX57" s="24"/>
      <c r="AY57" s="25"/>
      <c r="BB57" s="52" t="s">
        <v>84</v>
      </c>
      <c r="BC57" s="52"/>
      <c r="BD57" s="52"/>
      <c r="BI57" s="53" t="s">
        <v>85</v>
      </c>
      <c r="BJ57" s="53"/>
      <c r="BK57" s="54" t="s">
        <v>86</v>
      </c>
      <c r="BL57" s="54"/>
    </row>
    <row r="58" spans="1:64">
      <c r="B58" s="26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27"/>
      <c r="N58" s="27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9"/>
      <c r="AG58" s="29"/>
      <c r="AH58" s="30"/>
      <c r="AI58" s="55" t="s">
        <v>63</v>
      </c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18"/>
      <c r="AU58" s="18"/>
      <c r="AV58" s="31"/>
      <c r="AW58" s="9">
        <v>18</v>
      </c>
      <c r="AX58" s="9" t="s">
        <v>90</v>
      </c>
      <c r="AY58" s="10">
        <v>0.87499999999995304</v>
      </c>
      <c r="AZ58" t="s">
        <v>59</v>
      </c>
      <c r="BA58" s="1" t="str">
        <f>IFERROR(INDEX(Equipe!B:B,MATCH(AZ58,Equipe!A:A,0)),"")</f>
        <v>Real Madrid</v>
      </c>
      <c r="BC58" s="17" t="s">
        <v>83</v>
      </c>
      <c r="BD58" s="19"/>
      <c r="BE58" s="1" t="str">
        <f>IFERROR(INDEX(Equipe!B:B,MATCH(BF58,Equipe!A:A,0)),"")</f>
        <v>Al-Hilal</v>
      </c>
      <c r="BF58" s="47" t="s">
        <v>57</v>
      </c>
      <c r="BG58" s="2" t="str">
        <f>IF(BB58="","",IF(BB58&gt;BD58,3,IF(BB58=BD58,1,IF(BB58&lt;BD58,IF(BD58="",3,0)))))</f>
        <v/>
      </c>
      <c r="BH58" t="str">
        <f>IF(BD58="","",IF(BD58&gt;BB58,3,IF(BD58=BB58,1,IF(BD58&lt;BB58,IF(BB58="",3,0)))))</f>
        <v/>
      </c>
      <c r="BI58" s="20"/>
      <c r="BJ58" s="20"/>
      <c r="BK58" s="21"/>
      <c r="BL58" s="21"/>
    </row>
    <row r="59" spans="1:64" ht="15.75">
      <c r="B59" s="26"/>
      <c r="C59" s="18"/>
      <c r="D59" s="30"/>
      <c r="E59" s="18" t="s">
        <v>64</v>
      </c>
      <c r="F59" s="18" t="s">
        <v>65</v>
      </c>
      <c r="G59" s="18" t="s">
        <v>66</v>
      </c>
      <c r="H59" s="18" t="s">
        <v>67</v>
      </c>
      <c r="I59" s="18" t="s">
        <v>68</v>
      </c>
      <c r="J59" s="18" t="s">
        <v>69</v>
      </c>
      <c r="K59" s="18" t="s">
        <v>70</v>
      </c>
      <c r="L59" s="18" t="s">
        <v>71</v>
      </c>
      <c r="M59" s="32" t="s">
        <v>85</v>
      </c>
      <c r="N59" s="33" t="s">
        <v>86</v>
      </c>
      <c r="O59" s="28"/>
      <c r="P59" s="1" t="s">
        <v>72</v>
      </c>
      <c r="Q59" s="1" t="s">
        <v>73</v>
      </c>
      <c r="R59" s="1" t="s">
        <v>74</v>
      </c>
      <c r="S59" t="s">
        <v>75</v>
      </c>
      <c r="T59" t="s">
        <v>76</v>
      </c>
      <c r="U59" s="1" t="s">
        <v>77</v>
      </c>
      <c r="V59" s="1" t="s">
        <v>78</v>
      </c>
      <c r="W59" s="1" t="s">
        <v>79</v>
      </c>
      <c r="X59" s="1" t="s">
        <v>65</v>
      </c>
      <c r="Y59" s="1" t="s">
        <v>66</v>
      </c>
      <c r="Z59" s="1" t="s">
        <v>67</v>
      </c>
      <c r="AA59" s="1" t="s">
        <v>68</v>
      </c>
      <c r="AB59" s="1" t="s">
        <v>80</v>
      </c>
      <c r="AC59" s="1" t="s">
        <v>81</v>
      </c>
      <c r="AD59" s="34" t="s">
        <v>71</v>
      </c>
      <c r="AE59" s="34" t="s">
        <v>85</v>
      </c>
      <c r="AF59" s="35" t="s">
        <v>86</v>
      </c>
      <c r="AG59" s="35"/>
      <c r="AH59" s="18"/>
      <c r="AI59" s="18"/>
      <c r="AJ59" s="36"/>
      <c r="AK59" s="18"/>
      <c r="AL59" s="18" t="s">
        <v>64</v>
      </c>
      <c r="AM59" s="18" t="s">
        <v>65</v>
      </c>
      <c r="AN59" s="18" t="s">
        <v>66</v>
      </c>
      <c r="AO59" s="18" t="s">
        <v>67</v>
      </c>
      <c r="AP59" s="18" t="s">
        <v>68</v>
      </c>
      <c r="AQ59" s="18" t="s">
        <v>69</v>
      </c>
      <c r="AR59" s="18" t="s">
        <v>70</v>
      </c>
      <c r="AS59" s="37" t="s">
        <v>71</v>
      </c>
      <c r="AT59" s="38" t="s">
        <v>85</v>
      </c>
      <c r="AU59" s="39" t="s">
        <v>86</v>
      </c>
      <c r="AV59" s="40"/>
      <c r="AW59" s="6">
        <v>19</v>
      </c>
      <c r="AX59" s="6" t="s">
        <v>90</v>
      </c>
      <c r="AY59" s="8">
        <v>0</v>
      </c>
      <c r="AZ59" s="3" t="s">
        <v>58</v>
      </c>
      <c r="BA59" s="4" t="str">
        <f>IFERROR(INDEX(Equipe!B:B,MATCH(AZ59,Equipe!A:A,0)),"")</f>
        <v>Pachuca</v>
      </c>
      <c r="BB59" s="23"/>
      <c r="BC59" s="22" t="s">
        <v>83</v>
      </c>
      <c r="BD59" s="23"/>
      <c r="BE59" s="4" t="str">
        <f>IFERROR(INDEX(Equipe!B:B,MATCH(BF59,Equipe!A:A,0)),"")</f>
        <v>RB Salzburg</v>
      </c>
      <c r="BF59" s="48" t="s">
        <v>56</v>
      </c>
      <c r="BG59" s="2" t="str">
        <f t="shared" ref="BG59:BG63" si="119">IF(BB59="","",IF(BB59&gt;BD59,3,IF(BB59=BD59,1,IF(BB59&lt;BD59,IF(BD59="",3,0)))))</f>
        <v/>
      </c>
      <c r="BH59" t="str">
        <f t="shared" ref="BH59:BH63" si="120">IF(BD59="","",IF(BD59&gt;BB59,3,IF(BD59=BB59,1,IF(BD59&lt;BB59,IF(BB59="",3,0)))))</f>
        <v/>
      </c>
      <c r="BI59" s="20"/>
      <c r="BJ59" s="20"/>
      <c r="BK59" s="21"/>
      <c r="BL59" s="21"/>
    </row>
    <row r="60" spans="1:64" ht="15.75">
      <c r="A60" t="s">
        <v>57</v>
      </c>
      <c r="B60" s="34" t="s">
        <v>82</v>
      </c>
      <c r="C60" s="1">
        <v>1</v>
      </c>
      <c r="D60" t="str">
        <f>IFERROR(INDEX(Equipe!B:B,MATCH(A60,Equipe!A:A,0)),"")</f>
        <v>Al-Hilal</v>
      </c>
      <c r="E60" s="18">
        <f>(G60*3)+H60</f>
        <v>0</v>
      </c>
      <c r="F60" s="41">
        <f t="shared" ref="F60:F63" si="121">G60+H60+I60</f>
        <v>0</v>
      </c>
      <c r="G60" s="18">
        <f>COUNTIFS($AZ58:$AZ63,$A60,$BG58:$BG63,3)+COUNTIFS($BF58:$BF63,$A60,$BH58:$BH63,3)</f>
        <v>0</v>
      </c>
      <c r="H60" s="18">
        <f>COUNTIFS($AZ58:$AZ63,$A60,$BG58:$BG63,1)+COUNTIFS($BF58:$BF63,$A60,$BH58:$BH63,1)</f>
        <v>0</v>
      </c>
      <c r="I60" s="18">
        <f>COUNTIFS($AZ58:$AZ63,$A60,$BG58:$BG63,0)+COUNTIFS($BF58:$BF63,$A60,$BH58:$BH63,0)</f>
        <v>0</v>
      </c>
      <c r="J60" s="18">
        <f>SUMIF($AZ58:$AZ63,$A60,$BB58:$BB63)+SUMIF($BF58:$BF63,$A60,$BD58:$BD63)</f>
        <v>0</v>
      </c>
      <c r="K60" s="18">
        <f>SUMIF($AZ58:$AZ63,$A60,$BD58:$BD63)+SUMIF($BF58:$BF63,$A60,$BB58:$BB63)</f>
        <v>0</v>
      </c>
      <c r="L60" s="42">
        <f>J60-K60</f>
        <v>0</v>
      </c>
      <c r="M60" s="32">
        <f>SUMIF($AZ58:$AZ63,$A60,$BI58:$BI63)+SUMIF($BF58:$BF63,$A60,$BJ58:$BJ63)</f>
        <v>0</v>
      </c>
      <c r="N60" s="43">
        <f>SUMIF($AZ58:$AZ63,$A60,$BK58:$BK63)+SUMIF($BF58:$BF63,$A60,$BL58:$BL63)</f>
        <v>0</v>
      </c>
      <c r="O60" s="44">
        <f>0.003+(E60*10000)+(J60*1000)+(L60*100)-(M60*1)-(N60*5)</f>
        <v>3.0000000000000001E-3</v>
      </c>
      <c r="P60" s="1">
        <f>RANK(O60,O60:O63)</f>
        <v>2</v>
      </c>
      <c r="Q60" s="1">
        <f>RANK(L60,L$12:L63)</f>
        <v>4</v>
      </c>
      <c r="R60" s="1">
        <f>RANK(J60,J60:J63)</f>
        <v>1</v>
      </c>
      <c r="S60" s="45">
        <f>O60</f>
        <v>3.0000000000000001E-3</v>
      </c>
      <c r="T60" s="1" t="str">
        <f>A60</f>
        <v>H1</v>
      </c>
      <c r="U60" s="1">
        <f>P60</f>
        <v>2</v>
      </c>
      <c r="V60" s="1" t="str">
        <f>D60</f>
        <v>Al-Hilal</v>
      </c>
      <c r="W60" s="1">
        <f>E60</f>
        <v>0</v>
      </c>
      <c r="X60" s="1">
        <f t="shared" ref="X60:X63" si="122">F60</f>
        <v>0</v>
      </c>
      <c r="Y60" s="1">
        <f t="shared" ref="Y60:Y63" si="123">G60</f>
        <v>0</v>
      </c>
      <c r="Z60" s="1">
        <f t="shared" ref="Z60:Z63" si="124">H60</f>
        <v>0</v>
      </c>
      <c r="AA60" s="1">
        <f t="shared" ref="AA60:AA63" si="125">I60</f>
        <v>0</v>
      </c>
      <c r="AB60" s="1">
        <f t="shared" ref="AB60:AB63" si="126">J60</f>
        <v>0</v>
      </c>
      <c r="AC60" s="1">
        <f t="shared" ref="AC60:AC63" si="127">K60</f>
        <v>0</v>
      </c>
      <c r="AD60" s="1">
        <f t="shared" ref="AD60:AD63" si="128">L60</f>
        <v>0</v>
      </c>
      <c r="AE60" s="1">
        <f t="shared" ref="AE60:AE63" si="129">M60</f>
        <v>0</v>
      </c>
      <c r="AF60" s="1">
        <f t="shared" ref="AF60:AF63" si="130">N60</f>
        <v>0</v>
      </c>
      <c r="AG60" s="1">
        <f>LARGE(S60:S63,1)</f>
        <v>4.0000000000000001E-3</v>
      </c>
      <c r="AH60" s="37" t="str">
        <f>VLOOKUP(AG60,S60:AG63,2,0)</f>
        <v>H2</v>
      </c>
      <c r="AI60" s="37">
        <f>VLOOKUP(AG60,S60:AG63,3,0)</f>
        <v>1</v>
      </c>
      <c r="AJ60" s="46" t="s">
        <v>83</v>
      </c>
      <c r="AK60" s="37" t="str">
        <f>VLOOKUP(AG60,S60:AG63,4,0)</f>
        <v>Pachuca</v>
      </c>
      <c r="AL60" s="37">
        <f>VLOOKUP(AG60,S60:AG63,5,0)</f>
        <v>0</v>
      </c>
      <c r="AM60" s="37">
        <f>VLOOKUP(AG60,S60:AG63,6,0)</f>
        <v>0</v>
      </c>
      <c r="AN60" s="37">
        <f>VLOOKUP(AG60,S60:AG63,7,0)</f>
        <v>0</v>
      </c>
      <c r="AO60" s="37">
        <f>VLOOKUP(AG60,S60:AG63,8,0)</f>
        <v>0</v>
      </c>
      <c r="AP60" s="37">
        <f>VLOOKUP(AG60,S60:AG63,9,0)</f>
        <v>0</v>
      </c>
      <c r="AQ60" s="37">
        <f>VLOOKUP(AG60,S60:AG63,10,0)</f>
        <v>0</v>
      </c>
      <c r="AR60" s="37">
        <f>VLOOKUP(AG60,S60:AG63,11,0)</f>
        <v>0</v>
      </c>
      <c r="AS60" s="37">
        <f>VLOOKUP(AG60,S60:AG63,12,0)</f>
        <v>0</v>
      </c>
      <c r="AT60" s="38">
        <f>VLOOKUP(AG60,S60:AG63,13,0)</f>
        <v>0</v>
      </c>
      <c r="AU60" s="39">
        <f>VLOOKUP(AG60,S60:AG63,14,0)</f>
        <v>0</v>
      </c>
      <c r="AV60" s="31"/>
      <c r="AW60" s="9">
        <v>22</v>
      </c>
      <c r="AX60" s="9" t="s">
        <v>90</v>
      </c>
      <c r="AY60" s="10">
        <v>0.87499999999995304</v>
      </c>
      <c r="AZ60" t="s">
        <v>58</v>
      </c>
      <c r="BA60" s="1" t="str">
        <f>IFERROR(INDEX(Equipe!B:B,MATCH(AZ60,Equipe!A:A,0)),"")</f>
        <v>Pachuca</v>
      </c>
      <c r="BC60" s="17" t="s">
        <v>83</v>
      </c>
      <c r="BD60" s="19"/>
      <c r="BE60" s="1" t="str">
        <f>IFERROR(INDEX(Equipe!B:B,MATCH(BF60,Equipe!A:A,0)),"")</f>
        <v>Real Madrid</v>
      </c>
      <c r="BF60" s="47" t="s">
        <v>59</v>
      </c>
      <c r="BG60" s="2" t="str">
        <f t="shared" si="119"/>
        <v/>
      </c>
      <c r="BH60" t="str">
        <f t="shared" si="120"/>
        <v/>
      </c>
      <c r="BI60" s="20"/>
      <c r="BJ60" s="20"/>
      <c r="BK60" s="21"/>
      <c r="BL60" s="21"/>
    </row>
    <row r="61" spans="1:64" ht="15.75">
      <c r="A61" t="s">
        <v>58</v>
      </c>
      <c r="B61" s="34" t="s">
        <v>82</v>
      </c>
      <c r="C61" s="1">
        <v>2</v>
      </c>
      <c r="D61" t="str">
        <f>IFERROR(INDEX(Equipe!B:B,MATCH(A61,Equipe!A:A,0)),"")</f>
        <v>Pachuca</v>
      </c>
      <c r="E61" s="18">
        <f t="shared" ref="E61:E63" si="131">(G61*3)+H61</f>
        <v>0</v>
      </c>
      <c r="F61" s="41">
        <f t="shared" si="121"/>
        <v>0</v>
      </c>
      <c r="G61" s="18">
        <f>COUNTIFS($AZ58:$AZ63,$A61,$BG58:$BG63,3)+COUNTIFS($BF58:$BF63,$A61,$BH58:$BH63,3)</f>
        <v>0</v>
      </c>
      <c r="H61" s="18">
        <f>COUNTIFS($AZ58:$AZ63,$A61,$BG58:$BG63,1)+COUNTIFS($BF58:$BF63,$A61,$BH58:$BH63,1)</f>
        <v>0</v>
      </c>
      <c r="I61" s="18">
        <f>COUNTIFS($AZ58:$AZ63,$A61,$BG58:$BG63,0)+COUNTIFS($BF58:$BF63,$A61,$BH58:$BH63,0)</f>
        <v>0</v>
      </c>
      <c r="J61" s="18">
        <f>SUMIF($AZ58:$AZ63,$A61,$BB58:$BB63)+SUMIF($BF58:$BF63,$A61,$BD58:$BD63)</f>
        <v>0</v>
      </c>
      <c r="K61" s="18">
        <f>SUMIF($AZ58:$AZ63,$A61,$BD58:$BD63)+SUMIF($BF58:$BF63,$A61,$BB58:$BB63)</f>
        <v>0</v>
      </c>
      <c r="L61" s="42">
        <f t="shared" ref="L61:L63" si="132">J61-K61</f>
        <v>0</v>
      </c>
      <c r="M61" s="32">
        <f>SUMIF($AZ58:$AZ63,$A61,$BI58:$BI63)+SUMIF($BF58:$BF63,$A61,$BJ58:$BJ63)</f>
        <v>0</v>
      </c>
      <c r="N61" s="43">
        <f>SUMIF($AZ59:$AZ64,$A61,$BK59:$BK64)+SUMIF($BF59:$BF64,$A61,$BL59:$BL64)</f>
        <v>0</v>
      </c>
      <c r="O61" s="44">
        <f>0.004+(E61*10000)+(J61*1000)+(L61*100)-(M61*1)-(N61*5)</f>
        <v>4.0000000000000001E-3</v>
      </c>
      <c r="P61" s="1">
        <f>RANK(O61,O60:O63)</f>
        <v>1</v>
      </c>
      <c r="Q61" s="1">
        <f>RANK(L61,L60:L63)</f>
        <v>1</v>
      </c>
      <c r="R61" s="1">
        <f>RANK(J61,J60:J63)</f>
        <v>1</v>
      </c>
      <c r="S61" s="45">
        <f>O61</f>
        <v>4.0000000000000001E-3</v>
      </c>
      <c r="T61" s="1" t="str">
        <f>A61</f>
        <v>H2</v>
      </c>
      <c r="U61" s="1">
        <f>P61</f>
        <v>1</v>
      </c>
      <c r="V61" s="1" t="str">
        <f>D61</f>
        <v>Pachuca</v>
      </c>
      <c r="W61" s="1">
        <f t="shared" ref="W61:W63" si="133">E61</f>
        <v>0</v>
      </c>
      <c r="X61" s="1">
        <f t="shared" si="122"/>
        <v>0</v>
      </c>
      <c r="Y61" s="1">
        <f t="shared" si="123"/>
        <v>0</v>
      </c>
      <c r="Z61" s="1">
        <f t="shared" si="124"/>
        <v>0</v>
      </c>
      <c r="AA61" s="1">
        <f t="shared" si="125"/>
        <v>0</v>
      </c>
      <c r="AB61" s="1">
        <f t="shared" si="126"/>
        <v>0</v>
      </c>
      <c r="AC61" s="1">
        <f t="shared" si="127"/>
        <v>0</v>
      </c>
      <c r="AD61" s="1">
        <f t="shared" si="128"/>
        <v>0</v>
      </c>
      <c r="AE61" s="1">
        <f t="shared" si="129"/>
        <v>0</v>
      </c>
      <c r="AF61" s="1">
        <f t="shared" si="130"/>
        <v>0</v>
      </c>
      <c r="AG61" s="1">
        <f>LARGE(S60:S63,2)</f>
        <v>3.0000000000000001E-3</v>
      </c>
      <c r="AH61" s="37" t="str">
        <f>VLOOKUP(AG61,S60:AG63,2,0)</f>
        <v>H1</v>
      </c>
      <c r="AI61" s="37">
        <f>VLOOKUP(AG61,S60:AG63,3,0)</f>
        <v>2</v>
      </c>
      <c r="AJ61" s="46" t="s">
        <v>83</v>
      </c>
      <c r="AK61" s="37" t="str">
        <f>VLOOKUP(AG61,S60:AG63,4,0)</f>
        <v>Al-Hilal</v>
      </c>
      <c r="AL61" s="37">
        <f>VLOOKUP(AG61,S60:AG63,5,0)</f>
        <v>0</v>
      </c>
      <c r="AM61" s="37">
        <f>VLOOKUP(AG61,S60:AG63,6,0)</f>
        <v>0</v>
      </c>
      <c r="AN61" s="37">
        <f>VLOOKUP(AG61,S60:AG63,7,0)</f>
        <v>0</v>
      </c>
      <c r="AO61" s="37">
        <f>VLOOKUP(AG61,S60:AG63,8,0)</f>
        <v>0</v>
      </c>
      <c r="AP61" s="37">
        <f>VLOOKUP(AG61,S60:AG63,9,0)</f>
        <v>0</v>
      </c>
      <c r="AQ61" s="37">
        <f>VLOOKUP(AG61,S60:AG63,10,0)</f>
        <v>0</v>
      </c>
      <c r="AR61" s="37">
        <f>VLOOKUP(AG61,S60:AG63,11,0)</f>
        <v>0</v>
      </c>
      <c r="AS61" s="37">
        <f>VLOOKUP(AG61,S60:AG63,12,0)</f>
        <v>0</v>
      </c>
      <c r="AT61" s="38">
        <f>VLOOKUP(AG61,S60:AG63,13,0)</f>
        <v>0</v>
      </c>
      <c r="AU61" s="39">
        <f>VLOOKUP(AG61,S60:AG63,14,0)</f>
        <v>0</v>
      </c>
      <c r="AV61" s="31"/>
      <c r="AW61" s="6">
        <v>23</v>
      </c>
      <c r="AX61" s="6" t="s">
        <v>90</v>
      </c>
      <c r="AY61" s="8">
        <v>0</v>
      </c>
      <c r="AZ61" s="3" t="s">
        <v>57</v>
      </c>
      <c r="BA61" s="4" t="str">
        <f>IFERROR(INDEX(Equipe!B:B,MATCH(AZ61,Equipe!A:A,0)),"")</f>
        <v>Al-Hilal</v>
      </c>
      <c r="BB61" s="23"/>
      <c r="BC61" s="22" t="s">
        <v>83</v>
      </c>
      <c r="BD61" s="23"/>
      <c r="BE61" s="4" t="str">
        <f>IFERROR(INDEX(Equipe!B:B,MATCH(BF61,Equipe!A:A,0)),"")</f>
        <v>RB Salzburg</v>
      </c>
      <c r="BF61" s="48" t="s">
        <v>56</v>
      </c>
      <c r="BG61" s="2" t="str">
        <f t="shared" si="119"/>
        <v/>
      </c>
      <c r="BH61" t="str">
        <f t="shared" si="120"/>
        <v/>
      </c>
      <c r="BI61" s="20"/>
      <c r="BJ61" s="20"/>
      <c r="BK61" s="21"/>
      <c r="BL61" s="21"/>
    </row>
    <row r="62" spans="1:64" ht="15.75">
      <c r="A62" t="s">
        <v>59</v>
      </c>
      <c r="B62" s="34" t="s">
        <v>82</v>
      </c>
      <c r="C62" s="1">
        <v>3</v>
      </c>
      <c r="D62" t="str">
        <f>IFERROR(INDEX(Equipe!B:B,MATCH(A62,Equipe!A:A,0)),"")</f>
        <v>Real Madrid</v>
      </c>
      <c r="E62" s="18">
        <f t="shared" si="131"/>
        <v>0</v>
      </c>
      <c r="F62" s="41">
        <f t="shared" si="121"/>
        <v>0</v>
      </c>
      <c r="G62" s="18">
        <f>COUNTIFS($AZ58:$AZ63,$A62,$BG58:$BG63,3)+COUNTIFS($BF58:$BF63,$A62,$BH58:$BH63,3)</f>
        <v>0</v>
      </c>
      <c r="H62" s="18">
        <f>COUNTIFS($AZ58:$AZ63,$A62,$BG58:$BG63,1)+COUNTIFS($BF58:$BF63,$A62,$BH58:$BH63,1)</f>
        <v>0</v>
      </c>
      <c r="I62" s="18">
        <f>COUNTIFS($AZ58:$AZ63,$A62,$BG58:$BG63,0)+COUNTIFS($BF58:$BF63,$A62,$BH58:$BH63,0)</f>
        <v>0</v>
      </c>
      <c r="J62" s="18">
        <f>SUMIF($AZ58:$AZ63,$A62,$BB58:$BB63)+SUMIF($BF58:$BF63,$A62,$BD58:$BD63)</f>
        <v>0</v>
      </c>
      <c r="K62" s="18">
        <f>SUMIF($AZ58:$AZ63,$A62,$BD58:$BD63)+SUMIF($BF58:$BF63,$A62,$BB58:$BB63)</f>
        <v>0</v>
      </c>
      <c r="L62" s="42">
        <f t="shared" si="132"/>
        <v>0</v>
      </c>
      <c r="M62" s="32">
        <f>SUMIF($AZ58:$AZ63,$A62,$BI58:$BI63)+SUMIF($BF58:$BF63,$A62,$BJ58:$BJ63)</f>
        <v>0</v>
      </c>
      <c r="N62" s="43">
        <f>SUMIF($AZ60:$AZ65,$A62,$BK60:$BK65)+SUMIF($BF60:$BF65,$A62,$BL60:$BL65)</f>
        <v>0</v>
      </c>
      <c r="O62" s="44">
        <f>0.002+(E62*10000)+(J62*1000)+(L62*100)-(M62*1)-(N62*5)</f>
        <v>2E-3</v>
      </c>
      <c r="P62" s="1">
        <f>RANK(O62,O60:O63)</f>
        <v>3</v>
      </c>
      <c r="Q62" s="1">
        <f>RANK(L62,L60:L63)</f>
        <v>1</v>
      </c>
      <c r="R62" s="1">
        <f>RANK(J62,J60:J63)</f>
        <v>1</v>
      </c>
      <c r="S62" s="45">
        <f>O62</f>
        <v>2E-3</v>
      </c>
      <c r="T62" s="1" t="str">
        <f>A62</f>
        <v>H3</v>
      </c>
      <c r="U62" s="1">
        <f t="shared" ref="U62:U63" si="134">P62</f>
        <v>3</v>
      </c>
      <c r="V62" s="1" t="str">
        <f>D62</f>
        <v>Real Madrid</v>
      </c>
      <c r="W62" s="1">
        <f t="shared" si="133"/>
        <v>0</v>
      </c>
      <c r="X62" s="1">
        <f t="shared" si="122"/>
        <v>0</v>
      </c>
      <c r="Y62" s="1">
        <f t="shared" si="123"/>
        <v>0</v>
      </c>
      <c r="Z62" s="1">
        <f t="shared" si="124"/>
        <v>0</v>
      </c>
      <c r="AA62" s="1">
        <f t="shared" si="125"/>
        <v>0</v>
      </c>
      <c r="AB62" s="1">
        <f t="shared" si="126"/>
        <v>0</v>
      </c>
      <c r="AC62" s="1">
        <f t="shared" si="127"/>
        <v>0</v>
      </c>
      <c r="AD62" s="1">
        <f t="shared" si="128"/>
        <v>0</v>
      </c>
      <c r="AE62" s="1">
        <f t="shared" si="129"/>
        <v>0</v>
      </c>
      <c r="AF62" s="1">
        <f t="shared" si="130"/>
        <v>0</v>
      </c>
      <c r="AG62" s="1">
        <f>LARGE(S60:S63,3)</f>
        <v>2E-3</v>
      </c>
      <c r="AH62" s="37" t="str">
        <f>VLOOKUP(AG62,S60:AG63,2,0)</f>
        <v>H3</v>
      </c>
      <c r="AI62" s="37">
        <f>VLOOKUP(AG62,S60:AG63,3,0)</f>
        <v>3</v>
      </c>
      <c r="AJ62" s="46" t="s">
        <v>83</v>
      </c>
      <c r="AK62" s="37" t="str">
        <f>VLOOKUP(AG62,S60:AG63,4,0)</f>
        <v>Real Madrid</v>
      </c>
      <c r="AL62" s="37">
        <f>VLOOKUP(AG62,S60:AG63,5,0)</f>
        <v>0</v>
      </c>
      <c r="AM62" s="37">
        <f>VLOOKUP(AG62,S60:AG63,6,0)</f>
        <v>0</v>
      </c>
      <c r="AN62" s="37">
        <f>VLOOKUP(AG62,S60:AG63,7,0)</f>
        <v>0</v>
      </c>
      <c r="AO62" s="37">
        <f>VLOOKUP(AG62,S60:AG63,8,0)</f>
        <v>0</v>
      </c>
      <c r="AP62" s="37">
        <f>VLOOKUP(AG62,S60:AG63,9,0)</f>
        <v>0</v>
      </c>
      <c r="AQ62" s="37">
        <f>VLOOKUP(AG62,S60:AG63,10,0)</f>
        <v>0</v>
      </c>
      <c r="AR62" s="37">
        <f>VLOOKUP(AG62,S60:AG63,11,0)</f>
        <v>0</v>
      </c>
      <c r="AS62" s="37">
        <f>VLOOKUP(AG62,S60:AG63,12,0)</f>
        <v>0</v>
      </c>
      <c r="AT62" s="38">
        <f>VLOOKUP(AG62,S60:AG63,13,0)</f>
        <v>0</v>
      </c>
      <c r="AU62" s="39">
        <f>VLOOKUP(AG62,S60:AG63,14,0)</f>
        <v>0</v>
      </c>
      <c r="AV62" s="31"/>
      <c r="AW62" s="9">
        <v>27</v>
      </c>
      <c r="AX62" s="9" t="s">
        <v>90</v>
      </c>
      <c r="AY62" s="10">
        <v>0.125</v>
      </c>
      <c r="AZ62" t="s">
        <v>56</v>
      </c>
      <c r="BA62" s="1" t="str">
        <f>IFERROR(INDEX(Equipe!B:B,MATCH(AZ62,Equipe!A:A,0)),"")</f>
        <v>RB Salzburg</v>
      </c>
      <c r="BC62" s="17" t="s">
        <v>83</v>
      </c>
      <c r="BD62" s="19"/>
      <c r="BE62" s="1" t="str">
        <f>IFERROR(INDEX(Equipe!B:B,MATCH(BF62,Equipe!A:A,0)),"")</f>
        <v>Real Madrid</v>
      </c>
      <c r="BF62" s="47" t="s">
        <v>59</v>
      </c>
      <c r="BG62" s="2" t="str">
        <f t="shared" si="119"/>
        <v/>
      </c>
      <c r="BH62" t="str">
        <f t="shared" si="120"/>
        <v/>
      </c>
      <c r="BI62" s="20"/>
      <c r="BJ62" s="20"/>
      <c r="BK62" s="21"/>
      <c r="BL62" s="21"/>
    </row>
    <row r="63" spans="1:64" ht="15.75">
      <c r="A63" t="s">
        <v>56</v>
      </c>
      <c r="B63" s="34" t="s">
        <v>82</v>
      </c>
      <c r="C63" s="1">
        <v>4</v>
      </c>
      <c r="D63" t="str">
        <f>IFERROR(INDEX(Equipe!B:B,MATCH(A63,Equipe!A:A,0)),"")</f>
        <v>RB Salzburg</v>
      </c>
      <c r="E63" s="18">
        <f t="shared" si="131"/>
        <v>0</v>
      </c>
      <c r="F63" s="41">
        <f t="shared" si="121"/>
        <v>0</v>
      </c>
      <c r="G63" s="18">
        <f>COUNTIFS($AZ58:$AZ63,$A63,$BG58:$BG63,3)+COUNTIFS($BF58:$BF63,$A63,$BH58:$BH63,3)</f>
        <v>0</v>
      </c>
      <c r="H63" s="18">
        <f>COUNTIFS($AZ58:$AZ63,$A63,$BG58:$BG63,1)+COUNTIFS($BF58:$BF63,$A63,$BH58:$BH63,1)</f>
        <v>0</v>
      </c>
      <c r="I63" s="18">
        <f>COUNTIFS($AZ58:$AZ63,$A63,$BG58:$BG63,0)+COUNTIFS($BF58:$BF63,$A63,$BH58:$BH63,0)</f>
        <v>0</v>
      </c>
      <c r="J63" s="18">
        <f>SUMIF($AZ58:$AZ63,$A63,$BB58:$BB63)+SUMIF($BF58:$BF63,$A63,$BD58:$BD63)</f>
        <v>0</v>
      </c>
      <c r="K63" s="18">
        <f>SUMIF($AZ58:$AZ63,$A63,$BD58:$BD63)+SUMIF($BF58:$BF63,$A63,$BB58:$BB63)</f>
        <v>0</v>
      </c>
      <c r="L63" s="42">
        <f t="shared" si="132"/>
        <v>0</v>
      </c>
      <c r="M63" s="32">
        <f>SUMIF($AZ58:$AZ63,$A63,$BI58:$BI63)+SUMIF($BF58:$BF63,$A63,$BJ58:$BJ63)</f>
        <v>0</v>
      </c>
      <c r="N63" s="43">
        <f>SUMIF($AZ61:$AZ66,$A63,$BK61:$BK66)+SUMIF($BF61:$BF66,$A63,$BL61:$BL66)</f>
        <v>0</v>
      </c>
      <c r="O63" s="44">
        <f>0.001+(E63*10000)+(J63*1000)+(L63*100)-(M63*1)-(N63*5)</f>
        <v>1E-3</v>
      </c>
      <c r="P63" s="1">
        <f>RANK(O63,O60:O63)</f>
        <v>4</v>
      </c>
      <c r="Q63" s="1">
        <f>RANK(L63,L60:L63)</f>
        <v>1</v>
      </c>
      <c r="R63" s="1">
        <f>RANK(J63,J60:J63)</f>
        <v>1</v>
      </c>
      <c r="S63" s="45">
        <f>O63</f>
        <v>1E-3</v>
      </c>
      <c r="T63" s="1" t="str">
        <f>A63</f>
        <v>H4</v>
      </c>
      <c r="U63" s="1">
        <f t="shared" si="134"/>
        <v>4</v>
      </c>
      <c r="V63" s="1" t="str">
        <f>D63</f>
        <v>RB Salzburg</v>
      </c>
      <c r="W63" s="1">
        <f t="shared" si="133"/>
        <v>0</v>
      </c>
      <c r="X63" s="1">
        <f t="shared" si="122"/>
        <v>0</v>
      </c>
      <c r="Y63" s="1">
        <f t="shared" si="123"/>
        <v>0</v>
      </c>
      <c r="Z63" s="1">
        <f t="shared" si="124"/>
        <v>0</v>
      </c>
      <c r="AA63" s="1">
        <f t="shared" si="125"/>
        <v>0</v>
      </c>
      <c r="AB63" s="1">
        <f t="shared" si="126"/>
        <v>0</v>
      </c>
      <c r="AC63" s="1">
        <f t="shared" si="127"/>
        <v>0</v>
      </c>
      <c r="AD63" s="1">
        <f t="shared" si="128"/>
        <v>0</v>
      </c>
      <c r="AE63" s="1">
        <f t="shared" si="129"/>
        <v>0</v>
      </c>
      <c r="AF63" s="1">
        <f t="shared" si="130"/>
        <v>0</v>
      </c>
      <c r="AG63" s="1">
        <f>LARGE(S60:S63,4)</f>
        <v>1E-3</v>
      </c>
      <c r="AH63" s="37" t="str">
        <f>VLOOKUP(AG63,S60:AG63,2,0)</f>
        <v>H4</v>
      </c>
      <c r="AI63" s="37">
        <f>VLOOKUP(AG63,S60:AG63,3,0)</f>
        <v>4</v>
      </c>
      <c r="AJ63" s="46" t="s">
        <v>83</v>
      </c>
      <c r="AK63" s="37" t="str">
        <f>VLOOKUP(AG63,S60:AG63,4,0)</f>
        <v>RB Salzburg</v>
      </c>
      <c r="AL63" s="37">
        <f>VLOOKUP(AG63,S60:AG63,5,0)</f>
        <v>0</v>
      </c>
      <c r="AM63" s="37">
        <f>VLOOKUP(AG63,S60:AG63,6,0)</f>
        <v>0</v>
      </c>
      <c r="AN63" s="37">
        <f>VLOOKUP(AG63,S60:AG63,7,0)</f>
        <v>0</v>
      </c>
      <c r="AO63" s="37">
        <f>VLOOKUP(AG63,S60:AG63,8,0)</f>
        <v>0</v>
      </c>
      <c r="AP63" s="37">
        <f>VLOOKUP(AG63,S60:AG63,9,0)</f>
        <v>0</v>
      </c>
      <c r="AQ63" s="37">
        <f>VLOOKUP(AG63,S60:AG63,10,0)</f>
        <v>0</v>
      </c>
      <c r="AR63" s="37">
        <f>VLOOKUP(AG63,S60:AG63,11,0)</f>
        <v>0</v>
      </c>
      <c r="AS63" s="37">
        <f>VLOOKUP(AG63,S60:AG63,12,0)</f>
        <v>0</v>
      </c>
      <c r="AT63" s="38">
        <f>VLOOKUP(AG63,S60:AG63,13,0)</f>
        <v>0</v>
      </c>
      <c r="AU63" s="39">
        <f>VLOOKUP(AG63,S60:AG63,14,0)</f>
        <v>0</v>
      </c>
      <c r="AV63" s="31"/>
      <c r="AW63" s="6">
        <v>27</v>
      </c>
      <c r="AX63" s="6" t="s">
        <v>90</v>
      </c>
      <c r="AY63" s="8">
        <v>0.125</v>
      </c>
      <c r="AZ63" s="3" t="s">
        <v>57</v>
      </c>
      <c r="BA63" s="4" t="str">
        <f>IFERROR(INDEX(Equipe!B:B,MATCH(AZ63,Equipe!A:A,0)),"")</f>
        <v>Al-Hilal</v>
      </c>
      <c r="BB63" s="23"/>
      <c r="BC63" s="22" t="s">
        <v>83</v>
      </c>
      <c r="BD63" s="23"/>
      <c r="BE63" s="4" t="str">
        <f>IFERROR(INDEX(Equipe!B:B,MATCH(BF63,Equipe!A:A,0)),"")</f>
        <v>Pachuca</v>
      </c>
      <c r="BF63" s="48" t="s">
        <v>58</v>
      </c>
      <c r="BG63" s="2" t="str">
        <f t="shared" si="119"/>
        <v/>
      </c>
      <c r="BH63" t="str">
        <f t="shared" si="120"/>
        <v/>
      </c>
      <c r="BI63" s="20"/>
      <c r="BJ63" s="20"/>
      <c r="BK63" s="21"/>
      <c r="BL63" s="21"/>
    </row>
  </sheetData>
  <sheetProtection algorithmName="SHA-512" hashValue="OmxOzF4g8AGOyrkdW7S78jMJ9/8in6O1esAYxe9J6cSIxkwMWTxehD+W5o5QqiWf/jdNAt32qwEc4Kyw3mUMtA==" saltValue="0UMfJFutuzIRV2sOFCVz+g==" spinCount="100000" sheet="1" objects="1" scenarios="1"/>
  <mergeCells count="50">
    <mergeCell ref="BN2:BR2"/>
    <mergeCell ref="BN3:BR3"/>
    <mergeCell ref="BK49:BL49"/>
    <mergeCell ref="C50:L50"/>
    <mergeCell ref="AI50:AS50"/>
    <mergeCell ref="C42:L42"/>
    <mergeCell ref="AI42:AS42"/>
    <mergeCell ref="AH49:AV49"/>
    <mergeCell ref="BB49:BD49"/>
    <mergeCell ref="BI49:BJ49"/>
    <mergeCell ref="BK33:BL33"/>
    <mergeCell ref="C34:L34"/>
    <mergeCell ref="AI34:AS34"/>
    <mergeCell ref="AH41:AV41"/>
    <mergeCell ref="BB41:BD41"/>
    <mergeCell ref="BI41:BJ41"/>
    <mergeCell ref="BK41:BL41"/>
    <mergeCell ref="C26:L26"/>
    <mergeCell ref="AI26:AS26"/>
    <mergeCell ref="AH33:AV33"/>
    <mergeCell ref="BB33:BD33"/>
    <mergeCell ref="BI33:BJ33"/>
    <mergeCell ref="BK17:BL17"/>
    <mergeCell ref="C18:L18"/>
    <mergeCell ref="AI18:AS18"/>
    <mergeCell ref="AH25:AV25"/>
    <mergeCell ref="BB25:BD25"/>
    <mergeCell ref="BI25:BJ25"/>
    <mergeCell ref="BK25:BL25"/>
    <mergeCell ref="AH17:AV17"/>
    <mergeCell ref="BB17:BD17"/>
    <mergeCell ref="BI17:BJ17"/>
    <mergeCell ref="AH9:AV9"/>
    <mergeCell ref="BB9:BD9"/>
    <mergeCell ref="BI9:BJ9"/>
    <mergeCell ref="BK9:BL9"/>
    <mergeCell ref="C10:L10"/>
    <mergeCell ref="AI10:AS10"/>
    <mergeCell ref="C2:L2"/>
    <mergeCell ref="AI2:AS2"/>
    <mergeCell ref="BB1:BD1"/>
    <mergeCell ref="BI1:BJ1"/>
    <mergeCell ref="BK1:BL1"/>
    <mergeCell ref="AH1:AV1"/>
    <mergeCell ref="AH57:AV57"/>
    <mergeCell ref="BB57:BD57"/>
    <mergeCell ref="BI57:BJ57"/>
    <mergeCell ref="BK57:BL57"/>
    <mergeCell ref="C58:L58"/>
    <mergeCell ref="AI58:AS58"/>
  </mergeCells>
  <phoneticPr fontId="3" type="noConversion"/>
  <conditionalFormatting sqref="B2:B7">
    <cfRule type="beginsWith" dxfId="23" priority="40" operator="beginsWith" text="E">
      <formula>LEFT(B2,LEN("E"))="E"</formula>
    </cfRule>
    <cfRule type="containsText" dxfId="22" priority="41" operator="containsText" text="B">
      <formula>NOT(ISERROR(SEARCH("B",B2)))</formula>
    </cfRule>
    <cfRule type="beginsWith" dxfId="21" priority="42" operator="beginsWith" text="1/8">
      <formula>LEFT(B2,LEN("1/8"))="1/8"</formula>
    </cfRule>
  </conditionalFormatting>
  <conditionalFormatting sqref="B10:B15">
    <cfRule type="beginsWith" dxfId="20" priority="16" operator="beginsWith" text="E">
      <formula>LEFT(B10,LEN("E"))="E"</formula>
    </cfRule>
    <cfRule type="containsText" dxfId="19" priority="17" operator="containsText" text="B">
      <formula>NOT(ISERROR(SEARCH("B",B10)))</formula>
    </cfRule>
    <cfRule type="beginsWith" dxfId="18" priority="18" operator="beginsWith" text="1/8">
      <formula>LEFT(B10,LEN("1/8"))="1/8"</formula>
    </cfRule>
  </conditionalFormatting>
  <conditionalFormatting sqref="B18:B23">
    <cfRule type="beginsWith" dxfId="17" priority="13" operator="beginsWith" text="E">
      <formula>LEFT(B18,LEN("E"))="E"</formula>
    </cfRule>
    <cfRule type="containsText" dxfId="16" priority="14" operator="containsText" text="B">
      <formula>NOT(ISERROR(SEARCH("B",B18)))</formula>
    </cfRule>
    <cfRule type="beginsWith" dxfId="15" priority="15" operator="beginsWith" text="1/8">
      <formula>LEFT(B18,LEN("1/8"))="1/8"</formula>
    </cfRule>
  </conditionalFormatting>
  <conditionalFormatting sqref="B26:B31">
    <cfRule type="beginsWith" dxfId="14" priority="10" operator="beginsWith" text="E">
      <formula>LEFT(B26,LEN("E"))="E"</formula>
    </cfRule>
    <cfRule type="containsText" dxfId="13" priority="11" operator="containsText" text="B">
      <formula>NOT(ISERROR(SEARCH("B",B26)))</formula>
    </cfRule>
    <cfRule type="beginsWith" dxfId="12" priority="12" operator="beginsWith" text="1/8">
      <formula>LEFT(B26,LEN("1/8"))="1/8"</formula>
    </cfRule>
  </conditionalFormatting>
  <conditionalFormatting sqref="B34:B39">
    <cfRule type="beginsWith" dxfId="11" priority="7" operator="beginsWith" text="E">
      <formula>LEFT(B34,LEN("E"))="E"</formula>
    </cfRule>
    <cfRule type="containsText" dxfId="10" priority="8" operator="containsText" text="B">
      <formula>NOT(ISERROR(SEARCH("B",B34)))</formula>
    </cfRule>
    <cfRule type="beginsWith" dxfId="9" priority="9" operator="beginsWith" text="1/8">
      <formula>LEFT(B34,LEN("1/8"))="1/8"</formula>
    </cfRule>
  </conditionalFormatting>
  <conditionalFormatting sqref="B42:B47">
    <cfRule type="beginsWith" dxfId="8" priority="4" operator="beginsWith" text="E">
      <formula>LEFT(B42,LEN("E"))="E"</formula>
    </cfRule>
    <cfRule type="containsText" dxfId="7" priority="5" operator="containsText" text="B">
      <formula>NOT(ISERROR(SEARCH("B",B42)))</formula>
    </cfRule>
    <cfRule type="beginsWith" dxfId="6" priority="6" operator="beginsWith" text="1/8">
      <formula>LEFT(B42,LEN("1/8"))="1/8"</formula>
    </cfRule>
  </conditionalFormatting>
  <conditionalFormatting sqref="B50:B55">
    <cfRule type="beginsWith" dxfId="5" priority="19" operator="beginsWith" text="E">
      <formula>LEFT(B50,LEN("E"))="E"</formula>
    </cfRule>
    <cfRule type="containsText" dxfId="4" priority="20" operator="containsText" text="B">
      <formula>NOT(ISERROR(SEARCH("B",B50)))</formula>
    </cfRule>
    <cfRule type="beginsWith" dxfId="3" priority="21" operator="beginsWith" text="1/8">
      <formula>LEFT(B50,LEN("1/8"))="1/8"</formula>
    </cfRule>
  </conditionalFormatting>
  <conditionalFormatting sqref="B58:B63">
    <cfRule type="beginsWith" dxfId="2" priority="1" operator="beginsWith" text="E">
      <formula>LEFT(B58,LEN("E"))="E"</formula>
    </cfRule>
    <cfRule type="containsText" dxfId="1" priority="2" operator="containsText" text="B">
      <formula>NOT(ISERROR(SEARCH("B",B58)))</formula>
    </cfRule>
    <cfRule type="beginsWith" dxfId="0" priority="3" operator="beginsWith" text="1/8">
      <formula>LEFT(B58,LEN("1/8"))="1/8"</formula>
    </cfRule>
  </conditionalFormatting>
  <hyperlinks>
    <hyperlink ref="BN3" r:id="rId1" xr:uid="{C73E4DE1-9D64-4766-9102-A7B0E91C73F1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EFB3D6C-A028-9D41-B53D-12E57875D275}">
          <x14:formula1>
            <xm:f>liste!$A$1:$A$12</xm:f>
          </x14:formula1>
          <xm:sqref>BD34:BD39 BI58:BL63 BI2:BL7 BD42:BD47 BI10:BL15 BD2:BD7 BB2:BB7 BI18:BL23 BI26:BL31 BB42:BB47 BD50:BD55 BD18:BD23 BB18:BB23 BI34:BL39 BD10:BD15 BB10:BB15 BI42:BL47 BD26:BD31 BB26:BB31 BI50:BL55 BB34:BB39 BB50:BB55 BD58:BD63 BB58:BB63</xm:sqref>
        </x14:dataValidation>
        <x14:dataValidation type="list" allowBlank="1" showInputMessage="1" showErrorMessage="1" xr:uid="{D7C1909D-0F62-4549-B2F6-F4C6012803B0}">
          <x14:formula1>
            <xm:f>liste!$A$1:$A$33</xm:f>
          </x14:formula1>
          <xm:sqref>AW42:AW47 AW26:AW31 AW10:AW15 AW18:AW23 AW2:AW7 AW34:AW39 AW50:AW55 AW58:AW63</xm:sqref>
        </x14:dataValidation>
        <x14:dataValidation type="list" allowBlank="1" showInputMessage="1" showErrorMessage="1" xr:uid="{9E5495D0-0262-4B40-A368-0FF3F1071F97}">
          <x14:formula1>
            <xm:f>liste!$B$1:$B$3</xm:f>
          </x14:formula1>
          <xm:sqref>AX42:AX47 AX26:AX31 AX10:AX15 AX18:AX23 AX2:AX7 AX34:AX39 AX50:AX55 AX58:AX63</xm:sqref>
        </x14:dataValidation>
        <x14:dataValidation type="list" allowBlank="1" showInputMessage="1" showErrorMessage="1" xr:uid="{36EADDBF-DA98-914F-BDE3-E97F4E11C728}">
          <x14:formula1>
            <xm:f>liste!$C$1:$C$97</xm:f>
          </x14:formula1>
          <xm:sqref>AY42:AY47 AY26:AY31 AY10:AY15 AY18:AY23 AY2:AY7 AY34:AY39 AY50:AY55 AY58:AY63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6C53C-57D4-43A0-9717-B9442D4B536B}">
  <dimension ref="A1:Y23"/>
  <sheetViews>
    <sheetView showGridLines="0" workbookViewId="0">
      <selection activeCell="AA22" sqref="AA22"/>
    </sheetView>
  </sheetViews>
  <sheetFormatPr baseColWidth="10" defaultRowHeight="15"/>
  <cols>
    <col min="1" max="1" width="3.140625" style="1" customWidth="1"/>
    <col min="2" max="2" width="6" style="1" bestFit="1" customWidth="1"/>
    <col min="3" max="3" width="5.7109375" style="7" bestFit="1" customWidth="1"/>
    <col min="4" max="4" width="3.28515625" hidden="1" customWidth="1"/>
    <col min="5" max="5" width="18.28515625" bestFit="1" customWidth="1"/>
    <col min="6" max="6" width="2" style="1" bestFit="1" customWidth="1"/>
    <col min="7" max="7" width="1.7109375" bestFit="1" customWidth="1"/>
    <col min="8" max="8" width="2" bestFit="1" customWidth="1"/>
    <col min="9" max="9" width="18.28515625" bestFit="1" customWidth="1"/>
    <col min="10" max="10" width="3.28515625" hidden="1" customWidth="1"/>
    <col min="11" max="11" width="2.140625" hidden="1" customWidth="1"/>
    <col min="12" max="12" width="2" hidden="1" customWidth="1"/>
    <col min="13" max="13" width="2.5703125" style="1" customWidth="1"/>
    <col min="14" max="14" width="2.5703125" customWidth="1"/>
    <col min="15" max="15" width="2.5703125" style="1" customWidth="1"/>
    <col min="16" max="16" width="2.5703125" customWidth="1"/>
    <col min="17" max="18" width="2" hidden="1" customWidth="1"/>
    <col min="19" max="19" width="3.140625" hidden="1" customWidth="1"/>
  </cols>
  <sheetData>
    <row r="1" spans="1:25">
      <c r="A1" s="56" t="s">
        <v>101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25" ht="18">
      <c r="A2" s="11"/>
      <c r="B2" s="11"/>
      <c r="C2" s="12"/>
      <c r="F2" s="57" t="s">
        <v>84</v>
      </c>
      <c r="G2" s="57"/>
      <c r="H2" s="57"/>
      <c r="M2" s="58" t="s">
        <v>99</v>
      </c>
      <c r="N2" s="58"/>
      <c r="O2" s="59" t="s">
        <v>100</v>
      </c>
      <c r="P2" s="59"/>
    </row>
    <row r="3" spans="1:25">
      <c r="A3" s="9">
        <v>28</v>
      </c>
      <c r="B3" s="9" t="s">
        <v>90</v>
      </c>
      <c r="C3" s="10">
        <v>0.74999999999996103</v>
      </c>
      <c r="D3" s="15" t="str">
        <f>IF('Phase Groupe'!AM4=3,'Phase Groupe'!AH4,"")</f>
        <v/>
      </c>
      <c r="E3" s="1" t="str">
        <f>IFERROR(INDEX(Equipe!B:B,MATCH(D3,Equipe!A:A,0)),"")</f>
        <v/>
      </c>
      <c r="F3" s="19"/>
      <c r="G3" t="s">
        <v>83</v>
      </c>
      <c r="H3" s="19"/>
      <c r="I3" s="1" t="str">
        <f>IFERROR(INDEX(Equipe!B:B,MATCH(J3,Equipe!A:A,0)),"")</f>
        <v/>
      </c>
      <c r="J3" s="13" t="str">
        <f>IF('Phase Groupe'!AM13=3,'Phase Groupe'!AH13,"")</f>
        <v/>
      </c>
      <c r="K3" s="2" t="str">
        <f>IF(F3="","",IF(F3&gt;H3,3,IF(F3=H3,1,IF(F3&lt;H3,IF(H3="",3,0)))))</f>
        <v/>
      </c>
      <c r="L3" t="str">
        <f>IF(H3="","",IF(H3&gt;F3,3,IF(H3=F3,1,IF(H3&lt;F3,IF(F3="",3,0)))))</f>
        <v/>
      </c>
      <c r="M3" s="49"/>
      <c r="N3" s="49"/>
      <c r="O3" s="50"/>
      <c r="P3" s="50"/>
      <c r="Q3">
        <f>F3+M3+O3</f>
        <v>0</v>
      </c>
      <c r="R3">
        <f>H3+N3+P3</f>
        <v>0</v>
      </c>
      <c r="S3" t="str">
        <f>IF(Q3&gt;R3,D3,J3)</f>
        <v/>
      </c>
    </row>
    <row r="4" spans="1:25">
      <c r="A4" s="6">
        <v>28</v>
      </c>
      <c r="B4" s="6" t="s">
        <v>90</v>
      </c>
      <c r="C4" s="8">
        <v>0.916666666666617</v>
      </c>
      <c r="D4" s="16" t="str">
        <f>IF('Phase Groupe'!AM20=3,'Phase Groupe'!AH20,"")</f>
        <v/>
      </c>
      <c r="E4" s="4" t="str">
        <f>IFERROR(INDEX(Equipe!B:B,MATCH(D4,Equipe!A:A,0)),"")</f>
        <v/>
      </c>
      <c r="F4" s="23"/>
      <c r="G4" s="3" t="s">
        <v>83</v>
      </c>
      <c r="H4" s="23"/>
      <c r="I4" s="4" t="str">
        <f>IFERROR(INDEX(Equipe!B:B,MATCH(J4,Equipe!A:A,0)),"")</f>
        <v/>
      </c>
      <c r="J4" s="14" t="str">
        <f>IF('Phase Groupe'!AM29=3,'Phase Groupe'!AH29,"")</f>
        <v/>
      </c>
      <c r="K4" s="2" t="str">
        <f t="shared" ref="K4:K8" si="0">IF(F4="","",IF(F4&gt;H4,3,IF(F4=H4,1,IF(F4&lt;H4,IF(H4="",3,0)))))</f>
        <v/>
      </c>
      <c r="L4" t="str">
        <f t="shared" ref="L4:L8" si="1">IF(H4="","",IF(H4&gt;F4,3,IF(H4=F4,1,IF(H4&lt;F4,IF(F4="",3,0)))))</f>
        <v/>
      </c>
      <c r="M4" s="49"/>
      <c r="N4" s="49"/>
      <c r="O4" s="50"/>
      <c r="P4" s="50"/>
      <c r="Q4">
        <f t="shared" ref="Q4:Q10" si="2">F4+M4+O4</f>
        <v>0</v>
      </c>
      <c r="R4">
        <f t="shared" ref="R4:R10" si="3">H4+N4+P4</f>
        <v>0</v>
      </c>
      <c r="S4" t="str">
        <f t="shared" ref="S4:S10" si="4">IF(Q4&gt;R4,D4,J4)</f>
        <v/>
      </c>
    </row>
    <row r="5" spans="1:25">
      <c r="A5" s="9">
        <v>29</v>
      </c>
      <c r="B5" s="9" t="s">
        <v>90</v>
      </c>
      <c r="C5" s="10">
        <v>0.74999999999996103</v>
      </c>
      <c r="D5" s="15" t="str">
        <f>IF('Phase Groupe'!AM12=3,'Phase Groupe'!AH12,"")</f>
        <v/>
      </c>
      <c r="E5" s="1" t="str">
        <f>IFERROR(INDEX(Equipe!B:B,MATCH(D5,Equipe!A:A,0)),"")</f>
        <v/>
      </c>
      <c r="F5" s="19"/>
      <c r="G5" t="s">
        <v>83</v>
      </c>
      <c r="H5" s="19"/>
      <c r="I5" s="1" t="str">
        <f>IFERROR(INDEX(Equipe!B:B,MATCH(J5,Equipe!A:A,0)),"")</f>
        <v/>
      </c>
      <c r="J5" s="13" t="str">
        <f>IF('Phase Groupe'!AM5=3,'Phase Groupe'!AH5,"")</f>
        <v/>
      </c>
      <c r="K5" s="2" t="str">
        <f t="shared" si="0"/>
        <v/>
      </c>
      <c r="L5" t="str">
        <f t="shared" si="1"/>
        <v/>
      </c>
      <c r="M5" s="49"/>
      <c r="N5" s="49"/>
      <c r="O5" s="50"/>
      <c r="P5" s="50"/>
      <c r="Q5">
        <f t="shared" si="2"/>
        <v>0</v>
      </c>
      <c r="R5">
        <f t="shared" si="3"/>
        <v>0</v>
      </c>
      <c r="S5" t="str">
        <f t="shared" si="4"/>
        <v/>
      </c>
    </row>
    <row r="6" spans="1:25">
      <c r="A6" s="6">
        <v>29</v>
      </c>
      <c r="B6" s="6" t="s">
        <v>90</v>
      </c>
      <c r="C6" s="8">
        <v>0.916666666666617</v>
      </c>
      <c r="D6" s="16" t="str">
        <f>IF('Phase Groupe'!AM28=3,'Phase Groupe'!AH28,"")</f>
        <v/>
      </c>
      <c r="E6" s="4" t="str">
        <f>IFERROR(INDEX(Equipe!B:B,MATCH(D6,Equipe!A:A,0)),"")</f>
        <v/>
      </c>
      <c r="F6" s="23"/>
      <c r="G6" s="3" t="s">
        <v>83</v>
      </c>
      <c r="H6" s="23"/>
      <c r="I6" s="4" t="str">
        <f>IFERROR(INDEX(Equipe!B:B,MATCH(J6,Equipe!A:A,0)),"")</f>
        <v/>
      </c>
      <c r="J6" s="14" t="str">
        <f>IF('Phase Groupe'!AM21=3,'Phase Groupe'!AH21,"")</f>
        <v/>
      </c>
      <c r="K6" s="2" t="str">
        <f t="shared" si="0"/>
        <v/>
      </c>
      <c r="L6" t="str">
        <f t="shared" si="1"/>
        <v/>
      </c>
      <c r="M6" s="49"/>
      <c r="N6" s="49"/>
      <c r="O6" s="50"/>
      <c r="P6" s="50"/>
      <c r="Q6">
        <f t="shared" si="2"/>
        <v>0</v>
      </c>
      <c r="R6">
        <f t="shared" si="3"/>
        <v>0</v>
      </c>
      <c r="S6" t="str">
        <f t="shared" si="4"/>
        <v/>
      </c>
    </row>
    <row r="7" spans="1:25">
      <c r="A7" s="9">
        <v>30</v>
      </c>
      <c r="B7" s="9" t="s">
        <v>90</v>
      </c>
      <c r="C7" s="10">
        <v>0.87499999999995304</v>
      </c>
      <c r="D7" s="15" t="str">
        <f>IF('Phase Groupe'!AM36=3,'Phase Groupe'!AH36,"")</f>
        <v/>
      </c>
      <c r="E7" s="1" t="str">
        <f>IFERROR(INDEX(Equipe!B:B,MATCH(D7,Equipe!A:A,0)),"")</f>
        <v/>
      </c>
      <c r="F7" s="19"/>
      <c r="G7" t="s">
        <v>83</v>
      </c>
      <c r="H7" s="19"/>
      <c r="I7" s="1" t="str">
        <f>IFERROR(INDEX(Equipe!B:B,MATCH(J7,Equipe!A:A,0)),"")</f>
        <v/>
      </c>
      <c r="J7" s="13" t="str">
        <f>IF('Phase Groupe'!AM45=3,'Phase Groupe'!AH45,"")</f>
        <v/>
      </c>
      <c r="K7" s="2" t="str">
        <f t="shared" si="0"/>
        <v/>
      </c>
      <c r="L7" t="str">
        <f t="shared" si="1"/>
        <v/>
      </c>
      <c r="M7" s="49"/>
      <c r="N7" s="49"/>
      <c r="O7" s="50"/>
      <c r="P7" s="50"/>
      <c r="Q7">
        <f t="shared" si="2"/>
        <v>0</v>
      </c>
      <c r="R7">
        <f t="shared" si="3"/>
        <v>0</v>
      </c>
      <c r="S7" t="str">
        <f t="shared" si="4"/>
        <v/>
      </c>
    </row>
    <row r="8" spans="1:25">
      <c r="A8" s="6">
        <v>1</v>
      </c>
      <c r="B8" s="6" t="s">
        <v>91</v>
      </c>
      <c r="C8" s="8">
        <v>0.125</v>
      </c>
      <c r="D8" s="16" t="str">
        <f>IF('Phase Groupe'!AM52=3,'Phase Groupe'!AH52,"")</f>
        <v/>
      </c>
      <c r="E8" s="4" t="str">
        <f>IFERROR(INDEX(Equipe!B:B,MATCH(D8,Equipe!A:A,0)),"")</f>
        <v/>
      </c>
      <c r="F8" s="23"/>
      <c r="G8" s="3" t="s">
        <v>83</v>
      </c>
      <c r="H8" s="23"/>
      <c r="I8" s="4" t="str">
        <f>IFERROR(INDEX(Equipe!B:B,MATCH(J8,Equipe!A:A,0)),"")</f>
        <v/>
      </c>
      <c r="J8" s="14" t="str">
        <f>IF('Phase Groupe'!AM61=3,'Phase Groupe'!AH61,"")</f>
        <v/>
      </c>
      <c r="K8" s="2" t="str">
        <f t="shared" si="0"/>
        <v/>
      </c>
      <c r="L8" t="str">
        <f t="shared" si="1"/>
        <v/>
      </c>
      <c r="M8" s="49"/>
      <c r="N8" s="49"/>
      <c r="O8" s="50"/>
      <c r="P8" s="50"/>
      <c r="Q8">
        <f t="shared" si="2"/>
        <v>0</v>
      </c>
      <c r="R8">
        <f t="shared" si="3"/>
        <v>0</v>
      </c>
      <c r="S8" t="str">
        <f t="shared" si="4"/>
        <v/>
      </c>
    </row>
    <row r="9" spans="1:25">
      <c r="A9" s="9">
        <v>1</v>
      </c>
      <c r="B9" s="9" t="s">
        <v>91</v>
      </c>
      <c r="C9" s="10">
        <v>0.87499999999995304</v>
      </c>
      <c r="D9" s="15" t="str">
        <f>IF('Phase Groupe'!AM60=3,'Phase Groupe'!AH60,"")</f>
        <v/>
      </c>
      <c r="E9" s="1" t="str">
        <f>IFERROR(INDEX(Equipe!B:B,MATCH(D9,Equipe!A:A,0)),"")</f>
        <v/>
      </c>
      <c r="F9" s="19"/>
      <c r="G9" t="s">
        <v>83</v>
      </c>
      <c r="H9" s="19"/>
      <c r="I9" s="1" t="str">
        <f>IFERROR(INDEX(Equipe!B:B,MATCH(J9,Equipe!A:A,0)),"")</f>
        <v/>
      </c>
      <c r="J9" s="13" t="str">
        <f>IF('Phase Groupe'!AM53=3,'Phase Groupe'!AH53,"")</f>
        <v/>
      </c>
      <c r="K9" s="2" t="str">
        <f>IF(F9="","",IF(F9&gt;H9,3,IF(F9=H9,1,IF(F9&lt;H9,IF(H9="",3,0)))))</f>
        <v/>
      </c>
      <c r="L9" t="str">
        <f>IF(H9="","",IF(H9&gt;F9,3,IF(H9=F9,1,IF(H9&lt;F9,IF(F9="",3,0)))))</f>
        <v/>
      </c>
      <c r="M9" s="49"/>
      <c r="N9" s="49"/>
      <c r="O9" s="50"/>
      <c r="P9" s="50"/>
      <c r="Q9">
        <f t="shared" si="2"/>
        <v>0</v>
      </c>
      <c r="R9">
        <f t="shared" si="3"/>
        <v>0</v>
      </c>
      <c r="S9" t="str">
        <f t="shared" si="4"/>
        <v/>
      </c>
    </row>
    <row r="10" spans="1:25">
      <c r="A10" s="6">
        <v>2</v>
      </c>
      <c r="B10" s="6" t="s">
        <v>91</v>
      </c>
      <c r="C10" s="8">
        <v>0.125</v>
      </c>
      <c r="D10" s="16" t="str">
        <f>IF('Phase Groupe'!AM44=3,'Phase Groupe'!AH44,"")</f>
        <v/>
      </c>
      <c r="E10" s="4" t="str">
        <f>IFERROR(INDEX(Equipe!B:B,MATCH(D10,Equipe!A:A,0)),"")</f>
        <v/>
      </c>
      <c r="F10" s="23"/>
      <c r="G10" s="3" t="s">
        <v>83</v>
      </c>
      <c r="H10" s="23"/>
      <c r="I10" s="4" t="str">
        <f>IFERROR(INDEX(Equipe!B:B,MATCH(J10,Equipe!A:A,0)),"")</f>
        <v/>
      </c>
      <c r="J10" s="14" t="str">
        <f>IF('Phase Groupe'!AM37=3,'Phase Groupe'!AH37,"")</f>
        <v/>
      </c>
      <c r="K10" s="2" t="str">
        <f t="shared" ref="K10" si="5">IF(F10="","",IF(F10&gt;H10,3,IF(F10=H10,1,IF(F10&lt;H10,IF(H10="",3,0)))))</f>
        <v/>
      </c>
      <c r="L10" t="str">
        <f t="shared" ref="L10" si="6">IF(H10="","",IF(H10&gt;F10,3,IF(H10=F10,1,IF(H10&lt;F10,IF(F10="",3,0)))))</f>
        <v/>
      </c>
      <c r="M10" s="49"/>
      <c r="N10" s="49"/>
      <c r="O10" s="50"/>
      <c r="P10" s="50"/>
      <c r="Q10">
        <f t="shared" si="2"/>
        <v>0</v>
      </c>
      <c r="R10">
        <f t="shared" si="3"/>
        <v>0</v>
      </c>
      <c r="S10" t="str">
        <f t="shared" si="4"/>
        <v/>
      </c>
    </row>
    <row r="12" spans="1:25">
      <c r="A12" s="56" t="s">
        <v>102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</row>
    <row r="13" spans="1:25">
      <c r="A13" s="9">
        <v>4</v>
      </c>
      <c r="B13" s="9" t="s">
        <v>91</v>
      </c>
      <c r="C13" s="10">
        <v>0.87499999999995304</v>
      </c>
      <c r="D13" s="15" t="str">
        <f>IF(F7="","",S7)</f>
        <v/>
      </c>
      <c r="E13" s="1" t="str">
        <f>IFERROR(INDEX(Equipe!B:B,MATCH(D13,Equipe!A:A,0)),"")</f>
        <v/>
      </c>
      <c r="F13" s="19"/>
      <c r="G13" t="s">
        <v>83</v>
      </c>
      <c r="H13" s="19"/>
      <c r="I13" s="1" t="str">
        <f>IFERROR(INDEX(Equipe!B:B,MATCH(J13,Equipe!A:A,0)),"")</f>
        <v/>
      </c>
      <c r="J13" s="13" t="str">
        <f>IF(F8="","",S8)</f>
        <v/>
      </c>
      <c r="K13" s="2" t="str">
        <f t="shared" ref="K13:K14" si="7">IF(F13="","",IF(F13&gt;H13,3,IF(F13=H13,1,IF(F13&lt;H13,IF(H13="",3,0)))))</f>
        <v/>
      </c>
      <c r="L13" t="str">
        <f t="shared" ref="L13:L14" si="8">IF(H13="","",IF(H13&gt;F13,3,IF(H13=F13,1,IF(H13&lt;F13,IF(F13="",3,0)))))</f>
        <v/>
      </c>
      <c r="M13" s="49"/>
      <c r="N13" s="49"/>
      <c r="O13" s="50"/>
      <c r="P13" s="50"/>
      <c r="Q13">
        <f t="shared" ref="Q13:Q16" si="9">F13+M13+O13</f>
        <v>0</v>
      </c>
      <c r="R13">
        <f t="shared" ref="R13:R16" si="10">H13+N13+P13</f>
        <v>0</v>
      </c>
      <c r="S13" t="str">
        <f t="shared" ref="S13:S16" si="11">IF(Q13&gt;R13,D13,J13)</f>
        <v/>
      </c>
    </row>
    <row r="14" spans="1:25">
      <c r="A14" s="6">
        <v>5</v>
      </c>
      <c r="B14" s="6" t="s">
        <v>91</v>
      </c>
      <c r="C14" s="8">
        <v>0.125</v>
      </c>
      <c r="D14" s="16" t="str">
        <f>IF(F3="","",S3)</f>
        <v/>
      </c>
      <c r="E14" s="4" t="str">
        <f>IFERROR(INDEX(Equipe!B:B,MATCH(D14,Equipe!A:A,0)),"")</f>
        <v/>
      </c>
      <c r="F14" s="23"/>
      <c r="G14" s="3" t="s">
        <v>83</v>
      </c>
      <c r="H14" s="23"/>
      <c r="I14" s="4" t="str">
        <f>IFERROR(INDEX(Equipe!B:B,MATCH(J14,Equipe!A:A,0)),"")</f>
        <v/>
      </c>
      <c r="J14" s="14" t="str">
        <f>IF(F4="","",S4)</f>
        <v/>
      </c>
      <c r="K14" s="2" t="str">
        <f t="shared" si="7"/>
        <v/>
      </c>
      <c r="L14" t="str">
        <f t="shared" si="8"/>
        <v/>
      </c>
      <c r="M14" s="49"/>
      <c r="N14" s="49"/>
      <c r="O14" s="50"/>
      <c r="P14" s="50"/>
      <c r="Q14">
        <f t="shared" si="9"/>
        <v>0</v>
      </c>
      <c r="R14">
        <f t="shared" si="10"/>
        <v>0</v>
      </c>
      <c r="S14" t="str">
        <f t="shared" si="11"/>
        <v/>
      </c>
    </row>
    <row r="15" spans="1:25">
      <c r="A15" s="9">
        <v>5</v>
      </c>
      <c r="B15" s="9" t="s">
        <v>91</v>
      </c>
      <c r="C15" s="10">
        <v>0.74999999999996103</v>
      </c>
      <c r="D15" s="15" t="str">
        <f>IF(F5="","",S5)</f>
        <v/>
      </c>
      <c r="E15" s="1" t="str">
        <f>IFERROR(INDEX(Equipe!B:B,MATCH(D15,Equipe!A:A,0)),"")</f>
        <v/>
      </c>
      <c r="F15" s="19"/>
      <c r="G15" t="s">
        <v>83</v>
      </c>
      <c r="H15" s="19"/>
      <c r="I15" s="1" t="str">
        <f>IFERROR(INDEX(Equipe!B:B,MATCH(J15,Equipe!A:A,0)),"")</f>
        <v/>
      </c>
      <c r="J15" s="13" t="str">
        <f>IF(F6="","",S6)</f>
        <v/>
      </c>
      <c r="K15" s="2" t="str">
        <f>IF(F15="","",IF(F15&gt;H15,3,IF(F15=H15,1,IF(F15&lt;H15,IF(H15="",3,0)))))</f>
        <v/>
      </c>
      <c r="L15" t="str">
        <f>IF(H15="","",IF(H15&gt;F15,3,IF(H15=F15,1,IF(H15&lt;F15,IF(F15="",3,0)))))</f>
        <v/>
      </c>
      <c r="M15" s="49"/>
      <c r="N15" s="49"/>
      <c r="O15" s="50"/>
      <c r="P15" s="50"/>
      <c r="Q15">
        <f t="shared" si="9"/>
        <v>0</v>
      </c>
      <c r="R15">
        <f t="shared" si="10"/>
        <v>0</v>
      </c>
      <c r="S15" t="str">
        <f t="shared" si="11"/>
        <v/>
      </c>
    </row>
    <row r="16" spans="1:25">
      <c r="A16" s="6">
        <v>5</v>
      </c>
      <c r="B16" s="6" t="s">
        <v>91</v>
      </c>
      <c r="C16" s="8">
        <v>0.916666666666617</v>
      </c>
      <c r="D16" s="16" t="str">
        <f>IF(F9="","",S9)</f>
        <v/>
      </c>
      <c r="E16" s="4" t="str">
        <f>IFERROR(INDEX(Equipe!B:B,MATCH(D16,Equipe!A:A,0)),"")</f>
        <v/>
      </c>
      <c r="F16" s="23"/>
      <c r="G16" s="3" t="s">
        <v>83</v>
      </c>
      <c r="H16" s="23"/>
      <c r="I16" s="4" t="str">
        <f>IFERROR(INDEX(Equipe!B:B,MATCH(J16,Equipe!A:A,0)),"")</f>
        <v/>
      </c>
      <c r="J16" s="14" t="str">
        <f>IF(F10="","",S10)</f>
        <v/>
      </c>
      <c r="K16" s="2" t="str">
        <f t="shared" ref="K16" si="12">IF(F16="","",IF(F16&gt;H16,3,IF(F16=H16,1,IF(F16&lt;H16,IF(H16="",3,0)))))</f>
        <v/>
      </c>
      <c r="L16" t="str">
        <f t="shared" ref="L16" si="13">IF(H16="","",IF(H16&gt;F16,3,IF(H16=F16,1,IF(H16&lt;F16,IF(F16="",3,0)))))</f>
        <v/>
      </c>
      <c r="M16" s="49"/>
      <c r="N16" s="49"/>
      <c r="O16" s="50"/>
      <c r="P16" s="50"/>
      <c r="Q16">
        <f t="shared" si="9"/>
        <v>0</v>
      </c>
      <c r="R16">
        <f t="shared" si="10"/>
        <v>0</v>
      </c>
      <c r="S16" t="str">
        <f t="shared" si="11"/>
        <v/>
      </c>
      <c r="Y16" s="17"/>
    </row>
    <row r="18" spans="1:19">
      <c r="A18" s="56" t="s">
        <v>103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</row>
    <row r="19" spans="1:19">
      <c r="A19" s="9">
        <v>8</v>
      </c>
      <c r="B19" s="9" t="s">
        <v>91</v>
      </c>
      <c r="C19" s="10">
        <v>0.87499999999995304</v>
      </c>
      <c r="D19" s="15" t="str">
        <f>IF(F13="","",S13)</f>
        <v/>
      </c>
      <c r="E19" s="1" t="str">
        <f>IFERROR(INDEX(Equipe!B:B,MATCH(D19,Equipe!A:A,0)),"")</f>
        <v/>
      </c>
      <c r="F19" s="19"/>
      <c r="G19" t="s">
        <v>83</v>
      </c>
      <c r="H19" s="19"/>
      <c r="I19" s="1" t="str">
        <f>IFERROR(INDEX(Equipe!B:B,MATCH(J19,Equipe!A:A,0)),"")</f>
        <v/>
      </c>
      <c r="J19" s="13" t="str">
        <f>IF(F14="","",S14)</f>
        <v/>
      </c>
      <c r="K19" s="2" t="str">
        <f t="shared" ref="K19:K20" si="14">IF(F19="","",IF(F19&gt;H19,3,IF(F19=H19,1,IF(F19&lt;H19,IF(H19="",3,0)))))</f>
        <v/>
      </c>
      <c r="L19" t="str">
        <f t="shared" ref="L19:L20" si="15">IF(H19="","",IF(H19&gt;F19,3,IF(H19=F19,1,IF(H19&lt;F19,IF(F19="",3,0)))))</f>
        <v/>
      </c>
      <c r="M19" s="49"/>
      <c r="N19" s="49"/>
      <c r="O19" s="50"/>
      <c r="P19" s="50"/>
      <c r="Q19">
        <f t="shared" ref="Q19:Q20" si="16">F19+M19+O19</f>
        <v>0</v>
      </c>
      <c r="R19">
        <f t="shared" ref="R19:R20" si="17">H19+N19+P19</f>
        <v>0</v>
      </c>
      <c r="S19" t="str">
        <f t="shared" ref="S19:S20" si="18">IF(Q19&gt;R19,D19,J19)</f>
        <v/>
      </c>
    </row>
    <row r="20" spans="1:19">
      <c r="A20" s="6">
        <v>9</v>
      </c>
      <c r="B20" s="6" t="s">
        <v>91</v>
      </c>
      <c r="C20" s="8">
        <v>0.87499999999995304</v>
      </c>
      <c r="D20" s="16" t="str">
        <f>IF(F15="","",S15)</f>
        <v/>
      </c>
      <c r="E20" s="4" t="str">
        <f>IFERROR(INDEX(Equipe!B:B,MATCH(D20,Equipe!A:A,0)),"")</f>
        <v/>
      </c>
      <c r="F20" s="23"/>
      <c r="G20" s="3" t="s">
        <v>83</v>
      </c>
      <c r="H20" s="23"/>
      <c r="I20" s="4" t="str">
        <f>IFERROR(INDEX(Equipe!B:B,MATCH(J20,Equipe!A:A,0)),"")</f>
        <v/>
      </c>
      <c r="J20" s="14" t="str">
        <f>IF(F16="","",S16)</f>
        <v/>
      </c>
      <c r="K20" s="2" t="str">
        <f t="shared" si="14"/>
        <v/>
      </c>
      <c r="L20" t="str">
        <f t="shared" si="15"/>
        <v/>
      </c>
      <c r="M20" s="49"/>
      <c r="N20" s="49"/>
      <c r="O20" s="50"/>
      <c r="P20" s="50"/>
      <c r="Q20">
        <f t="shared" si="16"/>
        <v>0</v>
      </c>
      <c r="R20">
        <f t="shared" si="17"/>
        <v>0</v>
      </c>
      <c r="S20" t="str">
        <f t="shared" si="18"/>
        <v/>
      </c>
    </row>
    <row r="22" spans="1:19">
      <c r="A22" s="56" t="s">
        <v>104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</row>
    <row r="23" spans="1:19">
      <c r="A23" s="9">
        <v>13</v>
      </c>
      <c r="B23" s="9" t="s">
        <v>91</v>
      </c>
      <c r="C23" s="10">
        <v>0.87499999999995304</v>
      </c>
      <c r="D23" s="15" t="str">
        <f>IF(F19="","",S19)</f>
        <v/>
      </c>
      <c r="E23" s="4" t="str">
        <f>IFERROR(INDEX(Equipe!B:B,MATCH(D23,Equipe!A:A,0)),"")</f>
        <v/>
      </c>
      <c r="F23" s="23"/>
      <c r="G23" s="3" t="s">
        <v>83</v>
      </c>
      <c r="H23" s="23"/>
      <c r="I23" s="4" t="str">
        <f>IFERROR(INDEX(Equipe!B:B,MATCH(J23,Equipe!A:A,0)),"")</f>
        <v/>
      </c>
      <c r="J23" s="13" t="str">
        <f>IF(F20="","",S20)</f>
        <v/>
      </c>
      <c r="K23" s="2" t="str">
        <f t="shared" ref="K23" si="19">IF(F23="","",IF(F23&gt;H23,3,IF(F23=H23,1,IF(F23&lt;H23,IF(H23="",3,0)))))</f>
        <v/>
      </c>
      <c r="L23" t="str">
        <f t="shared" ref="L23" si="20">IF(H23="","",IF(H23&gt;F23,3,IF(H23=F23,1,IF(H23&lt;F23,IF(F23="",3,0)))))</f>
        <v/>
      </c>
      <c r="M23" s="49"/>
      <c r="N23" s="49"/>
      <c r="O23" s="50"/>
      <c r="P23" s="50"/>
      <c r="Q23">
        <f t="shared" ref="Q23" si="21">F23+M23+O23</f>
        <v>0</v>
      </c>
      <c r="R23">
        <f t="shared" ref="R23" si="22">H23+N23+P23</f>
        <v>0</v>
      </c>
      <c r="S23" t="str">
        <f t="shared" ref="S23" si="23">IF(Q23&gt;R23,D23,J23)</f>
        <v/>
      </c>
    </row>
  </sheetData>
  <sheetProtection algorithmName="SHA-512" hashValue="7LivVWJT/gtQdt5oHR7OjBwzaNfn9cZIlbHz+2fyZfwNxtBYme5lgyqVyjHsXuACX1O7zpZKCT7xOR9GAGVy/g==" saltValue="AHpPCLGqGX1k3R6K66zHyA==" spinCount="100000" sheet="1"/>
  <mergeCells count="7">
    <mergeCell ref="A18:P18"/>
    <mergeCell ref="A22:P22"/>
    <mergeCell ref="A1:P1"/>
    <mergeCell ref="F2:H2"/>
    <mergeCell ref="M2:N2"/>
    <mergeCell ref="O2:P2"/>
    <mergeCell ref="A12:P1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B730AA-E661-48CC-BFFD-6C63CBF168AD}">
          <x14:formula1>
            <xm:f>liste!$C$1:$C$97</xm:f>
          </x14:formula1>
          <xm:sqref>C3:C10 C13:C16 C19:C20 C23</xm:sqref>
        </x14:dataValidation>
        <x14:dataValidation type="list" allowBlank="1" showInputMessage="1" showErrorMessage="1" xr:uid="{36BCE3A4-7BC9-49C8-A409-19E8BD00D95F}">
          <x14:formula1>
            <xm:f>liste!$B$1:$B$3</xm:f>
          </x14:formula1>
          <xm:sqref>B3:B10 B13:B16 B19:B20 B23</xm:sqref>
        </x14:dataValidation>
        <x14:dataValidation type="list" allowBlank="1" showInputMessage="1" showErrorMessage="1" xr:uid="{4E1E7A28-52B0-43D5-90E1-B1B4D0354848}">
          <x14:formula1>
            <xm:f>liste!$A$1:$A$33</xm:f>
          </x14:formula1>
          <xm:sqref>A3:A10 A13:A16 A19:A20 A23</xm:sqref>
        </x14:dataValidation>
        <x14:dataValidation type="list" allowBlank="1" showInputMessage="1" showErrorMessage="1" xr:uid="{815B0A20-B373-4913-950E-EB5438ADD3F4}">
          <x14:formula1>
            <xm:f>liste!$A$1:$A$12</xm:f>
          </x14:formula1>
          <xm:sqref>M23:P23 F23 M3:P10 H23 F13:F16 H3:H10 M13:P16 F3:F10 F19:F20 M19:P20 H19:H20 H13:H16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725E2-4104-A648-B1C8-CAEFECE7A492}">
  <dimension ref="A2:C304"/>
  <sheetViews>
    <sheetView topLeftCell="A84" workbookViewId="0">
      <selection activeCell="C50" sqref="C50:C304"/>
    </sheetView>
  </sheetViews>
  <sheetFormatPr baseColWidth="10" defaultRowHeight="15"/>
  <cols>
    <col min="1" max="1" width="3.140625" bestFit="1" customWidth="1"/>
    <col min="3" max="3" width="5.7109375" style="5" bestFit="1" customWidth="1"/>
  </cols>
  <sheetData>
    <row r="2" spans="1:3">
      <c r="A2" s="1">
        <v>0</v>
      </c>
      <c r="B2" t="s">
        <v>90</v>
      </c>
      <c r="C2" s="5">
        <v>0</v>
      </c>
    </row>
    <row r="3" spans="1:3">
      <c r="A3" s="1">
        <v>1</v>
      </c>
      <c r="B3" t="s">
        <v>91</v>
      </c>
      <c r="C3" s="5">
        <v>1.0416666666666666E-2</v>
      </c>
    </row>
    <row r="4" spans="1:3">
      <c r="A4" s="1">
        <v>2</v>
      </c>
      <c r="C4" s="5">
        <v>2.0833333333333301E-2</v>
      </c>
    </row>
    <row r="5" spans="1:3">
      <c r="A5" s="1">
        <v>3</v>
      </c>
      <c r="C5" s="5">
        <v>3.125E-2</v>
      </c>
    </row>
    <row r="6" spans="1:3">
      <c r="A6" s="1">
        <v>4</v>
      </c>
      <c r="C6" s="5">
        <v>4.1666666666666699E-2</v>
      </c>
    </row>
    <row r="7" spans="1:3">
      <c r="A7" s="1">
        <v>5</v>
      </c>
      <c r="C7" s="5">
        <v>5.2083333333333301E-2</v>
      </c>
    </row>
    <row r="8" spans="1:3">
      <c r="A8" s="1">
        <v>6</v>
      </c>
      <c r="C8" s="5">
        <v>6.25E-2</v>
      </c>
    </row>
    <row r="9" spans="1:3">
      <c r="A9" s="1">
        <v>7</v>
      </c>
      <c r="C9" s="5">
        <v>7.2916666666666699E-2</v>
      </c>
    </row>
    <row r="10" spans="1:3">
      <c r="A10" s="1">
        <v>8</v>
      </c>
      <c r="C10" s="5">
        <v>8.3333333333333301E-2</v>
      </c>
    </row>
    <row r="11" spans="1:3">
      <c r="A11" s="1">
        <v>9</v>
      </c>
      <c r="C11" s="5">
        <v>9.375E-2</v>
      </c>
    </row>
    <row r="12" spans="1:3">
      <c r="A12" s="1">
        <v>10</v>
      </c>
      <c r="C12" s="5">
        <v>0.104166666666667</v>
      </c>
    </row>
    <row r="13" spans="1:3">
      <c r="A13" s="1">
        <v>11</v>
      </c>
      <c r="C13" s="5">
        <v>0.114583333333333</v>
      </c>
    </row>
    <row r="14" spans="1:3">
      <c r="A14" s="1">
        <v>12</v>
      </c>
      <c r="C14" s="5">
        <v>0.125</v>
      </c>
    </row>
    <row r="15" spans="1:3">
      <c r="A15" s="1">
        <v>13</v>
      </c>
      <c r="C15" s="5">
        <v>0.13541666666666699</v>
      </c>
    </row>
    <row r="16" spans="1:3">
      <c r="A16" s="1">
        <v>14</v>
      </c>
      <c r="C16" s="5">
        <v>0.14583333333333301</v>
      </c>
    </row>
    <row r="17" spans="1:3">
      <c r="A17" s="1">
        <v>15</v>
      </c>
      <c r="C17" s="5">
        <v>0.156249999999999</v>
      </c>
    </row>
    <row r="18" spans="1:3">
      <c r="A18" s="1">
        <v>16</v>
      </c>
      <c r="C18" s="5">
        <v>0.16666666666666499</v>
      </c>
    </row>
    <row r="19" spans="1:3">
      <c r="A19" s="1">
        <v>17</v>
      </c>
      <c r="C19" s="5">
        <v>0.17708333333333101</v>
      </c>
    </row>
    <row r="20" spans="1:3">
      <c r="A20" s="1">
        <v>18</v>
      </c>
      <c r="C20" s="5">
        <v>0.187499999999997</v>
      </c>
    </row>
    <row r="21" spans="1:3">
      <c r="A21" s="1">
        <v>19</v>
      </c>
      <c r="C21" s="5">
        <v>0.19791666666666299</v>
      </c>
    </row>
    <row r="22" spans="1:3">
      <c r="A22" s="1">
        <v>20</v>
      </c>
      <c r="C22" s="5">
        <v>0.20833333333332901</v>
      </c>
    </row>
    <row r="23" spans="1:3">
      <c r="A23" s="1">
        <v>21</v>
      </c>
      <c r="C23" s="5">
        <v>0.218749999999995</v>
      </c>
    </row>
    <row r="24" spans="1:3">
      <c r="A24" s="1">
        <v>22</v>
      </c>
      <c r="C24" s="5">
        <v>0.229166666666661</v>
      </c>
    </row>
    <row r="25" spans="1:3">
      <c r="A25" s="1">
        <v>23</v>
      </c>
      <c r="C25" s="5">
        <v>0.23958333333332699</v>
      </c>
    </row>
    <row r="26" spans="1:3">
      <c r="A26" s="1">
        <v>24</v>
      </c>
      <c r="C26" s="5">
        <v>0.24999999999999301</v>
      </c>
    </row>
    <row r="27" spans="1:3">
      <c r="A27" s="1">
        <v>25</v>
      </c>
      <c r="C27" s="5">
        <v>0.26041666666665902</v>
      </c>
    </row>
    <row r="28" spans="1:3">
      <c r="A28" s="1">
        <v>26</v>
      </c>
      <c r="C28" s="5">
        <v>0.27083333333332499</v>
      </c>
    </row>
    <row r="29" spans="1:3">
      <c r="A29" s="1">
        <v>27</v>
      </c>
      <c r="C29" s="5">
        <v>0.28124999999999101</v>
      </c>
    </row>
    <row r="30" spans="1:3">
      <c r="A30" s="1">
        <v>28</v>
      </c>
      <c r="C30" s="5">
        <v>0.29166666666665703</v>
      </c>
    </row>
    <row r="31" spans="1:3">
      <c r="A31" s="1">
        <v>29</v>
      </c>
      <c r="C31" s="5">
        <v>0.30208333333332299</v>
      </c>
    </row>
    <row r="32" spans="1:3">
      <c r="A32" s="1">
        <v>30</v>
      </c>
      <c r="C32" s="5">
        <v>0.31249999999998901</v>
      </c>
    </row>
    <row r="33" spans="1:3">
      <c r="A33" s="1">
        <v>31</v>
      </c>
      <c r="C33" s="5">
        <v>0.32291666666665497</v>
      </c>
    </row>
    <row r="34" spans="1:3">
      <c r="C34" s="5">
        <v>0.33333333333332099</v>
      </c>
    </row>
    <row r="35" spans="1:3">
      <c r="C35" s="5">
        <v>0.34374999999998701</v>
      </c>
    </row>
    <row r="36" spans="1:3">
      <c r="C36" s="5">
        <v>0.35416666666665297</v>
      </c>
    </row>
    <row r="37" spans="1:3">
      <c r="C37" s="5">
        <v>0.36458333333331899</v>
      </c>
    </row>
    <row r="38" spans="1:3">
      <c r="C38" s="5">
        <v>0.37499999999998501</v>
      </c>
    </row>
    <row r="39" spans="1:3">
      <c r="C39" s="5">
        <v>0.38541666666665098</v>
      </c>
    </row>
    <row r="40" spans="1:3">
      <c r="C40" s="5">
        <v>0.39583333333331699</v>
      </c>
    </row>
    <row r="41" spans="1:3">
      <c r="C41" s="5">
        <v>0.40624999999998301</v>
      </c>
    </row>
    <row r="42" spans="1:3">
      <c r="C42" s="5">
        <v>0.41666666666664998</v>
      </c>
    </row>
    <row r="43" spans="1:3">
      <c r="C43" s="5">
        <v>0.427083333333316</v>
      </c>
    </row>
    <row r="44" spans="1:3">
      <c r="C44" s="5">
        <v>0.43749999999998201</v>
      </c>
    </row>
    <row r="45" spans="1:3">
      <c r="C45" s="5">
        <v>0.44791666666664798</v>
      </c>
    </row>
    <row r="46" spans="1:3">
      <c r="C46" s="5">
        <v>0.458333333333314</v>
      </c>
    </row>
    <row r="47" spans="1:3">
      <c r="C47" s="5">
        <v>0.46874999999998002</v>
      </c>
    </row>
    <row r="48" spans="1:3">
      <c r="C48" s="5">
        <v>0.47916666666664598</v>
      </c>
    </row>
    <row r="49" spans="3:3">
      <c r="C49" s="5">
        <v>0.489583333333312</v>
      </c>
    </row>
    <row r="50" spans="3:3">
      <c r="C50" s="5">
        <v>0.49999999999997802</v>
      </c>
    </row>
    <row r="51" spans="3:3">
      <c r="C51" s="5">
        <v>0.51041666666664398</v>
      </c>
    </row>
    <row r="52" spans="3:3">
      <c r="C52" s="5">
        <v>0.52083333333330994</v>
      </c>
    </row>
    <row r="53" spans="3:3">
      <c r="C53" s="5">
        <v>0.53124999999997602</v>
      </c>
    </row>
    <row r="54" spans="3:3">
      <c r="C54" s="5">
        <v>0.54166666666664198</v>
      </c>
    </row>
    <row r="55" spans="3:3">
      <c r="C55" s="5">
        <v>0.55208333333330795</v>
      </c>
    </row>
    <row r="56" spans="3:3">
      <c r="C56" s="5">
        <v>0.56249999999997402</v>
      </c>
    </row>
    <row r="57" spans="3:3">
      <c r="C57" s="5">
        <v>0.57291666666663998</v>
      </c>
    </row>
    <row r="58" spans="3:3">
      <c r="C58" s="5">
        <v>0.58333333333330595</v>
      </c>
    </row>
    <row r="59" spans="3:3">
      <c r="C59" s="5">
        <v>0.59374999999997202</v>
      </c>
    </row>
    <row r="60" spans="3:3">
      <c r="C60" s="5">
        <v>0.60416666666663799</v>
      </c>
    </row>
    <row r="61" spans="3:3">
      <c r="C61" s="5">
        <v>0.61458333333330395</v>
      </c>
    </row>
    <row r="62" spans="3:3">
      <c r="C62" s="5">
        <v>0.62499999999997002</v>
      </c>
    </row>
    <row r="63" spans="3:3">
      <c r="C63" s="5">
        <v>0.63541666666663599</v>
      </c>
    </row>
    <row r="64" spans="3:3">
      <c r="C64" s="5">
        <v>0.64583333333330095</v>
      </c>
    </row>
    <row r="65" spans="3:3">
      <c r="C65" s="5">
        <v>0.65624999999996703</v>
      </c>
    </row>
    <row r="66" spans="3:3">
      <c r="C66" s="5">
        <v>0.66666666666663299</v>
      </c>
    </row>
    <row r="67" spans="3:3">
      <c r="C67" s="5">
        <v>0.67708333333329895</v>
      </c>
    </row>
    <row r="68" spans="3:3">
      <c r="C68" s="5">
        <v>0.68749999999996503</v>
      </c>
    </row>
    <row r="69" spans="3:3">
      <c r="C69" s="5">
        <v>0.69791666666663099</v>
      </c>
    </row>
    <row r="70" spans="3:3">
      <c r="C70" s="5">
        <v>0.70833333333329696</v>
      </c>
    </row>
    <row r="71" spans="3:3">
      <c r="C71" s="5">
        <v>0.71874999999996303</v>
      </c>
    </row>
    <row r="72" spans="3:3">
      <c r="C72" s="5">
        <v>0.72916666666662899</v>
      </c>
    </row>
    <row r="73" spans="3:3">
      <c r="C73" s="5">
        <v>0.73958333333329496</v>
      </c>
    </row>
    <row r="74" spans="3:3">
      <c r="C74" s="5">
        <v>0.74999999999996103</v>
      </c>
    </row>
    <row r="75" spans="3:3">
      <c r="C75" s="5">
        <v>0.76041666666662699</v>
      </c>
    </row>
    <row r="76" spans="3:3">
      <c r="C76" s="5">
        <v>0.77083333333329296</v>
      </c>
    </row>
    <row r="77" spans="3:3">
      <c r="C77" s="5">
        <v>0.78124999999995903</v>
      </c>
    </row>
    <row r="78" spans="3:3">
      <c r="C78" s="5">
        <v>0.791666666666625</v>
      </c>
    </row>
    <row r="79" spans="3:3">
      <c r="C79" s="5">
        <v>0.80208333333329096</v>
      </c>
    </row>
    <row r="80" spans="3:3">
      <c r="C80" s="5">
        <v>0.81249999999995703</v>
      </c>
    </row>
    <row r="81" spans="3:3">
      <c r="C81" s="5">
        <v>0.822916666666623</v>
      </c>
    </row>
    <row r="82" spans="3:3">
      <c r="C82" s="5">
        <v>0.83333333333328896</v>
      </c>
    </row>
    <row r="83" spans="3:3">
      <c r="C83" s="5">
        <v>0.84374999999995504</v>
      </c>
    </row>
    <row r="84" spans="3:3">
      <c r="C84" s="5">
        <v>0.854166666666621</v>
      </c>
    </row>
    <row r="85" spans="3:3">
      <c r="C85" s="5">
        <v>0.86458333333328696</v>
      </c>
    </row>
    <row r="86" spans="3:3">
      <c r="C86" s="5">
        <v>0.87499999999995304</v>
      </c>
    </row>
    <row r="87" spans="3:3">
      <c r="C87" s="5">
        <v>0.885416666666619</v>
      </c>
    </row>
    <row r="88" spans="3:3">
      <c r="C88" s="5">
        <v>0.89583333333328496</v>
      </c>
    </row>
    <row r="89" spans="3:3">
      <c r="C89" s="5">
        <v>0.90624999999995104</v>
      </c>
    </row>
    <row r="90" spans="3:3">
      <c r="C90" s="5">
        <v>0.916666666666617</v>
      </c>
    </row>
    <row r="91" spans="3:3">
      <c r="C91" s="5">
        <v>0.92708333333328297</v>
      </c>
    </row>
    <row r="92" spans="3:3">
      <c r="C92" s="5">
        <v>0.93749999999994804</v>
      </c>
    </row>
    <row r="93" spans="3:3">
      <c r="C93" s="5">
        <v>0.94791666666661401</v>
      </c>
    </row>
    <row r="94" spans="3:3">
      <c r="C94" s="5">
        <v>0.95833333333327997</v>
      </c>
    </row>
    <row r="95" spans="3:3">
      <c r="C95" s="5">
        <v>0.96874999999994604</v>
      </c>
    </row>
    <row r="96" spans="3:3">
      <c r="C96" s="5">
        <v>0.97916666666661201</v>
      </c>
    </row>
    <row r="97" spans="3:3">
      <c r="C97" s="5">
        <v>0.98958333333327797</v>
      </c>
    </row>
    <row r="98" spans="3:3">
      <c r="C98" s="5">
        <v>0.99999999999994404</v>
      </c>
    </row>
    <row r="99" spans="3:3">
      <c r="C99" s="5">
        <v>1.0104166666666099</v>
      </c>
    </row>
    <row r="100" spans="3:3">
      <c r="C100" s="5">
        <v>1.02083333333328</v>
      </c>
    </row>
    <row r="101" spans="3:3">
      <c r="C101" s="5">
        <v>1.03124999999994</v>
      </c>
    </row>
    <row r="102" spans="3:3">
      <c r="C102" s="5">
        <v>1.0416666666666099</v>
      </c>
    </row>
    <row r="103" spans="3:3">
      <c r="C103" s="5">
        <v>1.05208333333327</v>
      </c>
    </row>
    <row r="104" spans="3:3">
      <c r="C104" s="5">
        <v>1.06249999999994</v>
      </c>
    </row>
    <row r="105" spans="3:3">
      <c r="C105" s="5">
        <v>1.0729166666666099</v>
      </c>
    </row>
    <row r="106" spans="3:3">
      <c r="C106" s="5">
        <v>1.08333333333327</v>
      </c>
    </row>
    <row r="107" spans="3:3">
      <c r="C107" s="5">
        <v>1.09374999999994</v>
      </c>
    </row>
    <row r="108" spans="3:3">
      <c r="C108" s="5">
        <v>1.1041666666665999</v>
      </c>
    </row>
    <row r="109" spans="3:3">
      <c r="C109" s="5">
        <v>1.11458333333327</v>
      </c>
    </row>
    <row r="110" spans="3:3">
      <c r="C110" s="5">
        <v>1.12499999999994</v>
      </c>
    </row>
    <row r="111" spans="3:3">
      <c r="C111" s="5">
        <v>1.1354166666665999</v>
      </c>
    </row>
    <row r="112" spans="3:3">
      <c r="C112" s="5">
        <v>1.14583333333327</v>
      </c>
    </row>
    <row r="113" spans="3:3">
      <c r="C113" s="5">
        <v>1.1562499999999301</v>
      </c>
    </row>
    <row r="114" spans="3:3">
      <c r="C114" s="5">
        <v>1.1666666666665999</v>
      </c>
    </row>
    <row r="115" spans="3:3">
      <c r="C115" s="5">
        <v>1.17708333333327</v>
      </c>
    </row>
    <row r="116" spans="3:3">
      <c r="C116" s="5">
        <v>1.1874999999999301</v>
      </c>
    </row>
    <row r="117" spans="3:3">
      <c r="C117" s="5">
        <v>1.1979166666665999</v>
      </c>
    </row>
    <row r="118" spans="3:3">
      <c r="C118" s="5">
        <v>1.20833333333326</v>
      </c>
    </row>
    <row r="119" spans="3:3">
      <c r="C119" s="5">
        <v>1.2187499999999301</v>
      </c>
    </row>
    <row r="120" spans="3:3">
      <c r="C120" s="5">
        <v>1.2291666666665999</v>
      </c>
    </row>
    <row r="121" spans="3:3">
      <c r="C121" s="5">
        <v>1.23958333333326</v>
      </c>
    </row>
    <row r="122" spans="3:3">
      <c r="C122" s="5">
        <v>1.2499999999999301</v>
      </c>
    </row>
    <row r="123" spans="3:3">
      <c r="C123" s="5">
        <v>1.2604166666665899</v>
      </c>
    </row>
    <row r="124" spans="3:3">
      <c r="C124" s="5">
        <v>1.27083333333326</v>
      </c>
    </row>
    <row r="125" spans="3:3">
      <c r="C125" s="5">
        <v>1.2812499999999201</v>
      </c>
    </row>
    <row r="126" spans="3:3">
      <c r="C126" s="5">
        <v>1.2916666666665899</v>
      </c>
    </row>
    <row r="127" spans="3:3">
      <c r="C127" s="5">
        <v>1.30208333333326</v>
      </c>
    </row>
    <row r="128" spans="3:3">
      <c r="C128" s="5">
        <v>1.3124999999999201</v>
      </c>
    </row>
    <row r="129" spans="3:3">
      <c r="C129" s="5">
        <v>1.3229166666665899</v>
      </c>
    </row>
    <row r="130" spans="3:3">
      <c r="C130" s="5">
        <v>1.33333333333325</v>
      </c>
    </row>
    <row r="131" spans="3:3">
      <c r="C131" s="5">
        <v>1.3437499999999201</v>
      </c>
    </row>
    <row r="132" spans="3:3">
      <c r="C132" s="5">
        <v>1.3541666666665899</v>
      </c>
    </row>
    <row r="133" spans="3:3">
      <c r="C133" s="5">
        <v>1.36458333333325</v>
      </c>
    </row>
    <row r="134" spans="3:3">
      <c r="C134" s="5">
        <v>1.3749999999999201</v>
      </c>
    </row>
    <row r="135" spans="3:3">
      <c r="C135" s="5">
        <v>1.3854166666665899</v>
      </c>
    </row>
    <row r="136" spans="3:3">
      <c r="C136" s="5">
        <v>1.39583333333325</v>
      </c>
    </row>
    <row r="137" spans="3:3">
      <c r="C137" s="5">
        <v>1.4062499999999201</v>
      </c>
    </row>
    <row r="138" spans="3:3">
      <c r="C138" s="5">
        <v>1.4166666666665799</v>
      </c>
    </row>
    <row r="139" spans="3:3">
      <c r="C139" s="5">
        <v>1.42708333333325</v>
      </c>
    </row>
    <row r="140" spans="3:3">
      <c r="C140" s="5">
        <v>1.4374999999999201</v>
      </c>
    </row>
    <row r="141" spans="3:3">
      <c r="C141" s="5">
        <v>1.4479166666665799</v>
      </c>
    </row>
    <row r="142" spans="3:3">
      <c r="C142" s="5">
        <v>1.45833333333325</v>
      </c>
    </row>
    <row r="143" spans="3:3">
      <c r="C143" s="5">
        <v>1.4687499999999101</v>
      </c>
    </row>
    <row r="144" spans="3:3">
      <c r="C144" s="5">
        <v>1.4791666666665799</v>
      </c>
    </row>
    <row r="145" spans="3:3">
      <c r="C145" s="5">
        <v>1.48958333333325</v>
      </c>
    </row>
    <row r="146" spans="3:3">
      <c r="C146" s="5">
        <v>1.4999999999999101</v>
      </c>
    </row>
    <row r="147" spans="3:3">
      <c r="C147" s="5">
        <v>1.5104166666665799</v>
      </c>
    </row>
    <row r="148" spans="3:3">
      <c r="C148" s="5">
        <v>1.52083333333324</v>
      </c>
    </row>
    <row r="149" spans="3:3">
      <c r="C149" s="5">
        <v>1.5312499999999101</v>
      </c>
    </row>
    <row r="150" spans="3:3">
      <c r="C150" s="5">
        <v>1.5416666666665799</v>
      </c>
    </row>
    <row r="151" spans="3:3">
      <c r="C151" s="5">
        <v>1.55208333333324</v>
      </c>
    </row>
    <row r="152" spans="3:3">
      <c r="C152" s="5">
        <v>1.5624999999999101</v>
      </c>
    </row>
    <row r="153" spans="3:3">
      <c r="C153" s="5">
        <v>1.5729166666665699</v>
      </c>
    </row>
    <row r="154" spans="3:3">
      <c r="C154" s="5">
        <v>1.58333333333324</v>
      </c>
    </row>
    <row r="155" spans="3:3">
      <c r="C155" s="5">
        <v>1.5937499999999101</v>
      </c>
    </row>
    <row r="156" spans="3:3">
      <c r="C156" s="5">
        <v>1.6041666666665699</v>
      </c>
    </row>
    <row r="157" spans="3:3">
      <c r="C157" s="5">
        <v>1.61458333333324</v>
      </c>
    </row>
    <row r="158" spans="3:3">
      <c r="C158" s="5">
        <v>1.6249999999999001</v>
      </c>
    </row>
    <row r="159" spans="3:3">
      <c r="C159" s="5">
        <v>1.6354166666665699</v>
      </c>
    </row>
    <row r="160" spans="3:3">
      <c r="C160" s="5">
        <v>1.64583333333324</v>
      </c>
    </row>
    <row r="161" spans="3:3">
      <c r="C161" s="5">
        <v>1.6562499999999001</v>
      </c>
    </row>
    <row r="162" spans="3:3">
      <c r="C162" s="5">
        <v>1.6666666666665699</v>
      </c>
    </row>
    <row r="163" spans="3:3">
      <c r="C163" s="5">
        <v>1.67708333333323</v>
      </c>
    </row>
    <row r="164" spans="3:3">
      <c r="C164" s="5">
        <v>1.6874999999999001</v>
      </c>
    </row>
    <row r="165" spans="3:3">
      <c r="C165" s="5">
        <v>1.6979166666665699</v>
      </c>
    </row>
    <row r="166" spans="3:3">
      <c r="C166" s="5">
        <v>1.70833333333323</v>
      </c>
    </row>
    <row r="167" spans="3:3">
      <c r="C167" s="5">
        <v>1.7187499999999001</v>
      </c>
    </row>
    <row r="168" spans="3:3">
      <c r="C168" s="5">
        <v>1.7291666666665599</v>
      </c>
    </row>
    <row r="169" spans="3:3">
      <c r="C169" s="5">
        <v>1.73958333333323</v>
      </c>
    </row>
    <row r="170" spans="3:3">
      <c r="C170" s="5">
        <v>1.7499999999999001</v>
      </c>
    </row>
    <row r="171" spans="3:3">
      <c r="C171" s="5">
        <v>1.7604166666665599</v>
      </c>
    </row>
    <row r="172" spans="3:3">
      <c r="C172" s="5">
        <v>1.77083333333323</v>
      </c>
    </row>
    <row r="173" spans="3:3">
      <c r="C173" s="5">
        <v>1.7812499999998901</v>
      </c>
    </row>
    <row r="174" spans="3:3">
      <c r="C174" s="5">
        <v>1.7916666666665599</v>
      </c>
    </row>
    <row r="175" spans="3:3">
      <c r="C175" s="5">
        <v>1.80208333333323</v>
      </c>
    </row>
    <row r="176" spans="3:3">
      <c r="C176" s="5">
        <v>1.8124999999998901</v>
      </c>
    </row>
    <row r="177" spans="3:3">
      <c r="C177" s="5">
        <v>1.8229166666665599</v>
      </c>
    </row>
    <row r="178" spans="3:3">
      <c r="C178" s="5">
        <v>1.83333333333322</v>
      </c>
    </row>
    <row r="179" spans="3:3">
      <c r="C179" s="5">
        <v>1.8437499999998901</v>
      </c>
    </row>
    <row r="180" spans="3:3">
      <c r="C180" s="5">
        <v>1.8541666666665599</v>
      </c>
    </row>
    <row r="181" spans="3:3">
      <c r="C181" s="5">
        <v>1.86458333333322</v>
      </c>
    </row>
    <row r="182" spans="3:3">
      <c r="C182" s="5">
        <v>1.8749999999998901</v>
      </c>
    </row>
    <row r="183" spans="3:3">
      <c r="C183" s="5">
        <v>1.8854166666665499</v>
      </c>
    </row>
    <row r="184" spans="3:3">
      <c r="C184" s="5">
        <v>1.89583333333322</v>
      </c>
    </row>
    <row r="185" spans="3:3">
      <c r="C185" s="5">
        <v>1.9062499999998801</v>
      </c>
    </row>
    <row r="186" spans="3:3">
      <c r="C186" s="5">
        <v>1.9166666666665499</v>
      </c>
    </row>
    <row r="187" spans="3:3">
      <c r="C187" s="5">
        <v>1.92708333333322</v>
      </c>
    </row>
    <row r="188" spans="3:3">
      <c r="C188" s="5">
        <v>1.9374999999998801</v>
      </c>
    </row>
    <row r="189" spans="3:3">
      <c r="C189" s="5">
        <v>1.9479166666665499</v>
      </c>
    </row>
    <row r="190" spans="3:3">
      <c r="C190" s="5">
        <v>1.95833333333321</v>
      </c>
    </row>
    <row r="191" spans="3:3">
      <c r="C191" s="5">
        <v>1.9687499999998801</v>
      </c>
    </row>
    <row r="192" spans="3:3">
      <c r="C192" s="5">
        <v>1.9791666666665499</v>
      </c>
    </row>
    <row r="193" spans="3:3">
      <c r="C193" s="5">
        <v>1.98958333333321</v>
      </c>
    </row>
    <row r="194" spans="3:3">
      <c r="C194" s="5">
        <v>1.9999999999998801</v>
      </c>
    </row>
    <row r="195" spans="3:3">
      <c r="C195" s="5">
        <v>2.01041666666654</v>
      </c>
    </row>
    <row r="196" spans="3:3">
      <c r="C196" s="5">
        <v>2.02083333333321</v>
      </c>
    </row>
    <row r="197" spans="3:3">
      <c r="C197" s="5">
        <v>2.0312499999998801</v>
      </c>
    </row>
    <row r="198" spans="3:3">
      <c r="C198" s="5">
        <v>2.04166666666654</v>
      </c>
    </row>
    <row r="199" spans="3:3">
      <c r="C199" s="5">
        <v>2.05208333333321</v>
      </c>
    </row>
    <row r="200" spans="3:3">
      <c r="C200" s="5">
        <v>2.0624999999998699</v>
      </c>
    </row>
    <row r="201" spans="3:3">
      <c r="C201" s="5">
        <v>2.07291666666654</v>
      </c>
    </row>
    <row r="202" spans="3:3">
      <c r="C202" s="5">
        <v>2.08333333333321</v>
      </c>
    </row>
    <row r="203" spans="3:3">
      <c r="C203" s="5">
        <v>2.0937499999998699</v>
      </c>
    </row>
    <row r="204" spans="3:3">
      <c r="C204" s="5">
        <v>2.10416666666654</v>
      </c>
    </row>
    <row r="205" spans="3:3">
      <c r="C205" s="5">
        <v>2.1145833333331998</v>
      </c>
    </row>
    <row r="206" spans="3:3">
      <c r="C206" s="5">
        <v>2.1249999999998699</v>
      </c>
    </row>
    <row r="207" spans="3:3">
      <c r="C207" s="5">
        <v>2.13541666666654</v>
      </c>
    </row>
    <row r="208" spans="3:3">
      <c r="C208" s="5">
        <v>2.1458333333331998</v>
      </c>
    </row>
    <row r="209" spans="3:3">
      <c r="C209" s="5">
        <v>2.1562499999998699</v>
      </c>
    </row>
    <row r="210" spans="3:3">
      <c r="C210" s="5">
        <v>2.1666666666665302</v>
      </c>
    </row>
    <row r="211" spans="3:3">
      <c r="C211" s="5">
        <v>2.1770833333331998</v>
      </c>
    </row>
    <row r="212" spans="3:3">
      <c r="C212" s="5">
        <v>2.1874999999998699</v>
      </c>
    </row>
    <row r="213" spans="3:3">
      <c r="C213" s="5">
        <v>2.1979166666665302</v>
      </c>
    </row>
    <row r="214" spans="3:3">
      <c r="C214" s="5">
        <v>2.2083333333331998</v>
      </c>
    </row>
    <row r="215" spans="3:3">
      <c r="C215" s="5">
        <v>2.2187499999998601</v>
      </c>
    </row>
    <row r="216" spans="3:3">
      <c r="C216" s="5">
        <v>2.2291666666665302</v>
      </c>
    </row>
    <row r="217" spans="3:3">
      <c r="C217" s="5">
        <v>2.2395833333331998</v>
      </c>
    </row>
    <row r="218" spans="3:3">
      <c r="C218" s="5">
        <v>2.2499999999998601</v>
      </c>
    </row>
    <row r="219" spans="3:3">
      <c r="C219" s="5">
        <v>2.2604166666665302</v>
      </c>
    </row>
    <row r="220" spans="3:3">
      <c r="C220" s="5">
        <v>2.27083333333319</v>
      </c>
    </row>
    <row r="221" spans="3:3">
      <c r="C221" s="5">
        <v>2.2812499999998601</v>
      </c>
    </row>
    <row r="222" spans="3:3">
      <c r="C222" s="5">
        <v>2.2916666666665302</v>
      </c>
    </row>
    <row r="223" spans="3:3">
      <c r="C223" s="5">
        <v>2.30208333333319</v>
      </c>
    </row>
    <row r="224" spans="3:3">
      <c r="C224" s="5">
        <v>2.3124999999998601</v>
      </c>
    </row>
    <row r="225" spans="3:3">
      <c r="C225" s="5">
        <v>2.32291666666652</v>
      </c>
    </row>
    <row r="226" spans="3:3">
      <c r="C226" s="5">
        <v>2.33333333333319</v>
      </c>
    </row>
    <row r="227" spans="3:3">
      <c r="C227" s="5">
        <v>2.3437499999998601</v>
      </c>
    </row>
    <row r="228" spans="3:3">
      <c r="C228" s="5">
        <v>2.35416666666652</v>
      </c>
    </row>
    <row r="229" spans="3:3">
      <c r="C229" s="5">
        <v>2.36458333333319</v>
      </c>
    </row>
    <row r="230" spans="3:3">
      <c r="C230" s="5">
        <v>2.3749999999998499</v>
      </c>
    </row>
    <row r="231" spans="3:3">
      <c r="C231" s="5">
        <v>2.38541666666652</v>
      </c>
    </row>
    <row r="232" spans="3:3">
      <c r="C232" s="5">
        <v>2.39583333333319</v>
      </c>
    </row>
    <row r="233" spans="3:3">
      <c r="C233" s="5">
        <v>2.4062499999998499</v>
      </c>
    </row>
    <row r="234" spans="3:3">
      <c r="C234" s="5">
        <v>2.41666666666652</v>
      </c>
    </row>
    <row r="235" spans="3:3">
      <c r="C235" s="5">
        <v>2.4270833333331798</v>
      </c>
    </row>
    <row r="236" spans="3:3">
      <c r="C236" s="5">
        <v>2.4374999999998499</v>
      </c>
    </row>
    <row r="237" spans="3:3">
      <c r="C237" s="5">
        <v>2.44791666666652</v>
      </c>
    </row>
    <row r="238" spans="3:3">
      <c r="C238" s="5">
        <v>2.4583333333331798</v>
      </c>
    </row>
    <row r="239" spans="3:3">
      <c r="C239" s="5">
        <v>2.4687499999998499</v>
      </c>
    </row>
    <row r="240" spans="3:3">
      <c r="C240" s="5">
        <v>2.4791666666665102</v>
      </c>
    </row>
    <row r="241" spans="3:3">
      <c r="C241" s="5">
        <v>2.4895833333331798</v>
      </c>
    </row>
    <row r="242" spans="3:3">
      <c r="C242" s="5">
        <v>2.4999999999998401</v>
      </c>
    </row>
    <row r="243" spans="3:3">
      <c r="C243" s="5">
        <v>2.5104166666665102</v>
      </c>
    </row>
    <row r="244" spans="3:3">
      <c r="C244" s="5">
        <v>2.5208333333331798</v>
      </c>
    </row>
    <row r="245" spans="3:3">
      <c r="C245" s="5">
        <v>2.5312499999998401</v>
      </c>
    </row>
    <row r="246" spans="3:3">
      <c r="C246" s="5">
        <v>2.5416666666665102</v>
      </c>
    </row>
    <row r="247" spans="3:3">
      <c r="C247" s="5">
        <v>2.5520833333331701</v>
      </c>
    </row>
    <row r="248" spans="3:3">
      <c r="C248" s="5">
        <v>2.5624999999998401</v>
      </c>
    </row>
    <row r="249" spans="3:3">
      <c r="C249" s="5">
        <v>2.5729166666665102</v>
      </c>
    </row>
    <row r="250" spans="3:3">
      <c r="C250" s="5">
        <v>2.5833333333331701</v>
      </c>
    </row>
    <row r="251" spans="3:3">
      <c r="C251" s="5">
        <v>2.5937499999998401</v>
      </c>
    </row>
    <row r="252" spans="3:3">
      <c r="C252" s="5">
        <v>2.6041666666665</v>
      </c>
    </row>
    <row r="253" spans="3:3">
      <c r="C253" s="5">
        <v>2.6145833333331701</v>
      </c>
    </row>
    <row r="254" spans="3:3">
      <c r="C254" s="5">
        <v>2.6249999999998401</v>
      </c>
    </row>
    <row r="255" spans="3:3">
      <c r="C255" s="5">
        <v>2.6354166666665</v>
      </c>
    </row>
    <row r="256" spans="3:3">
      <c r="C256" s="5">
        <v>2.6458333333331701</v>
      </c>
    </row>
    <row r="257" spans="3:3">
      <c r="C257" s="5">
        <v>2.6562499999998299</v>
      </c>
    </row>
    <row r="258" spans="3:3">
      <c r="C258" s="5">
        <v>2.6666666666665</v>
      </c>
    </row>
    <row r="259" spans="3:3">
      <c r="C259" s="5">
        <v>2.6770833333331701</v>
      </c>
    </row>
    <row r="260" spans="3:3">
      <c r="C260" s="5">
        <v>2.6874999999998299</v>
      </c>
    </row>
    <row r="261" spans="3:3">
      <c r="C261" s="5">
        <v>2.6979166666665</v>
      </c>
    </row>
    <row r="262" spans="3:3">
      <c r="C262" s="5">
        <v>2.7083333333331598</v>
      </c>
    </row>
    <row r="263" spans="3:3">
      <c r="C263" s="5">
        <v>2.7187499999998299</v>
      </c>
    </row>
    <row r="264" spans="3:3">
      <c r="C264" s="5">
        <v>2.7291666666665</v>
      </c>
    </row>
    <row r="265" spans="3:3">
      <c r="C265" s="5">
        <v>2.7395833333331598</v>
      </c>
    </row>
    <row r="266" spans="3:3">
      <c r="C266" s="5">
        <v>2.7499999999998299</v>
      </c>
    </row>
    <row r="267" spans="3:3">
      <c r="C267" s="5">
        <v>2.7604166666664902</v>
      </c>
    </row>
    <row r="268" spans="3:3">
      <c r="C268" s="5">
        <v>2.7708333333331598</v>
      </c>
    </row>
    <row r="269" spans="3:3">
      <c r="C269" s="5">
        <v>2.7812499999998299</v>
      </c>
    </row>
    <row r="270" spans="3:3">
      <c r="C270" s="5">
        <v>2.7916666666664902</v>
      </c>
    </row>
    <row r="271" spans="3:3">
      <c r="C271" s="5">
        <v>2.8020833333331598</v>
      </c>
    </row>
    <row r="272" spans="3:3">
      <c r="C272" s="5">
        <v>2.8124999999998201</v>
      </c>
    </row>
    <row r="273" spans="3:3">
      <c r="C273" s="5">
        <v>2.8229166666664902</v>
      </c>
    </row>
    <row r="274" spans="3:3">
      <c r="C274" s="5">
        <v>2.8333333333331598</v>
      </c>
    </row>
    <row r="275" spans="3:3">
      <c r="C275" s="5">
        <v>2.8437499999998201</v>
      </c>
    </row>
    <row r="276" spans="3:3">
      <c r="C276" s="5">
        <v>2.8541666666664902</v>
      </c>
    </row>
    <row r="277" spans="3:3">
      <c r="C277" s="5">
        <v>2.8645833333331501</v>
      </c>
    </row>
    <row r="278" spans="3:3">
      <c r="C278" s="5">
        <v>2.8749999999998201</v>
      </c>
    </row>
    <row r="279" spans="3:3">
      <c r="C279" s="5">
        <v>2.8854166666664902</v>
      </c>
    </row>
    <row r="280" spans="3:3">
      <c r="C280" s="5">
        <v>2.8958333333331501</v>
      </c>
    </row>
    <row r="281" spans="3:3">
      <c r="C281" s="5">
        <v>2.9062499999998201</v>
      </c>
    </row>
    <row r="282" spans="3:3">
      <c r="C282" s="5">
        <v>2.91666666666648</v>
      </c>
    </row>
    <row r="283" spans="3:3">
      <c r="C283" s="5">
        <v>2.9270833333331501</v>
      </c>
    </row>
    <row r="284" spans="3:3">
      <c r="C284" s="5">
        <v>2.9374999999998201</v>
      </c>
    </row>
    <row r="285" spans="3:3">
      <c r="C285" s="5">
        <v>2.94791666666648</v>
      </c>
    </row>
    <row r="286" spans="3:3">
      <c r="C286" s="5">
        <v>2.9583333333331501</v>
      </c>
    </row>
    <row r="287" spans="3:3">
      <c r="C287" s="5">
        <v>2.9687499999998099</v>
      </c>
    </row>
    <row r="288" spans="3:3">
      <c r="C288" s="5">
        <v>2.97916666666648</v>
      </c>
    </row>
    <row r="289" spans="3:3">
      <c r="C289" s="5">
        <v>2.9895833333331501</v>
      </c>
    </row>
    <row r="290" spans="3:3">
      <c r="C290" s="5">
        <v>2.9999999999998099</v>
      </c>
    </row>
    <row r="291" spans="3:3">
      <c r="C291" s="5">
        <v>3.01041666666648</v>
      </c>
    </row>
    <row r="292" spans="3:3">
      <c r="C292" s="5">
        <v>3.0208333333331399</v>
      </c>
    </row>
    <row r="293" spans="3:3">
      <c r="C293" s="5">
        <v>3.0312499999998099</v>
      </c>
    </row>
    <row r="294" spans="3:3">
      <c r="C294" s="5">
        <v>3.04166666666648</v>
      </c>
    </row>
    <row r="295" spans="3:3">
      <c r="C295" s="5">
        <v>3.0520833333331399</v>
      </c>
    </row>
    <row r="296" spans="3:3">
      <c r="C296" s="5">
        <v>3.0624999999998099</v>
      </c>
    </row>
    <row r="297" spans="3:3">
      <c r="C297" s="5">
        <v>3.0729166666664698</v>
      </c>
    </row>
    <row r="298" spans="3:3">
      <c r="C298" s="5">
        <v>3.0833333333331399</v>
      </c>
    </row>
    <row r="299" spans="3:3">
      <c r="C299" s="5">
        <v>3.0937499999998099</v>
      </c>
    </row>
    <row r="300" spans="3:3">
      <c r="C300" s="5">
        <v>3.1041666666664698</v>
      </c>
    </row>
    <row r="301" spans="3:3">
      <c r="C301" s="5">
        <v>3.1145833333331399</v>
      </c>
    </row>
    <row r="302" spans="3:3">
      <c r="C302" s="5">
        <v>3.1249999999998002</v>
      </c>
    </row>
    <row r="303" spans="3:3">
      <c r="C303" s="5">
        <v>3.1354166666664698</v>
      </c>
    </row>
    <row r="304" spans="3:3">
      <c r="C304" s="5">
        <v>3.1458333333331301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</vt:lpstr>
      <vt:lpstr>Phase Groupe</vt:lpstr>
      <vt:lpstr>Phase Eliminatoire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dulin</dc:creator>
  <cp:lastModifiedBy>gerard dulin</cp:lastModifiedBy>
  <dcterms:created xsi:type="dcterms:W3CDTF">2025-06-09T17:17:43Z</dcterms:created>
  <dcterms:modified xsi:type="dcterms:W3CDTF">2025-06-16T14:52:27Z</dcterms:modified>
</cp:coreProperties>
</file>