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xr:revisionPtr revIDLastSave="0" documentId="13_ncr:1_{3067B0D8-BFCF-47CA-A93D-F5B355BB92D1}" xr6:coauthVersionLast="47" xr6:coauthVersionMax="47" xr10:uidLastSave="{00000000-0000-0000-0000-000000000000}"/>
  <bookViews>
    <workbookView xWindow="-120" yWindow="-120" windowWidth="29040" windowHeight="15720" xr2:uid="{11765AA6-D4F3-4E0F-87DC-EB2A8DD55020}"/>
  </bookViews>
  <sheets>
    <sheet name="Feuil1" sheetId="1" r:id="rId1"/>
  </sheets>
  <calcPr calcId="191029"/>
  <pivotCaches>
    <pivotCache cacheId="3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3" i="1"/>
  <c r="B12" i="1"/>
  <c r="A12" i="1"/>
  <c r="B5" i="1"/>
  <c r="A5" i="1"/>
  <c r="B10" i="1"/>
  <c r="A10" i="1"/>
  <c r="B8" i="1"/>
  <c r="A8" i="1"/>
  <c r="B9" i="1"/>
  <c r="A9" i="1"/>
  <c r="B7" i="1"/>
  <c r="A7" i="1"/>
  <c r="B4" i="1"/>
  <c r="A4" i="1"/>
  <c r="B14" i="1"/>
  <c r="A14" i="1"/>
  <c r="B2" i="1"/>
  <c r="A2" i="1"/>
  <c r="B3" i="1"/>
  <c r="A3" i="1"/>
  <c r="B6" i="1"/>
  <c r="A6" i="1"/>
  <c r="B23" i="1"/>
  <c r="A23" i="1"/>
  <c r="B11" i="1"/>
  <c r="A11" i="1"/>
  <c r="B25" i="1"/>
  <c r="A25" i="1"/>
  <c r="B24" i="1"/>
  <c r="A24" i="1"/>
  <c r="B22" i="1"/>
  <c r="A22" i="1"/>
  <c r="B15" i="1"/>
  <c r="A15" i="1"/>
  <c r="B21" i="1"/>
  <c r="A21" i="1"/>
  <c r="B19" i="1"/>
  <c r="A19" i="1"/>
  <c r="B16" i="1"/>
  <c r="A16" i="1"/>
  <c r="B20" i="1"/>
  <c r="A20" i="1"/>
  <c r="B13" i="1"/>
  <c r="A13" i="1"/>
  <c r="B17" i="1"/>
  <c r="A17" i="1"/>
  <c r="B18" i="1"/>
  <c r="A18" i="1"/>
</calcChain>
</file>

<file path=xl/sharedStrings.xml><?xml version="1.0" encoding="utf-8"?>
<sst xmlns="http://schemas.openxmlformats.org/spreadsheetml/2006/main" count="81" uniqueCount="32">
  <si>
    <t>idCompany</t>
  </si>
  <si>
    <t>idCommande</t>
  </si>
  <si>
    <t>orderType</t>
  </si>
  <si>
    <t>orderStatus</t>
  </si>
  <si>
    <t>dateHeureLivraison</t>
  </si>
  <si>
    <t>Doublon</t>
  </si>
  <si>
    <t>Semaine</t>
  </si>
  <si>
    <t>Livraison</t>
  </si>
  <si>
    <t>Livraison réussie</t>
  </si>
  <si>
    <t>En erreur</t>
  </si>
  <si>
    <t>Étiquettes de lignes</t>
  </si>
  <si>
    <t>-LHiCM_aMS-1M7Waq_JA</t>
  </si>
  <si>
    <t>-LJPZNgU-PS5AWDaruuX</t>
  </si>
  <si>
    <t>-LOJ4G2LwZgdRG-vrhGC</t>
  </si>
  <si>
    <t>-M5w4_zW4ikfS68tzqrA</t>
  </si>
  <si>
    <t>-MA0pR_Yb-mOr65CRaL0</t>
  </si>
  <si>
    <t>-MAbGlZgBE0cC9Vt2Rxh</t>
  </si>
  <si>
    <t>-MIrbNzIs7o5dSApFzca</t>
  </si>
  <si>
    <t>-MJRtegibtXmLGodjpJy</t>
  </si>
  <si>
    <t>-MLhjsojc70EeCIzKBGW</t>
  </si>
  <si>
    <t>-MLNvhL15MBlzGXvTWBc</t>
  </si>
  <si>
    <t>-Modgt0wPpDPbU37OM1M</t>
  </si>
  <si>
    <t>-MpQhpWmR8BCrC0fKLa2</t>
  </si>
  <si>
    <t>-MRZ8r1kZPpyDqgAS51q</t>
  </si>
  <si>
    <t>-Mts86YmFGXxfBsYhgiW</t>
  </si>
  <si>
    <t>-Mupss4I87POfqcMbagj</t>
  </si>
  <si>
    <t>-N4kyps73FxFhSd8bcIA</t>
  </si>
  <si>
    <t>Total général</t>
  </si>
  <si>
    <t>(Tous)</t>
  </si>
  <si>
    <t>26</t>
  </si>
  <si>
    <t>Étiquettes de colonnes</t>
  </si>
  <si>
    <t>Nombre de orderStatus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</si>
</sst>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andre" refreshedDate="44740.654271527776" createdVersion="8" refreshedVersion="8" minRefreshableVersion="3" recordCount="24" xr:uid="{14885FF5-ABE8-4332-A48E-35C1D34E49B2}">
  <cacheSource type="worksheet">
    <worksheetSource name="Tableau1"/>
  </cacheSource>
  <cacheFields count="7">
    <cacheField name="idCompany" numFmtId="0">
      <sharedItems count="16">
        <s v="-LJPZNgU-PS5AWDaruuX"/>
        <s v="-MIrbNzIs7o5dSApFzca"/>
        <s v="-MRZ8r1kZPpyDqgAS51q"/>
        <s v="-MpQhpWmR8BCrC0fKLa2"/>
        <s v="-MLhjsojc70EeCIzKBGW"/>
        <s v="-Mupss4I87POfqcMbagj"/>
        <s v="-M5w4_zW4ikfS68tzqrA"/>
        <s v="-Mts86YmFGXxfBsYhgiW"/>
        <s v="-Modgt0wPpDPbU37OM1M"/>
        <s v="-MJRtegibtXmLGodjpJy"/>
        <s v="-MAbGlZgBE0cC9Vt2Rxh"/>
        <s v="-MLNvhL15MBlzGXvTWBc"/>
        <s v="-N4kyps73FxFhSd8bcIA"/>
        <s v="-LOJ4G2LwZgdRG-vrhGC"/>
        <s v="-LHiCM_aMS-1M7Waq_JA"/>
        <s v="-MA0pR_Yb-mOr65CRaL0"/>
      </sharedItems>
    </cacheField>
    <cacheField name="idCommande" numFmtId="0">
      <sharedItems/>
    </cacheField>
    <cacheField name="orderType" numFmtId="0">
      <sharedItems count="1">
        <s v="Livraison"/>
      </sharedItems>
    </cacheField>
    <cacheField name="orderStatus" numFmtId="0">
      <sharedItems count="2">
        <s v="Livraison réussie"/>
        <s v="En erreur"/>
      </sharedItems>
    </cacheField>
    <cacheField name="dateHeureLivraison" numFmtId="22">
      <sharedItems containsSemiMixedTypes="0" containsNonDate="0" containsDate="1" containsString="0" minDate="2022-06-27T11:48:00" maxDate="2022-06-27T12:46:00"/>
    </cacheField>
    <cacheField name="Doublon" numFmtId="0">
      <sharedItems containsSemiMixedTypes="0" containsString="0" containsNumber="1" containsInteger="1" minValue="1" maxValue="1" count="1">
        <n v="1"/>
      </sharedItems>
    </cacheField>
    <cacheField name="Semaine" numFmtId="0">
      <sharedItems count="1">
        <s v="2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s v="-N5WB9yTHpSUH3QBN9Su"/>
    <x v="0"/>
    <x v="0"/>
    <d v="2022-06-27T12:31:00"/>
    <x v="0"/>
    <x v="0"/>
  </r>
  <r>
    <x v="1"/>
    <s v="-N5ZaxYs_8yud6E7xGv4"/>
    <x v="0"/>
    <x v="0"/>
    <d v="2022-06-27T12:27:00"/>
    <x v="0"/>
    <x v="0"/>
  </r>
  <r>
    <x v="2"/>
    <s v="-N5Zb9UBSjpffBgRSzWp"/>
    <x v="0"/>
    <x v="1"/>
    <d v="2022-06-27T12:30:00"/>
    <x v="0"/>
    <x v="0"/>
  </r>
  <r>
    <x v="2"/>
    <s v="-N5ZbLV6Eaca_B25acTD"/>
    <x v="0"/>
    <x v="0"/>
    <d v="2022-06-27T12:35:00"/>
    <x v="0"/>
    <x v="0"/>
  </r>
  <r>
    <x v="3"/>
    <s v="-N5Zc6KtoMrUEudUjWQQ"/>
    <x v="0"/>
    <x v="0"/>
    <d v="2022-06-27T12:34:00"/>
    <x v="0"/>
    <x v="0"/>
  </r>
  <r>
    <x v="4"/>
    <s v="-N5ZcE7Mi6u42sNAHxCY"/>
    <x v="0"/>
    <x v="1"/>
    <d v="2022-06-27T12:30:00"/>
    <x v="0"/>
    <x v="0"/>
  </r>
  <r>
    <x v="4"/>
    <s v="-N5ZcHAX6x56t1-sbgLc"/>
    <x v="0"/>
    <x v="0"/>
    <d v="2022-06-27T12:37:00"/>
    <x v="0"/>
    <x v="0"/>
  </r>
  <r>
    <x v="0"/>
    <s v="-N5ZcPzzRiAxzRxioQan"/>
    <x v="0"/>
    <x v="0"/>
    <d v="2022-06-27T12:24:00"/>
    <x v="0"/>
    <x v="0"/>
  </r>
  <r>
    <x v="5"/>
    <s v="-N5ZdKG7vAO2tCgLMLRO"/>
    <x v="0"/>
    <x v="0"/>
    <d v="2022-06-27T12:30:00"/>
    <x v="0"/>
    <x v="0"/>
  </r>
  <r>
    <x v="6"/>
    <s v="-N5ZLAhv41GGKJhYBbNZ"/>
    <x v="0"/>
    <x v="0"/>
    <d v="2022-06-27T12:20:00"/>
    <x v="0"/>
    <x v="0"/>
  </r>
  <r>
    <x v="7"/>
    <s v="-N5ZN5GfHyNPR8f7jpmL"/>
    <x v="0"/>
    <x v="0"/>
    <d v="2022-06-27T12:46:00"/>
    <x v="0"/>
    <x v="0"/>
  </r>
  <r>
    <x v="5"/>
    <s v="-N5ZNR_vuu2H5QLsiPSy"/>
    <x v="0"/>
    <x v="0"/>
    <d v="2022-06-27T11:52:00"/>
    <x v="0"/>
    <x v="0"/>
  </r>
  <r>
    <x v="8"/>
    <s v="-N5ZRLhtAZz9PwtFOxUP"/>
    <x v="0"/>
    <x v="0"/>
    <d v="2022-06-27T12:39:00"/>
    <x v="0"/>
    <x v="0"/>
  </r>
  <r>
    <x v="9"/>
    <s v="-N5ZSgcKVgO0V_biPn47"/>
    <x v="0"/>
    <x v="0"/>
    <d v="2022-06-27T12:03:00"/>
    <x v="0"/>
    <x v="0"/>
  </r>
  <r>
    <x v="9"/>
    <s v="-N5ZTBvs7zjA3VXTUx64"/>
    <x v="0"/>
    <x v="1"/>
    <d v="2022-06-27T11:55:00"/>
    <x v="0"/>
    <x v="0"/>
  </r>
  <r>
    <x v="10"/>
    <s v="-N5ZTDGUwbPcuPYwC9YH"/>
    <x v="0"/>
    <x v="0"/>
    <d v="2022-06-27T11:50:00"/>
    <x v="0"/>
    <x v="0"/>
  </r>
  <r>
    <x v="11"/>
    <s v="-N5ZUAgFzc6CE2Necm3A"/>
    <x v="0"/>
    <x v="0"/>
    <d v="2022-06-27T11:48:00"/>
    <x v="0"/>
    <x v="0"/>
  </r>
  <r>
    <x v="12"/>
    <s v="-N5ZUt8rQfYbElEkSlNy"/>
    <x v="0"/>
    <x v="0"/>
    <d v="2022-06-27T12:03:00"/>
    <x v="0"/>
    <x v="0"/>
  </r>
  <r>
    <x v="13"/>
    <s v="-N5ZVCAEF0Jl2uc0a9KQ"/>
    <x v="0"/>
    <x v="0"/>
    <d v="2022-06-27T11:48:00"/>
    <x v="0"/>
    <x v="0"/>
  </r>
  <r>
    <x v="14"/>
    <s v="-N5ZWkNGNo4UY4vnD0zs"/>
    <x v="0"/>
    <x v="0"/>
    <d v="2022-06-27T12:10:00"/>
    <x v="0"/>
    <x v="0"/>
  </r>
  <r>
    <x v="15"/>
    <s v="-N5ZXaMkpLEcaj0UMjtC"/>
    <x v="0"/>
    <x v="0"/>
    <d v="2022-06-27T12:09:00"/>
    <x v="0"/>
    <x v="0"/>
  </r>
  <r>
    <x v="6"/>
    <s v="-N5ZZe-Dpzmjh3pvRgD4"/>
    <x v="0"/>
    <x v="0"/>
    <d v="2022-06-27T12:23:00"/>
    <x v="0"/>
    <x v="0"/>
  </r>
  <r>
    <x v="14"/>
    <s v="-N5ZZF5cO37KDA8wdwVH"/>
    <x v="0"/>
    <x v="0"/>
    <d v="2022-06-27T12:05:00"/>
    <x v="0"/>
    <x v="0"/>
  </r>
  <r>
    <x v="9"/>
    <s v="-N5ZZoFwnZWDch14dof-"/>
    <x v="0"/>
    <x v="0"/>
    <d v="2022-06-27T12:10:0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58B95E-76EE-43DF-820C-2026A63E6520}" name="Tableau croisé dynamique4" cacheId="3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10:N29" firstHeaderRow="1" firstDataRow="2" firstDataCol="1" rowPageCount="1" colPageCount="1"/>
  <pivotFields count="7">
    <pivotField axis="axisRow" showAll="0">
      <items count="17">
        <item x="14"/>
        <item x="0"/>
        <item x="13"/>
        <item x="6"/>
        <item x="15"/>
        <item x="10"/>
        <item x="1"/>
        <item x="9"/>
        <item x="4"/>
        <item x="11"/>
        <item x="8"/>
        <item x="3"/>
        <item x="2"/>
        <item x="7"/>
        <item x="5"/>
        <item x="12"/>
        <item t="default"/>
      </items>
    </pivotField>
    <pivotField showAll="0"/>
    <pivotField showAll="0">
      <items count="2">
        <item x="0"/>
        <item t="default"/>
      </items>
    </pivotField>
    <pivotField axis="axisCol" dataField="1" showAll="0">
      <items count="3">
        <item x="1"/>
        <item x="0"/>
        <item t="default"/>
      </items>
    </pivotField>
    <pivotField numFmtId="22" showAll="0"/>
    <pivotField axis="axisPage" showAll="0">
      <items count="2">
        <item x="0"/>
        <item t="default"/>
      </items>
    </pivotField>
    <pivotField axis="axisRow" showAll="0">
      <items count="2">
        <item x="0"/>
        <item t="default"/>
      </items>
    </pivotField>
  </pivotFields>
  <rowFields count="2">
    <field x="6"/>
    <field x="0"/>
  </rowFields>
  <rowItems count="18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t="grand">
      <x/>
    </i>
  </rowItems>
  <colFields count="1">
    <field x="3"/>
  </colFields>
  <colItems count="3">
    <i>
      <x/>
    </i>
    <i>
      <x v="1"/>
    </i>
    <i t="grand">
      <x/>
    </i>
  </colItems>
  <pageFields count="1">
    <pageField fld="5" hier="-1"/>
  </pageFields>
  <dataFields count="1">
    <dataField name="Nombre de orderStatus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D166A7-CA9F-4959-A7C0-98BBE9E0C9D2}" name="Tableau1" displayName="Tableau1" ref="A1:G25" totalsRowShown="0">
  <autoFilter ref="A1:G25" xr:uid="{27D166A7-CA9F-4959-A7C0-98BBE9E0C9D2}"/>
  <sortState xmlns:xlrd2="http://schemas.microsoft.com/office/spreadsheetml/2017/richdata2" ref="A2:G25">
    <sortCondition ref="B1:B25"/>
  </sortState>
  <tableColumns count="7">
    <tableColumn id="2" xr3:uid="{353E5870-97EB-462D-910A-032E632BD544}" name="idCompany"/>
    <tableColumn id="3" xr3:uid="{16E0B3A1-D60A-4A03-8D6B-EE3E467F9919}" name="idCommande"/>
    <tableColumn id="4" xr3:uid="{305D800A-28DA-4692-ACF2-2C949822C495}" name="orderType"/>
    <tableColumn id="5" xr3:uid="{B41083D7-024D-4C12-A7DD-AED49CA78FFA}" name="orderStatus"/>
    <tableColumn id="6" xr3:uid="{BAADF1CF-4DC0-47E2-A7DB-5F3830805588}" name="dateHeureLivraison" dataDxfId="0"/>
    <tableColumn id="26" xr3:uid="{FAADC5AF-9BAD-4F0D-A56D-FCBAC6E1821D}" name="Doublon"/>
    <tableColumn id="27" xr3:uid="{EC5CFE0A-72D4-4215-9F9D-CAE24FBB871E}" name="Semaine">
      <calculatedColumnFormula>TEXT(WEEKNUM(Tableau1[[#This Row],[dateHeureLivraison]],2)-1,"00")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B58D8-1C3F-453A-B7EB-F5D134B80418}">
  <dimension ref="A1:N29"/>
  <sheetViews>
    <sheetView tabSelected="1" topLeftCell="C1" workbookViewId="0">
      <selection activeCell="I12" sqref="I12"/>
    </sheetView>
  </sheetViews>
  <sheetFormatPr baseColWidth="10" defaultRowHeight="15" x14ac:dyDescent="0.25"/>
  <cols>
    <col min="1" max="1" width="13.140625" customWidth="1"/>
    <col min="2" max="2" width="15" customWidth="1"/>
    <col min="3" max="3" width="12.28515625" customWidth="1"/>
    <col min="4" max="4" width="13.42578125" customWidth="1"/>
    <col min="5" max="5" width="20.42578125" customWidth="1"/>
    <col min="6" max="6" width="25.5703125" customWidth="1"/>
    <col min="7" max="7" width="21.28515625" customWidth="1"/>
    <col min="11" max="11" width="29.140625" bestFit="1" customWidth="1"/>
    <col min="12" max="12" width="23.85546875" bestFit="1" customWidth="1"/>
    <col min="13" max="13" width="15.7109375" bestFit="1" customWidth="1"/>
    <col min="14" max="14" width="12.57031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14" x14ac:dyDescent="0.25">
      <c r="A2" t="str">
        <f>"-LJPZNgU-PS5AWDaruuX"</f>
        <v>-LJPZNgU-PS5AWDaruuX</v>
      </c>
      <c r="B2" t="str">
        <f>"-N5WB9yTHpSUH3QBN9Su"</f>
        <v>-N5WB9yTHpSUH3QBN9Su</v>
      </c>
      <c r="C2" t="s">
        <v>7</v>
      </c>
      <c r="D2" t="s">
        <v>8</v>
      </c>
      <c r="E2" s="1">
        <v>44739.521527777775</v>
      </c>
      <c r="F2">
        <v>1</v>
      </c>
      <c r="G2" t="str">
        <f>TEXT(WEEKNUM(Tableau1[[#This Row],[dateHeureLivraison]],2)-1,"00")</f>
        <v>26</v>
      </c>
    </row>
    <row r="3" spans="1:14" x14ac:dyDescent="0.25">
      <c r="A3" t="str">
        <f>"-MIrbNzIs7o5dSApFzca"</f>
        <v>-MIrbNzIs7o5dSApFzca</v>
      </c>
      <c r="B3" t="str">
        <f>"-N5ZaxYs_8yud6E7xGv4"</f>
        <v>-N5ZaxYs_8yud6E7xGv4</v>
      </c>
      <c r="C3" t="s">
        <v>7</v>
      </c>
      <c r="D3" t="s">
        <v>8</v>
      </c>
      <c r="E3" s="1">
        <v>44739.518750000003</v>
      </c>
      <c r="F3">
        <f>IF(B2=Tableau1[[#This Row],[idCommande]],0,1)</f>
        <v>1</v>
      </c>
      <c r="G3" t="str">
        <f>TEXT(WEEKNUM(Tableau1[[#This Row],[dateHeureLivraison]],2)-1,"00")</f>
        <v>26</v>
      </c>
    </row>
    <row r="4" spans="1:14" x14ac:dyDescent="0.25">
      <c r="A4" t="str">
        <f>"-MRZ8r1kZPpyDqgAS51q"</f>
        <v>-MRZ8r1kZPpyDqgAS51q</v>
      </c>
      <c r="B4" t="str">
        <f>"-N5Zb9UBSjpffBgRSzWp"</f>
        <v>-N5Zb9UBSjpffBgRSzWp</v>
      </c>
      <c r="C4" t="s">
        <v>7</v>
      </c>
      <c r="D4" t="s">
        <v>9</v>
      </c>
      <c r="E4" s="1">
        <v>44739.520833333336</v>
      </c>
      <c r="F4">
        <f>IF(B3=Tableau1[[#This Row],[idCommande]],0,1)</f>
        <v>1</v>
      </c>
      <c r="G4" t="str">
        <f>TEXT(WEEKNUM(Tableau1[[#This Row],[dateHeureLivraison]],2)-1,"00")</f>
        <v>26</v>
      </c>
    </row>
    <row r="5" spans="1:14" x14ac:dyDescent="0.25">
      <c r="A5" t="str">
        <f>"-MRZ8r1kZPpyDqgAS51q"</f>
        <v>-MRZ8r1kZPpyDqgAS51q</v>
      </c>
      <c r="B5" t="str">
        <f>"-N5ZbLV6Eaca_B25acTD"</f>
        <v>-N5ZbLV6Eaca_B25acTD</v>
      </c>
      <c r="C5" t="s">
        <v>7</v>
      </c>
      <c r="D5" t="s">
        <v>8</v>
      </c>
      <c r="E5" s="1">
        <v>44739.524305555555</v>
      </c>
      <c r="F5">
        <f>IF(B4=Tableau1[[#This Row],[idCommande]],0,1)</f>
        <v>1</v>
      </c>
      <c r="G5" t="str">
        <f>TEXT(WEEKNUM(Tableau1[[#This Row],[dateHeureLivraison]],2)-1,"00")</f>
        <v>26</v>
      </c>
    </row>
    <row r="6" spans="1:14" x14ac:dyDescent="0.25">
      <c r="A6" t="str">
        <f>"-MpQhpWmR8BCrC0fKLa2"</f>
        <v>-MpQhpWmR8BCrC0fKLa2</v>
      </c>
      <c r="B6" t="str">
        <f>"-N5Zc6KtoMrUEudUjWQQ"</f>
        <v>-N5Zc6KtoMrUEudUjWQQ</v>
      </c>
      <c r="C6" t="s">
        <v>7</v>
      </c>
      <c r="D6" t="s">
        <v>8</v>
      </c>
      <c r="E6" s="1">
        <v>44739.523611111108</v>
      </c>
      <c r="F6">
        <f>IF(B5=Tableau1[[#This Row],[idCommande]],0,1)</f>
        <v>1</v>
      </c>
      <c r="G6" t="str">
        <f>TEXT(WEEKNUM(Tableau1[[#This Row],[dateHeureLivraison]],2)-1,"00")</f>
        <v>26</v>
      </c>
    </row>
    <row r="7" spans="1:14" x14ac:dyDescent="0.25">
      <c r="A7" t="str">
        <f>"-MLhjsojc70EeCIzKBGW"</f>
        <v>-MLhjsojc70EeCIzKBGW</v>
      </c>
      <c r="B7" t="str">
        <f>"-N5ZcE7Mi6u42sNAHxCY"</f>
        <v>-N5ZcE7Mi6u42sNAHxCY</v>
      </c>
      <c r="C7" t="s">
        <v>7</v>
      </c>
      <c r="D7" t="s">
        <v>9</v>
      </c>
      <c r="E7" s="1">
        <v>44739.520833333336</v>
      </c>
      <c r="F7">
        <f>IF(B6=Tableau1[[#This Row],[idCommande]],0,1)</f>
        <v>1</v>
      </c>
      <c r="G7" t="str">
        <f>TEXT(WEEKNUM(Tableau1[[#This Row],[dateHeureLivraison]],2)-1,"00")</f>
        <v>26</v>
      </c>
    </row>
    <row r="8" spans="1:14" x14ac:dyDescent="0.25">
      <c r="A8" t="str">
        <f>"-MLhjsojc70EeCIzKBGW"</f>
        <v>-MLhjsojc70EeCIzKBGW</v>
      </c>
      <c r="B8" t="str">
        <f>"-N5ZcHAX6x56t1-sbgLc"</f>
        <v>-N5ZcHAX6x56t1-sbgLc</v>
      </c>
      <c r="C8" t="s">
        <v>7</v>
      </c>
      <c r="D8" t="s">
        <v>8</v>
      </c>
      <c r="E8" s="1">
        <v>44739.525694444441</v>
      </c>
      <c r="F8">
        <f>IF(B7=Tableau1[[#This Row],[idCommande]],0,1)</f>
        <v>1</v>
      </c>
      <c r="G8" t="str">
        <f>TEXT(WEEKNUM(Tableau1[[#This Row],[dateHeureLivraison]],2)-1,"00")</f>
        <v>26</v>
      </c>
      <c r="K8" s="2" t="s">
        <v>5</v>
      </c>
      <c r="L8" t="s">
        <v>28</v>
      </c>
    </row>
    <row r="9" spans="1:14" x14ac:dyDescent="0.25">
      <c r="A9" t="str">
        <f>"-LJPZNgU-PS5AWDaruuX"</f>
        <v>-LJPZNgU-PS5AWDaruuX</v>
      </c>
      <c r="B9" t="str">
        <f>"-N5ZcPzzRiAxzRxioQan"</f>
        <v>-N5ZcPzzRiAxzRxioQan</v>
      </c>
      <c r="C9" t="s">
        <v>7</v>
      </c>
      <c r="D9" t="s">
        <v>8</v>
      </c>
      <c r="E9" s="1">
        <v>44739.51666666667</v>
      </c>
      <c r="F9">
        <f>IF(B8=Tableau1[[#This Row],[idCommande]],0,1)</f>
        <v>1</v>
      </c>
      <c r="G9" t="str">
        <f>TEXT(WEEKNUM(Tableau1[[#This Row],[dateHeureLivraison]],2)-1,"00")</f>
        <v>26</v>
      </c>
    </row>
    <row r="10" spans="1:14" x14ac:dyDescent="0.25">
      <c r="A10" t="str">
        <f>"-Mupss4I87POfqcMbagj"</f>
        <v>-Mupss4I87POfqcMbagj</v>
      </c>
      <c r="B10" t="str">
        <f>"-N5ZdKG7vAO2tCgLMLRO"</f>
        <v>-N5ZdKG7vAO2tCgLMLRO</v>
      </c>
      <c r="C10" t="s">
        <v>7</v>
      </c>
      <c r="D10" t="s">
        <v>8</v>
      </c>
      <c r="E10" s="1">
        <v>44739.520833333336</v>
      </c>
      <c r="F10">
        <f>IF(B9=Tableau1[[#This Row],[idCommande]],0,1)</f>
        <v>1</v>
      </c>
      <c r="G10" t="str">
        <f>TEXT(WEEKNUM(Tableau1[[#This Row],[dateHeureLivraison]],2)-1,"00")</f>
        <v>26</v>
      </c>
      <c r="K10" s="2" t="s">
        <v>31</v>
      </c>
      <c r="L10" s="2" t="s">
        <v>30</v>
      </c>
    </row>
    <row r="11" spans="1:14" x14ac:dyDescent="0.25">
      <c r="A11" t="str">
        <f>"-M5w4_zW4ikfS68tzqrA"</f>
        <v>-M5w4_zW4ikfS68tzqrA</v>
      </c>
      <c r="B11" t="str">
        <f>"-N5ZLAhv41GGKJhYBbNZ"</f>
        <v>-N5ZLAhv41GGKJhYBbNZ</v>
      </c>
      <c r="C11" t="s">
        <v>7</v>
      </c>
      <c r="D11" t="s">
        <v>8</v>
      </c>
      <c r="E11" s="1">
        <v>44739.513888888891</v>
      </c>
      <c r="F11">
        <f>IF(B10=Tableau1[[#This Row],[idCommande]],0,1)</f>
        <v>1</v>
      </c>
      <c r="G11" t="str">
        <f>TEXT(WEEKNUM(Tableau1[[#This Row],[dateHeureLivraison]],2)-1,"00")</f>
        <v>26</v>
      </c>
      <c r="K11" s="2" t="s">
        <v>10</v>
      </c>
      <c r="L11" t="s">
        <v>9</v>
      </c>
      <c r="M11" t="s">
        <v>8</v>
      </c>
      <c r="N11" t="s">
        <v>27</v>
      </c>
    </row>
    <row r="12" spans="1:14" x14ac:dyDescent="0.25">
      <c r="A12" t="str">
        <f>"-Mts86YmFGXxfBsYhgiW"</f>
        <v>-Mts86YmFGXxfBsYhgiW</v>
      </c>
      <c r="B12" t="str">
        <f>"-N5ZN5GfHyNPR8f7jpmL"</f>
        <v>-N5ZN5GfHyNPR8f7jpmL</v>
      </c>
      <c r="C12" t="s">
        <v>7</v>
      </c>
      <c r="D12" t="s">
        <v>8</v>
      </c>
      <c r="E12" s="1">
        <v>44739.531944444447</v>
      </c>
      <c r="F12">
        <f>IF(B11=Tableau1[[#This Row],[idCommande]],0,1)</f>
        <v>1</v>
      </c>
      <c r="G12" t="str">
        <f>TEXT(WEEKNUM(Tableau1[[#This Row],[dateHeureLivraison]],2)-1,"00")</f>
        <v>26</v>
      </c>
      <c r="K12" s="3" t="s">
        <v>29</v>
      </c>
      <c r="L12" s="4">
        <v>3</v>
      </c>
      <c r="M12" s="4">
        <v>21</v>
      </c>
      <c r="N12" s="4">
        <v>24</v>
      </c>
    </row>
    <row r="13" spans="1:14" x14ac:dyDescent="0.25">
      <c r="A13" t="str">
        <f>"-Mupss4I87POfqcMbagj"</f>
        <v>-Mupss4I87POfqcMbagj</v>
      </c>
      <c r="B13" t="str">
        <f>"-N5ZNR_vuu2H5QLsiPSy"</f>
        <v>-N5ZNR_vuu2H5QLsiPSy</v>
      </c>
      <c r="C13" t="s">
        <v>7</v>
      </c>
      <c r="D13" t="s">
        <v>8</v>
      </c>
      <c r="E13" s="1">
        <v>44739.494444444441</v>
      </c>
      <c r="F13">
        <f>IF(B12=Tableau1[[#This Row],[idCommande]],0,1)</f>
        <v>1</v>
      </c>
      <c r="G13" t="str">
        <f>TEXT(WEEKNUM(Tableau1[[#This Row],[dateHeureLivraison]],2)-1,"00")</f>
        <v>26</v>
      </c>
      <c r="K13" s="5" t="s">
        <v>11</v>
      </c>
      <c r="L13" s="4"/>
      <c r="M13" s="4">
        <v>2</v>
      </c>
      <c r="N13" s="4">
        <v>2</v>
      </c>
    </row>
    <row r="14" spans="1:14" x14ac:dyDescent="0.25">
      <c r="A14" t="str">
        <f>"-Modgt0wPpDPbU37OM1M"</f>
        <v>-Modgt0wPpDPbU37OM1M</v>
      </c>
      <c r="B14" t="str">
        <f>"-N5ZRLhtAZz9PwtFOxUP"</f>
        <v>-N5ZRLhtAZz9PwtFOxUP</v>
      </c>
      <c r="C14" t="s">
        <v>7</v>
      </c>
      <c r="D14" t="s">
        <v>8</v>
      </c>
      <c r="E14" s="1">
        <v>44739.527083333334</v>
      </c>
      <c r="F14">
        <f>IF(B13=Tableau1[[#This Row],[idCommande]],0,1)</f>
        <v>1</v>
      </c>
      <c r="G14" t="str">
        <f>TEXT(WEEKNUM(Tableau1[[#This Row],[dateHeureLivraison]],2)-1,"00")</f>
        <v>26</v>
      </c>
      <c r="K14" s="5" t="s">
        <v>12</v>
      </c>
      <c r="L14" s="4"/>
      <c r="M14" s="4">
        <v>2</v>
      </c>
      <c r="N14" s="4">
        <v>2</v>
      </c>
    </row>
    <row r="15" spans="1:14" x14ac:dyDescent="0.25">
      <c r="A15" t="str">
        <f>"-MJRtegibtXmLGodjpJy"</f>
        <v>-MJRtegibtXmLGodjpJy</v>
      </c>
      <c r="B15" t="str">
        <f>"-N5ZSgcKVgO0V_biPn47"</f>
        <v>-N5ZSgcKVgO0V_biPn47</v>
      </c>
      <c r="C15" t="s">
        <v>7</v>
      </c>
      <c r="D15" t="s">
        <v>8</v>
      </c>
      <c r="E15" s="1">
        <v>44739.502083333333</v>
      </c>
      <c r="F15">
        <f>IF(B14=Tableau1[[#This Row],[idCommande]],0,1)</f>
        <v>1</v>
      </c>
      <c r="G15" t="str">
        <f>TEXT(WEEKNUM(Tableau1[[#This Row],[dateHeureLivraison]],2)-1,"00")</f>
        <v>26</v>
      </c>
      <c r="K15" s="5" t="s">
        <v>13</v>
      </c>
      <c r="L15" s="4"/>
      <c r="M15" s="4">
        <v>1</v>
      </c>
      <c r="N15" s="4">
        <v>1</v>
      </c>
    </row>
    <row r="16" spans="1:14" x14ac:dyDescent="0.25">
      <c r="A16" t="str">
        <f>"-MJRtegibtXmLGodjpJy"</f>
        <v>-MJRtegibtXmLGodjpJy</v>
      </c>
      <c r="B16" t="str">
        <f>"-N5ZTBvs7zjA3VXTUx64"</f>
        <v>-N5ZTBvs7zjA3VXTUx64</v>
      </c>
      <c r="C16" t="s">
        <v>7</v>
      </c>
      <c r="D16" t="s">
        <v>9</v>
      </c>
      <c r="E16" s="1">
        <v>44739.496527777781</v>
      </c>
      <c r="F16">
        <f>IF(B15=Tableau1[[#This Row],[idCommande]],0,1)</f>
        <v>1</v>
      </c>
      <c r="G16" t="str">
        <f>TEXT(WEEKNUM(Tableau1[[#This Row],[dateHeureLivraison]],2)-1,"00")</f>
        <v>26</v>
      </c>
      <c r="K16" s="5" t="s">
        <v>14</v>
      </c>
      <c r="L16" s="4"/>
      <c r="M16" s="4">
        <v>2</v>
      </c>
      <c r="N16" s="4">
        <v>2</v>
      </c>
    </row>
    <row r="17" spans="1:14" x14ac:dyDescent="0.25">
      <c r="A17" t="str">
        <f>"-MAbGlZgBE0cC9Vt2Rxh"</f>
        <v>-MAbGlZgBE0cC9Vt2Rxh</v>
      </c>
      <c r="B17" t="str">
        <f>"-N5ZTDGUwbPcuPYwC9YH"</f>
        <v>-N5ZTDGUwbPcuPYwC9YH</v>
      </c>
      <c r="C17" t="s">
        <v>7</v>
      </c>
      <c r="D17" t="s">
        <v>8</v>
      </c>
      <c r="E17" s="1">
        <v>44739.493055555555</v>
      </c>
      <c r="F17">
        <f>IF(B16=Tableau1[[#This Row],[idCommande]],0,1)</f>
        <v>1</v>
      </c>
      <c r="G17" t="str">
        <f>TEXT(WEEKNUM(Tableau1[[#This Row],[dateHeureLivraison]],2)-1,"00")</f>
        <v>26</v>
      </c>
      <c r="K17" s="5" t="s">
        <v>15</v>
      </c>
      <c r="L17" s="4"/>
      <c r="M17" s="4">
        <v>1</v>
      </c>
      <c r="N17" s="4">
        <v>1</v>
      </c>
    </row>
    <row r="18" spans="1:14" x14ac:dyDescent="0.25">
      <c r="A18" t="str">
        <f>"-MLNvhL15MBlzGXvTWBc"</f>
        <v>-MLNvhL15MBlzGXvTWBc</v>
      </c>
      <c r="B18" t="str">
        <f>"-N5ZUAgFzc6CE2Necm3A"</f>
        <v>-N5ZUAgFzc6CE2Necm3A</v>
      </c>
      <c r="C18" t="s">
        <v>7</v>
      </c>
      <c r="D18" t="s">
        <v>8</v>
      </c>
      <c r="E18" s="1">
        <v>44739.491666666669</v>
      </c>
      <c r="F18">
        <f>IF(B17=Tableau1[[#This Row],[idCommande]],0,1)</f>
        <v>1</v>
      </c>
      <c r="G18" t="str">
        <f>TEXT(WEEKNUM(Tableau1[[#This Row],[dateHeureLivraison]],2)-1,"00")</f>
        <v>26</v>
      </c>
      <c r="K18" s="5" t="s">
        <v>16</v>
      </c>
      <c r="L18" s="4"/>
      <c r="M18" s="4">
        <v>1</v>
      </c>
      <c r="N18" s="4">
        <v>1</v>
      </c>
    </row>
    <row r="19" spans="1:14" x14ac:dyDescent="0.25">
      <c r="A19" t="str">
        <f>"-N4kyps73FxFhSd8bcIA"</f>
        <v>-N4kyps73FxFhSd8bcIA</v>
      </c>
      <c r="B19" t="str">
        <f>"-N5ZUt8rQfYbElEkSlNy"</f>
        <v>-N5ZUt8rQfYbElEkSlNy</v>
      </c>
      <c r="C19" t="s">
        <v>7</v>
      </c>
      <c r="D19" t="s">
        <v>8</v>
      </c>
      <c r="E19" s="1">
        <v>44739.502083333333</v>
      </c>
      <c r="F19">
        <f>IF(B18=Tableau1[[#This Row],[idCommande]],0,1)</f>
        <v>1</v>
      </c>
      <c r="G19" t="str">
        <f>TEXT(WEEKNUM(Tableau1[[#This Row],[dateHeureLivraison]],2)-1,"00")</f>
        <v>26</v>
      </c>
      <c r="K19" s="5" t="s">
        <v>17</v>
      </c>
      <c r="L19" s="4"/>
      <c r="M19" s="4">
        <v>1</v>
      </c>
      <c r="N19" s="4">
        <v>1</v>
      </c>
    </row>
    <row r="20" spans="1:14" x14ac:dyDescent="0.25">
      <c r="A20" t="str">
        <f>"-LOJ4G2LwZgdRG-vrhGC"</f>
        <v>-LOJ4G2LwZgdRG-vrhGC</v>
      </c>
      <c r="B20" t="str">
        <f>"-N5ZVCAEF0Jl2uc0a9KQ"</f>
        <v>-N5ZVCAEF0Jl2uc0a9KQ</v>
      </c>
      <c r="C20" t="s">
        <v>7</v>
      </c>
      <c r="D20" t="s">
        <v>8</v>
      </c>
      <c r="E20" s="1">
        <v>44739.491666666669</v>
      </c>
      <c r="F20">
        <f>IF(B19=Tableau1[[#This Row],[idCommande]],0,1)</f>
        <v>1</v>
      </c>
      <c r="G20" t="str">
        <f>TEXT(WEEKNUM(Tableau1[[#This Row],[dateHeureLivraison]],2)-1,"00")</f>
        <v>26</v>
      </c>
      <c r="K20" s="5" t="s">
        <v>18</v>
      </c>
      <c r="L20" s="4">
        <v>1</v>
      </c>
      <c r="M20" s="4">
        <v>2</v>
      </c>
      <c r="N20" s="4">
        <v>3</v>
      </c>
    </row>
    <row r="21" spans="1:14" x14ac:dyDescent="0.25">
      <c r="A21" t="str">
        <f>"-LHiCM_aMS-1M7Waq_JA"</f>
        <v>-LHiCM_aMS-1M7Waq_JA</v>
      </c>
      <c r="B21" t="str">
        <f>"-N5ZWkNGNo4UY4vnD0zs"</f>
        <v>-N5ZWkNGNo4UY4vnD0zs</v>
      </c>
      <c r="C21" t="s">
        <v>7</v>
      </c>
      <c r="D21" t="s">
        <v>8</v>
      </c>
      <c r="E21" s="1">
        <v>44739.506944444445</v>
      </c>
      <c r="F21">
        <f>IF(B20=Tableau1[[#This Row],[idCommande]],0,1)</f>
        <v>1</v>
      </c>
      <c r="G21" t="str">
        <f>TEXT(WEEKNUM(Tableau1[[#This Row],[dateHeureLivraison]],2)-1,"00")</f>
        <v>26</v>
      </c>
      <c r="K21" s="5" t="s">
        <v>19</v>
      </c>
      <c r="L21" s="4">
        <v>1</v>
      </c>
      <c r="M21" s="4">
        <v>1</v>
      </c>
      <c r="N21" s="4">
        <v>2</v>
      </c>
    </row>
    <row r="22" spans="1:14" x14ac:dyDescent="0.25">
      <c r="A22" t="str">
        <f>"-MA0pR_Yb-mOr65CRaL0"</f>
        <v>-MA0pR_Yb-mOr65CRaL0</v>
      </c>
      <c r="B22" t="str">
        <f>"-N5ZXaMkpLEcaj0UMjtC"</f>
        <v>-N5ZXaMkpLEcaj0UMjtC</v>
      </c>
      <c r="C22" t="s">
        <v>7</v>
      </c>
      <c r="D22" t="s">
        <v>8</v>
      </c>
      <c r="E22" s="1">
        <v>44739.506249999999</v>
      </c>
      <c r="F22">
        <f>IF(B21=Tableau1[[#This Row],[idCommande]],0,1)</f>
        <v>1</v>
      </c>
      <c r="G22" t="str">
        <f>TEXT(WEEKNUM(Tableau1[[#This Row],[dateHeureLivraison]],2)-1,"00")</f>
        <v>26</v>
      </c>
      <c r="K22" s="5" t="s">
        <v>20</v>
      </c>
      <c r="L22" s="4"/>
      <c r="M22" s="4">
        <v>1</v>
      </c>
      <c r="N22" s="4">
        <v>1</v>
      </c>
    </row>
    <row r="23" spans="1:14" x14ac:dyDescent="0.25">
      <c r="A23" t="str">
        <f>"-M5w4_zW4ikfS68tzqrA"</f>
        <v>-M5w4_zW4ikfS68tzqrA</v>
      </c>
      <c r="B23" t="str">
        <f>"-N5ZZe-Dpzmjh3pvRgD4"</f>
        <v>-N5ZZe-Dpzmjh3pvRgD4</v>
      </c>
      <c r="C23" t="s">
        <v>7</v>
      </c>
      <c r="D23" t="s">
        <v>8</v>
      </c>
      <c r="E23" s="1">
        <v>44739.515972222223</v>
      </c>
      <c r="F23">
        <f>IF(B22=Tableau1[[#This Row],[idCommande]],0,1)</f>
        <v>1</v>
      </c>
      <c r="G23" t="str">
        <f>TEXT(WEEKNUM(Tableau1[[#This Row],[dateHeureLivraison]],2)-1,"00")</f>
        <v>26</v>
      </c>
      <c r="K23" s="5" t="s">
        <v>21</v>
      </c>
      <c r="L23" s="4"/>
      <c r="M23" s="4">
        <v>1</v>
      </c>
      <c r="N23" s="4">
        <v>1</v>
      </c>
    </row>
    <row r="24" spans="1:14" x14ac:dyDescent="0.25">
      <c r="A24" t="str">
        <f>"-LHiCM_aMS-1M7Waq_JA"</f>
        <v>-LHiCM_aMS-1M7Waq_JA</v>
      </c>
      <c r="B24" t="str">
        <f>"-N5ZZF5cO37KDA8wdwVH"</f>
        <v>-N5ZZF5cO37KDA8wdwVH</v>
      </c>
      <c r="C24" t="s">
        <v>7</v>
      </c>
      <c r="D24" t="s">
        <v>8</v>
      </c>
      <c r="E24" s="1">
        <v>44739.503472222219</v>
      </c>
      <c r="F24">
        <f>IF(B23=Tableau1[[#This Row],[idCommande]],0,1)</f>
        <v>1</v>
      </c>
      <c r="G24" t="str">
        <f>TEXT(WEEKNUM(Tableau1[[#This Row],[dateHeureLivraison]],2)-1,"00")</f>
        <v>26</v>
      </c>
      <c r="K24" s="5" t="s">
        <v>22</v>
      </c>
      <c r="L24" s="4"/>
      <c r="M24" s="4">
        <v>1</v>
      </c>
      <c r="N24" s="4">
        <v>1</v>
      </c>
    </row>
    <row r="25" spans="1:14" x14ac:dyDescent="0.25">
      <c r="A25" t="str">
        <f>"-MJRtegibtXmLGodjpJy"</f>
        <v>-MJRtegibtXmLGodjpJy</v>
      </c>
      <c r="B25" t="str">
        <f>"-N5ZZoFwnZWDch14dof-"</f>
        <v>-N5ZZoFwnZWDch14dof-</v>
      </c>
      <c r="C25" t="s">
        <v>7</v>
      </c>
      <c r="D25" t="s">
        <v>8</v>
      </c>
      <c r="E25" s="1">
        <v>44739.506944444445</v>
      </c>
      <c r="F25">
        <f>IF(B24=Tableau1[[#This Row],[idCommande]],0,1)</f>
        <v>1</v>
      </c>
      <c r="G25" t="str">
        <f>TEXT(WEEKNUM(Tableau1[[#This Row],[dateHeureLivraison]],2)-1,"00")</f>
        <v>26</v>
      </c>
      <c r="K25" s="5" t="s">
        <v>23</v>
      </c>
      <c r="L25" s="4">
        <v>1</v>
      </c>
      <c r="M25" s="4">
        <v>1</v>
      </c>
      <c r="N25" s="4">
        <v>2</v>
      </c>
    </row>
    <row r="26" spans="1:14" x14ac:dyDescent="0.25">
      <c r="K26" s="5" t="s">
        <v>24</v>
      </c>
      <c r="L26" s="4"/>
      <c r="M26" s="4">
        <v>1</v>
      </c>
      <c r="N26" s="4">
        <v>1</v>
      </c>
    </row>
    <row r="27" spans="1:14" x14ac:dyDescent="0.25">
      <c r="K27" s="5" t="s">
        <v>25</v>
      </c>
      <c r="L27" s="4"/>
      <c r="M27" s="4">
        <v>2</v>
      </c>
      <c r="N27" s="4">
        <v>2</v>
      </c>
    </row>
    <row r="28" spans="1:14" x14ac:dyDescent="0.25">
      <c r="K28" s="5" t="s">
        <v>26</v>
      </c>
      <c r="L28" s="4"/>
      <c r="M28" s="4">
        <v>1</v>
      </c>
      <c r="N28" s="4">
        <v>1</v>
      </c>
    </row>
    <row r="29" spans="1:14" x14ac:dyDescent="0.25">
      <c r="K29" s="3" t="s">
        <v>27</v>
      </c>
      <c r="L29" s="4">
        <v>3</v>
      </c>
      <c r="M29" s="4">
        <v>21</v>
      </c>
      <c r="N29" s="4">
        <v>24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2022-06-28T12:20:53Z</dcterms:created>
  <dcterms:modified xsi:type="dcterms:W3CDTF">2022-06-28T13:43:57Z</dcterms:modified>
</cp:coreProperties>
</file>