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B0DCC1AB-9C0F-49EF-9538-470C252077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EST" sheetId="1" r:id="rId1"/>
  </sheets>
  <definedNames>
    <definedName name="Segment_NUMER0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 a="1"/>
  <c r="E14" i="1"/>
  <c r="F2" i="1"/>
  <c r="F3" i="1"/>
  <c r="F4" i="1"/>
  <c r="F5" i="1"/>
  <c r="F6" i="1"/>
  <c r="F7" i="1"/>
  <c r="F8" i="1"/>
  <c r="F9" i="1"/>
  <c r="F10" i="1"/>
  <c r="F11" i="1"/>
  <c r="F12" i="1"/>
  <c r="F13" i="1"/>
  <c r="T11" i="1"/>
  <c r="T8" i="1"/>
  <c r="T5" i="1"/>
  <c r="T2" i="1"/>
  <c r="D14" i="1"/>
  <c r="C14" i="1"/>
  <c r="E17" i="1" a="1"/>
  <c r="E17" i="1" l="1"/>
  <c r="F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<sst xmlns="http://schemas.openxmlformats.org/spreadsheetml/2006/main" count="76" uniqueCount="28">
  <si>
    <t>LIBELLE</t>
  </si>
  <si>
    <t>CLE COMPTABLE</t>
  </si>
  <si>
    <t>COMPTE COMPTABLE</t>
  </si>
  <si>
    <t>MONTANT</t>
  </si>
  <si>
    <t>AFFECTATION</t>
  </si>
  <si>
    <t>QUANTITE</t>
  </si>
  <si>
    <t>UNITE</t>
  </si>
  <si>
    <t>VG</t>
  </si>
  <si>
    <t>L</t>
  </si>
  <si>
    <t/>
  </si>
  <si>
    <t>V9</t>
  </si>
  <si>
    <t>TEST</t>
  </si>
  <si>
    <t>03/2023 TEST</t>
  </si>
  <si>
    <t>NUMER0</t>
  </si>
  <si>
    <t>V3</t>
  </si>
  <si>
    <t>JG</t>
  </si>
  <si>
    <t>CODE</t>
  </si>
  <si>
    <t>CENTRE</t>
  </si>
  <si>
    <t>FIN99</t>
  </si>
  <si>
    <t>03/2023</t>
  </si>
  <si>
    <t>Total</t>
  </si>
  <si>
    <t>V0</t>
  </si>
  <si>
    <t>TAUX</t>
  </si>
  <si>
    <t>FILTRE SUR 1 RESULTAT SOUHAITÉ</t>
  </si>
  <si>
    <t>FILTRE SUR 2 RESULTAT SOUHAITÉ</t>
  </si>
  <si>
    <t>FILTRE SUR 3 RESULTAT SOUHAITÉ</t>
  </si>
  <si>
    <t>FILTRE SUR 4 RESULTAT SOUHAITÉ</t>
  </si>
  <si>
    <t>MONTANT_2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</si>
</sst>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7" fontId="0" fillId="0" borderId="0" xfId="0" quotePrefix="1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Alignment="1">
      <alignment horizontal="center" vertical="center"/>
    </xf>
    <xf numFmtId="4" fontId="2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4" formatCode="#,##0.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C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28575</xdr:colOff>
      <xdr:row>0</xdr:row>
      <xdr:rowOff>0</xdr:rowOff>
    </xdr:from>
    <xdr:to>
      <xdr:col>14</xdr:col>
      <xdr:colOff>28575</xdr:colOff>
      <xdr:row>13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UMER0">
              <a:extLst>
                <a:ext uri="{FF2B5EF4-FFF2-40B4-BE49-F238E27FC236}">
                  <a16:creationId xmlns:a16="http://schemas.microsoft.com/office/drawing/2014/main" id="{1F12EB02-C21D-63F3-7CD8-2DF5B59AE1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ER0"/>
            </a:graphicData>
          </a:graphic>
        </xdr:graphicFrame>
      </mc:Choice>
      <mc:Fallback xmlns=""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1116330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962025</xdr:colOff>
      <xdr:row>15</xdr:row>
      <xdr:rowOff>142875</xdr:rowOff>
    </xdr:from>
    <xdr:to>
      <xdr:col>12</xdr:col>
      <xdr:colOff>180975</xdr:colOff>
      <xdr:row>22</xdr:row>
      <xdr:rowOff>38100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A7E4D58-4D35-C39E-3742-F06CF13DFA02}"/>
            </a:ext>
          </a:extLst>
        </xdr:cNvPr>
        <xdr:cNvSpPr/>
      </xdr:nvSpPr>
      <xdr:spPr>
        <a:xfrm>
          <a:off x="6638925" y="3000375"/>
          <a:ext cx="5162550" cy="1228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/>
            <a:t>Le filtre 1 doit donner =ABS(ARRONDI(1165,7*1,2-88*1,055+17*1,2;2)) = 1326.4</a:t>
          </a:r>
        </a:p>
        <a:p>
          <a:r>
            <a:rPr lang="fr-FR"/>
            <a:t>Le filtre 2 doit donner =ABS(ARRONDI(-50+200*1,2+30,16*1,2;2)) = 226.19</a:t>
          </a:r>
        </a:p>
        <a:p>
          <a:r>
            <a:rPr lang="fr-FR"/>
            <a:t>Le filtre 3 doit donner =ABS(ARRONDI(23,93*1,2-250*1-230*1;2)) = 451.28</a:t>
          </a:r>
        </a:p>
        <a:p>
          <a:r>
            <a:rPr lang="fr-FR"/>
            <a:t>Le filtre 4 doit donner =ABS(ARRONDI(-20-35+0,91;2)) = 54.09</a:t>
          </a:r>
        </a:p>
        <a:p>
          <a:pPr algn="l"/>
          <a:endParaRPr lang="fr-FR" sz="1100"/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UMER0" xr10:uid="{3B7C01BF-06C1-4488-A1FF-771BEE821E65}" sourceName="NUMER0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UMER0" xr10:uid="{41C4FA3F-F017-4141-B6F2-FE7BCA7053D2}" cache="Segment_NUMER0" caption="NUMER0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K14" totalsRowCount="1" headerRowDxfId="24" dataDxfId="23" totalsRowDxfId="22">
  <autoFilter ref="A1:K13" xr:uid="{00000000-0009-0000-0100-000002000000}"/>
  <tableColumns count="11">
    <tableColumn id="1" xr3:uid="{00000000-0010-0000-0000-000001000000}" name="NUMER0" totalsRowLabel="Total" dataDxfId="21" totalsRowDxfId="10"/>
    <tableColumn id="2" xr3:uid="{00000000-0010-0000-0000-000002000000}" name="LIBELLE" totalsRowLabel="03/2023 TEST" dataDxfId="20" totalsRowDxfId="9"/>
    <tableColumn id="3" xr3:uid="{00000000-0010-0000-0000-000003000000}" name="CLE COMPTABLE" totalsRowFunction="custom" dataDxfId="19" totalsRowDxfId="8">
      <totalsRowFormula>VALUE(31)</totalsRowFormula>
    </tableColumn>
    <tableColumn id="4" xr3:uid="{00000000-0010-0000-0000-000004000000}" name="COMPTE COMPTABLE" totalsRowFunction="custom" dataDxfId="18" totalsRowDxfId="7">
      <totalsRowFormula>VALUE(150)</totalsRowFormula>
    </tableColumn>
    <tableColumn id="5" xr3:uid="{00000000-0010-0000-0000-000005000000}" name="MONTANT" totalsRowFunction="custom" dataDxfId="17" totalsRowDxfId="6">
      <totalsRowFormula array="1">ABS(ROUND(SUMPRODUCT(Tableau2[MONTANT]*IF(Tableau2[CLE COMPTABLE]=50,-1,1)*VLOOKUP(Tableau2[CODE],$R$2:$S$7,2,0)*SUBTOTAL(103,INDIRECT("A"&amp;ROW(Tableau2[NUMER0])))),2))</totalsRowFormula>
    </tableColumn>
    <tableColumn id="11" xr3:uid="{00000000-0010-0000-0000-00000B000000}" name="MONTANT_2" totalsRowFunction="custom" dataDxfId="16" totalsRowDxfId="0">
      <calculatedColumnFormula>Tableau2[[#This Row],[MONTANT]]*IF(Tableau2[[#This Row],[CLE COMPTABLE]]=50,-1,1)*VLOOKUP(Tableau2[[#This Row],[CODE]],$R$2:$S$7,2,0)</calculatedColumnFormula>
      <totalsRowFormula>ROUND(ABS(SUBTOTAL(109,Tableau2[MONTANT_2])),2)</totalsRowFormula>
    </tableColumn>
    <tableColumn id="6" xr3:uid="{00000000-0010-0000-0000-000006000000}" name="CODE" dataDxfId="15" totalsRowDxfId="5"/>
    <tableColumn id="7" xr3:uid="{00000000-0010-0000-0000-000007000000}" name="CENTRE" dataDxfId="14" totalsRowDxfId="4"/>
    <tableColumn id="8" xr3:uid="{00000000-0010-0000-0000-000008000000}" name="AFFECTATION" dataDxfId="13" totalsRowDxfId="3"/>
    <tableColumn id="9" xr3:uid="{00000000-0010-0000-0000-000009000000}" name="QUANTITE" dataDxfId="12" totalsRowDxfId="2"/>
    <tableColumn id="10" xr3:uid="{00000000-0010-0000-0000-00000A000000}" name="UNITE" dataDxfId="11" totalsRow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workbookViewId="0">
      <selection activeCell="F14" sqref="F14"/>
    </sheetView>
  </sheetViews>
  <sheetFormatPr baseColWidth="10" defaultColWidth="9.140625" defaultRowHeight="15" x14ac:dyDescent="0.25"/>
  <cols>
    <col min="1" max="1" width="13.42578125" bestFit="1" customWidth="1"/>
    <col min="2" max="2" width="12.28515625" bestFit="1" customWidth="1"/>
    <col min="3" max="3" width="19.85546875" bestFit="1" customWidth="1"/>
    <col min="4" max="4" width="24.5703125" bestFit="1" customWidth="1"/>
    <col min="5" max="5" width="15" bestFit="1" customWidth="1"/>
    <col min="6" max="6" width="17" bestFit="1" customWidth="1"/>
    <col min="7" max="7" width="12.28515625" bestFit="1" customWidth="1"/>
    <col min="8" max="8" width="17.7109375" bestFit="1" customWidth="1"/>
    <col min="9" max="9" width="14.7109375" bestFit="1" customWidth="1"/>
    <col min="10" max="10" width="11" bestFit="1" customWidth="1"/>
    <col min="17" max="17" width="5.85546875" style="2" bestFit="1" customWidth="1"/>
    <col min="18" max="18" width="15.85546875" style="2" bestFit="1" customWidth="1"/>
    <col min="19" max="19" width="30.5703125" style="2" bestFit="1" customWidth="1"/>
  </cols>
  <sheetData>
    <row r="1" spans="1:20" x14ac:dyDescent="0.25">
      <c r="A1" s="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27</v>
      </c>
      <c r="G1" s="1" t="s">
        <v>16</v>
      </c>
      <c r="H1" s="1" t="s">
        <v>17</v>
      </c>
      <c r="I1" s="1" t="s">
        <v>4</v>
      </c>
      <c r="J1" s="1" t="s">
        <v>5</v>
      </c>
      <c r="K1" s="1" t="s">
        <v>6</v>
      </c>
      <c r="Q1"/>
      <c r="R1" s="2" t="s">
        <v>16</v>
      </c>
      <c r="S1" s="2" t="s">
        <v>22</v>
      </c>
      <c r="T1" s="3" t="s">
        <v>23</v>
      </c>
    </row>
    <row r="2" spans="1:20" x14ac:dyDescent="0.25">
      <c r="A2" s="2">
        <v>1</v>
      </c>
      <c r="B2" s="2" t="s">
        <v>11</v>
      </c>
      <c r="C2" s="2">
        <v>40</v>
      </c>
      <c r="D2" s="2">
        <v>1111</v>
      </c>
      <c r="E2" s="2">
        <v>1165.7</v>
      </c>
      <c r="F2" s="2">
        <f>Tableau2[[#This Row],[MONTANT]]*IF(Tableau2[[#This Row],[CLE COMPTABLE]]=50,-1,1)*VLOOKUP(Tableau2[[#This Row],[CODE]],$R$2:$S$7,2,0)</f>
        <v>1398.84</v>
      </c>
      <c r="G2" s="2" t="s">
        <v>7</v>
      </c>
      <c r="H2" s="2" t="s">
        <v>18</v>
      </c>
      <c r="I2" s="4" t="s">
        <v>19</v>
      </c>
      <c r="J2" s="2">
        <v>734.7</v>
      </c>
      <c r="K2" s="2" t="s">
        <v>8</v>
      </c>
      <c r="Q2"/>
      <c r="R2" s="2" t="s">
        <v>7</v>
      </c>
      <c r="S2" s="2">
        <v>1.2</v>
      </c>
      <c r="T2" s="5">
        <f>ABS(ROUND(1165.7*1.2-88*1.055+17*1.2,2))</f>
        <v>1326.4</v>
      </c>
    </row>
    <row r="3" spans="1:20" x14ac:dyDescent="0.25">
      <c r="A3" s="2">
        <v>2</v>
      </c>
      <c r="B3" s="2" t="s">
        <v>11</v>
      </c>
      <c r="C3" s="2">
        <v>50</v>
      </c>
      <c r="D3" s="2">
        <v>1240</v>
      </c>
      <c r="E3" s="2">
        <v>50</v>
      </c>
      <c r="F3" s="2">
        <f>Tableau2[[#This Row],[MONTANT]]*IF(Tableau2[[#This Row],[CLE COMPTABLE]]=50,-1,1)*VLOOKUP(Tableau2[[#This Row],[CODE]],$R$2:$S$7,2,0)</f>
        <v>-50</v>
      </c>
      <c r="G3" s="2" t="s">
        <v>10</v>
      </c>
      <c r="H3" s="2" t="s">
        <v>18</v>
      </c>
      <c r="I3" s="2" t="s">
        <v>19</v>
      </c>
      <c r="J3" s="2"/>
      <c r="K3" s="2"/>
      <c r="Q3"/>
      <c r="R3" s="2" t="s">
        <v>10</v>
      </c>
      <c r="S3" s="2">
        <v>1</v>
      </c>
      <c r="T3" s="2"/>
    </row>
    <row r="4" spans="1:20" x14ac:dyDescent="0.25">
      <c r="A4" s="2">
        <v>3</v>
      </c>
      <c r="B4" s="2" t="s">
        <v>11</v>
      </c>
      <c r="C4" s="2">
        <v>40</v>
      </c>
      <c r="D4" s="2">
        <v>1234</v>
      </c>
      <c r="E4" s="2">
        <v>23.93</v>
      </c>
      <c r="F4" s="2">
        <f>Tableau2[[#This Row],[MONTANT]]*IF(Tableau2[[#This Row],[CLE COMPTABLE]]=50,-1,1)*VLOOKUP(Tableau2[[#This Row],[CODE]],$R$2:$S$7,2,0)</f>
        <v>28.715999999999998</v>
      </c>
      <c r="G4" s="2" t="s">
        <v>7</v>
      </c>
      <c r="H4" s="2" t="s">
        <v>18</v>
      </c>
      <c r="I4" s="2" t="s">
        <v>19</v>
      </c>
      <c r="J4" s="2"/>
      <c r="K4" s="2" t="s">
        <v>9</v>
      </c>
      <c r="Q4"/>
      <c r="R4" s="2" t="s">
        <v>14</v>
      </c>
      <c r="S4" s="2">
        <v>1.0549999999999999</v>
      </c>
      <c r="T4" s="3" t="s">
        <v>24</v>
      </c>
    </row>
    <row r="5" spans="1:20" x14ac:dyDescent="0.25">
      <c r="A5" s="2">
        <v>4</v>
      </c>
      <c r="B5" s="2" t="s">
        <v>11</v>
      </c>
      <c r="C5" s="2">
        <v>50</v>
      </c>
      <c r="D5" s="2">
        <v>1111</v>
      </c>
      <c r="E5" s="2">
        <v>35</v>
      </c>
      <c r="F5" s="2">
        <f>Tableau2[[#This Row],[MONTANT]]*IF(Tableau2[[#This Row],[CLE COMPTABLE]]=50,-1,1)*VLOOKUP(Tableau2[[#This Row],[CODE]],$R$2:$S$7,2,0)</f>
        <v>-35</v>
      </c>
      <c r="G5" s="2" t="s">
        <v>21</v>
      </c>
      <c r="H5" s="2" t="s">
        <v>18</v>
      </c>
      <c r="I5" s="2" t="s">
        <v>19</v>
      </c>
      <c r="J5" s="2"/>
      <c r="K5" s="2"/>
      <c r="Q5"/>
      <c r="R5" s="2" t="s">
        <v>15</v>
      </c>
      <c r="S5" s="2">
        <v>1.2</v>
      </c>
      <c r="T5" s="6">
        <f>ABS(ROUND(-50+200*1.2+30.16*1.2,2))</f>
        <v>226.19</v>
      </c>
    </row>
    <row r="6" spans="1:20" x14ac:dyDescent="0.25">
      <c r="A6" s="2">
        <v>1</v>
      </c>
      <c r="B6" s="2" t="s">
        <v>11</v>
      </c>
      <c r="C6" s="2">
        <v>50</v>
      </c>
      <c r="D6" s="2">
        <v>1111</v>
      </c>
      <c r="E6" s="2">
        <v>88</v>
      </c>
      <c r="F6" s="2">
        <f>Tableau2[[#This Row],[MONTANT]]*IF(Tableau2[[#This Row],[CLE COMPTABLE]]=50,-1,1)*VLOOKUP(Tableau2[[#This Row],[CODE]],$R$2:$S$7,2,0)</f>
        <v>-92.839999999999989</v>
      </c>
      <c r="G6" s="2" t="s">
        <v>14</v>
      </c>
      <c r="H6" s="2" t="s">
        <v>18</v>
      </c>
      <c r="I6" s="2" t="s">
        <v>19</v>
      </c>
      <c r="J6" s="2"/>
      <c r="K6" s="2"/>
      <c r="Q6"/>
      <c r="R6" s="2" t="s">
        <v>10</v>
      </c>
      <c r="S6" s="2">
        <v>1</v>
      </c>
      <c r="T6" s="2"/>
    </row>
    <row r="7" spans="1:20" x14ac:dyDescent="0.25">
      <c r="A7" s="2">
        <v>1</v>
      </c>
      <c r="B7" s="2" t="s">
        <v>11</v>
      </c>
      <c r="C7" s="2">
        <v>40</v>
      </c>
      <c r="D7" s="2">
        <v>1111</v>
      </c>
      <c r="E7" s="2">
        <v>17</v>
      </c>
      <c r="F7" s="2">
        <f>Tableau2[[#This Row],[MONTANT]]*IF(Tableau2[[#This Row],[CLE COMPTABLE]]=50,-1,1)*VLOOKUP(Tableau2[[#This Row],[CODE]],$R$2:$S$7,2,0)</f>
        <v>20.399999999999999</v>
      </c>
      <c r="G7" s="2" t="s">
        <v>15</v>
      </c>
      <c r="H7" s="2" t="s">
        <v>18</v>
      </c>
      <c r="I7" s="2" t="s">
        <v>19</v>
      </c>
      <c r="J7" s="2"/>
      <c r="K7" s="2"/>
      <c r="Q7"/>
      <c r="R7" s="2" t="s">
        <v>21</v>
      </c>
      <c r="S7" s="2">
        <v>1</v>
      </c>
      <c r="T7" s="3" t="s">
        <v>25</v>
      </c>
    </row>
    <row r="8" spans="1:20" x14ac:dyDescent="0.25">
      <c r="A8" s="2">
        <v>2</v>
      </c>
      <c r="B8" s="2" t="s">
        <v>11</v>
      </c>
      <c r="C8" s="2">
        <v>40</v>
      </c>
      <c r="D8" s="2">
        <v>1240</v>
      </c>
      <c r="E8" s="2">
        <v>200</v>
      </c>
      <c r="F8" s="2">
        <f>Tableau2[[#This Row],[MONTANT]]*IF(Tableau2[[#This Row],[CLE COMPTABLE]]=50,-1,1)*VLOOKUP(Tableau2[[#This Row],[CODE]],$R$2:$S$7,2,0)</f>
        <v>240</v>
      </c>
      <c r="G8" s="2" t="s">
        <v>15</v>
      </c>
      <c r="H8" s="2" t="s">
        <v>18</v>
      </c>
      <c r="I8" s="2" t="s">
        <v>19</v>
      </c>
      <c r="J8" s="2"/>
      <c r="K8" s="2"/>
      <c r="Q8"/>
      <c r="T8" s="5">
        <f>ABS(ROUND(23.93*1.2-250*1-230*1,2))</f>
        <v>451.28</v>
      </c>
    </row>
    <row r="9" spans="1:20" x14ac:dyDescent="0.25">
      <c r="A9" s="2">
        <v>2</v>
      </c>
      <c r="B9" s="2" t="s">
        <v>11</v>
      </c>
      <c r="C9" s="2">
        <v>40</v>
      </c>
      <c r="D9" s="2">
        <v>1240</v>
      </c>
      <c r="E9" s="2">
        <v>30.16</v>
      </c>
      <c r="F9" s="2">
        <f>Tableau2[[#This Row],[MONTANT]]*IF(Tableau2[[#This Row],[CLE COMPTABLE]]=50,-1,1)*VLOOKUP(Tableau2[[#This Row],[CODE]],$R$2:$S$7,2,0)</f>
        <v>36.192</v>
      </c>
      <c r="G9" s="2" t="s">
        <v>7</v>
      </c>
      <c r="H9" s="2" t="s">
        <v>18</v>
      </c>
      <c r="I9" s="2" t="s">
        <v>19</v>
      </c>
      <c r="J9" s="2"/>
      <c r="K9" s="2" t="s">
        <v>9</v>
      </c>
      <c r="Q9"/>
      <c r="T9" s="2"/>
    </row>
    <row r="10" spans="1:20" x14ac:dyDescent="0.25">
      <c r="A10" s="2">
        <v>3</v>
      </c>
      <c r="B10" s="2" t="s">
        <v>11</v>
      </c>
      <c r="C10" s="2">
        <v>50</v>
      </c>
      <c r="D10" s="2">
        <v>1234</v>
      </c>
      <c r="E10" s="2">
        <v>250</v>
      </c>
      <c r="F10" s="2">
        <f>Tableau2[[#This Row],[MONTANT]]*IF(Tableau2[[#This Row],[CLE COMPTABLE]]=50,-1,1)*VLOOKUP(Tableau2[[#This Row],[CODE]],$R$2:$S$7,2,0)</f>
        <v>-250</v>
      </c>
      <c r="G10" s="2" t="s">
        <v>21</v>
      </c>
      <c r="H10" s="2" t="s">
        <v>18</v>
      </c>
      <c r="I10" s="2" t="s">
        <v>19</v>
      </c>
      <c r="J10" s="2"/>
      <c r="K10" s="2"/>
      <c r="Q10"/>
      <c r="T10" s="3" t="s">
        <v>26</v>
      </c>
    </row>
    <row r="11" spans="1:20" x14ac:dyDescent="0.25">
      <c r="A11" s="2">
        <v>3</v>
      </c>
      <c r="B11" s="2" t="s">
        <v>11</v>
      </c>
      <c r="C11" s="2">
        <v>50</v>
      </c>
      <c r="D11" s="2">
        <v>1234</v>
      </c>
      <c r="E11" s="2">
        <v>230</v>
      </c>
      <c r="F11" s="2">
        <f>Tableau2[[#This Row],[MONTANT]]*IF(Tableau2[[#This Row],[CLE COMPTABLE]]=50,-1,1)*VLOOKUP(Tableau2[[#This Row],[CODE]],$R$2:$S$7,2,0)</f>
        <v>-230</v>
      </c>
      <c r="G11" s="2" t="s">
        <v>21</v>
      </c>
      <c r="H11" s="2" t="s">
        <v>18</v>
      </c>
      <c r="I11" s="2" t="s">
        <v>19</v>
      </c>
      <c r="J11" s="2"/>
      <c r="K11" s="2"/>
      <c r="Q11"/>
      <c r="T11" s="5">
        <f>ABS(ROUND(-20-35+0.91,2))</f>
        <v>54.09</v>
      </c>
    </row>
    <row r="12" spans="1:20" x14ac:dyDescent="0.25">
      <c r="A12" s="2">
        <v>4</v>
      </c>
      <c r="B12" s="2" t="s">
        <v>11</v>
      </c>
      <c r="C12" s="2">
        <v>50</v>
      </c>
      <c r="D12" s="2">
        <v>1240</v>
      </c>
      <c r="E12" s="2">
        <v>20</v>
      </c>
      <c r="F12" s="2">
        <f>Tableau2[[#This Row],[MONTANT]]*IF(Tableau2[[#This Row],[CLE COMPTABLE]]=50,-1,1)*VLOOKUP(Tableau2[[#This Row],[CODE]],$R$2:$S$7,2,0)</f>
        <v>-20</v>
      </c>
      <c r="G12" s="2" t="s">
        <v>10</v>
      </c>
      <c r="H12" s="2" t="s">
        <v>18</v>
      </c>
      <c r="I12" s="2" t="s">
        <v>19</v>
      </c>
      <c r="J12" s="2"/>
      <c r="K12" s="2"/>
      <c r="Q12"/>
      <c r="T12" s="2"/>
    </row>
    <row r="13" spans="1:20" x14ac:dyDescent="0.25">
      <c r="A13" s="2">
        <v>4</v>
      </c>
      <c r="B13" s="2" t="s">
        <v>11</v>
      </c>
      <c r="C13" s="2">
        <v>40</v>
      </c>
      <c r="D13" s="2">
        <v>1240</v>
      </c>
      <c r="E13" s="2">
        <v>0.91</v>
      </c>
      <c r="F13" s="2">
        <f>Tableau2[[#This Row],[MONTANT]]*IF(Tableau2[[#This Row],[CLE COMPTABLE]]=50,-1,1)*VLOOKUP(Tableau2[[#This Row],[CODE]],$R$2:$S$7,2,0)</f>
        <v>0.91</v>
      </c>
      <c r="G13" s="2" t="s">
        <v>10</v>
      </c>
      <c r="H13" s="2" t="s">
        <v>18</v>
      </c>
      <c r="I13" s="2" t="s">
        <v>19</v>
      </c>
      <c r="J13" s="2"/>
      <c r="K13" s="2"/>
      <c r="Q13"/>
      <c r="T13" s="2"/>
    </row>
    <row r="14" spans="1:20" x14ac:dyDescent="0.25">
      <c r="A14" s="3" t="s">
        <v>20</v>
      </c>
      <c r="B14" s="3" t="s">
        <v>12</v>
      </c>
      <c r="C14" s="3">
        <f>VALUE(31)</f>
        <v>31</v>
      </c>
      <c r="D14" s="3">
        <f>VALUE(150)</f>
        <v>150</v>
      </c>
      <c r="E14" s="8" cm="1">
        <f t="array" aca="1" ref="E14" ca="1">ABS(ROUND(SUMPRODUCT(Tableau2[MONTANT]*IF(Tableau2[CLE COMPTABLE]=50,-1,1)*VLOOKUP(Tableau2[CODE],$R$2:$S$7,2,0)*SUBTOTAL(103,INDIRECT("A"&amp;ROW(Tableau2[NUMER0])))),2))</f>
        <v>1047.22</v>
      </c>
      <c r="F14" s="9">
        <f>ROUND(ABS(SUBTOTAL(109,Tableau2[MONTANT_2])),2)</f>
        <v>1047.22</v>
      </c>
      <c r="G14" s="3"/>
      <c r="H14" s="3"/>
      <c r="I14" s="3"/>
      <c r="J14" s="3"/>
      <c r="K14" s="3"/>
      <c r="Q14"/>
      <c r="T14" s="2"/>
    </row>
    <row r="16" spans="1:20" x14ac:dyDescent="0.25">
      <c r="E16" s="7"/>
    </row>
    <row r="17" spans="5:5" x14ac:dyDescent="0.25">
      <c r="E17" s="7" cm="1">
        <f t="array" aca="1" ref="E17" ca="1">ABS(ROUND(SUMPRODUCT(Tableau2[MONTANT]*IF(Tableau2[CLE COMPTABLE]=50,-1,1)*VLOOKUP(Tableau2[CODE],$R$2:$S$7,2,0)*SUBTOTAL(103,INDIRECT("A"&amp;ROW(Tableau2[NUMER0])))),2))</f>
        <v>1047.22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 S</cp:lastModifiedBy>
  <dcterms:created xsi:type="dcterms:W3CDTF">2015-06-05T18:19:34Z</dcterms:created>
  <dcterms:modified xsi:type="dcterms:W3CDTF">2023-03-11T09:07:34Z</dcterms:modified>
</cp:coreProperties>
</file>