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trlProps/ctrlProp22.xml" ContentType="application/vnd.ms-excel.controlproperties+xml"/>
  <Override PartName="/xl/drawings/drawing9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user\Desktop\tectite 5_1\"/>
    </mc:Choice>
  </mc:AlternateContent>
  <xr:revisionPtr revIDLastSave="0" documentId="8_{3748A690-FCFC-4CA8-9CC6-FC2E60FB5A32}" xr6:coauthVersionLast="47" xr6:coauthVersionMax="47" xr10:uidLastSave="{00000000-0000-0000-0000-000000000000}"/>
  <bookViews>
    <workbookView xWindow="-120" yWindow="-120" windowWidth="24240" windowHeight="13140" tabRatio="858" xr2:uid="{00000000-000D-0000-FFFF-FFFF00000000}"/>
  </bookViews>
  <sheets>
    <sheet name="Debut" sheetId="14" r:id="rId1"/>
    <sheet name="Batiment_Info" sheetId="9" r:id="rId2"/>
    <sheet name="Donnees_Test" sheetId="1" r:id="rId3"/>
    <sheet name="Baseline" sheetId="11" r:id="rId4"/>
    <sheet name="Graphe" sheetId="3" r:id="rId5"/>
    <sheet name="Commentaires" sheetId="2" r:id="rId6"/>
    <sheet name="Rapport" sheetId="33" r:id="rId7"/>
    <sheet name="Aide" sheetId="13" r:id="rId8"/>
    <sheet name="bld_file" sheetId="7" r:id="rId9"/>
    <sheet name="language" sheetId="17" state="hidden" r:id="rId10"/>
    <sheet name="DS" sheetId="6" state="hidden" r:id="rId11"/>
    <sheet name="Read_BLD" sheetId="8" state="veryHidden" r:id=""/>
    <sheet name="Berechnung" sheetId="5" r:id="rId12"/>
  </sheets>
  <functionGroups builtInGroupCount="19"/>
  <externalReferences>
    <externalReference r:id="rId13"/>
  </externalReferences>
  <definedNames>
    <definedName name="BBC">'[1]Listes de choix'!$C$3:$C$39</definedName>
    <definedName name="Chauffage">'[1]Listes de choix'!$J$3:$J$39</definedName>
    <definedName name="Isolation">'[1]Listes de choix'!$G$3:$G$39</definedName>
    <definedName name="Label">'[1]Listes de choix'!$D$3:$D$39</definedName>
    <definedName name="Local">'[1]Listes de choix'!$L$3:$L$39</definedName>
    <definedName name="Matériau">'[1]Listes de choix'!$E$3:$E$39</definedName>
    <definedName name="Matériel">'[1]Listes de choix'!$K$3:$K$39</definedName>
    <definedName name="Méthode">'[1]Listes de choix'!$N$3:$N$39</definedName>
    <definedName name="ModeCons">'[1]Listes de choix'!$F$3:$F$39</definedName>
    <definedName name="Moteur">'[1]Listes de choix'!$H$3:$H$39</definedName>
    <definedName name="Quand">'[1]Listes de choix'!$M$3:$M$39</definedName>
    <definedName name="Système">'[1]Listes de choix'!$I$3:$I$39</definedName>
    <definedName name="typebat">'[1]Listes de choix'!$B$3:$B$39</definedName>
    <definedName name="Ua">Baseline!$I$61</definedName>
    <definedName name="Üa">Baseline!$K$61</definedName>
    <definedName name="Ub">Baseline!$I$62</definedName>
    <definedName name="Üb">Baseline!$K$62</definedName>
    <definedName name="Uc">Baseline!$I$63</definedName>
    <definedName name="Üc">Baseline!$K$63</definedName>
    <definedName name="Ud">Baseline!$I$64</definedName>
    <definedName name="Üd">Baseline!$K$64</definedName>
    <definedName name="Ue">Baseline!#REF!</definedName>
    <definedName name="Üe">Baseline!$K$65</definedName>
    <definedName name="Uee">Baseline!#REF!</definedName>
    <definedName name="Ug">Baseline!#REF!</definedName>
    <definedName name="Üg">Baseline!$K$66</definedName>
    <definedName name="Ugg">Baseline!#REF!</definedName>
    <definedName name="_xlnm.Print_Area" localSheetId="3">Baseline!$A$1:$M$64</definedName>
    <definedName name="_xlnm.Print_Area" localSheetId="1">Batiment_Info!$A$1:$I$62</definedName>
    <definedName name="_xlnm.Print_Area" localSheetId="12">Berechnung!$A$1:$L$33</definedName>
    <definedName name="_xlnm.Print_Area" localSheetId="8">bld_file!$A$1:$AW$52</definedName>
    <definedName name="_xlnm.Print_Area" localSheetId="2">Donnees_Test!$A$1:$M$66</definedName>
    <definedName name="_xlnm.Print_Area" localSheetId="6">Rapport!$A$1:$H$47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9" l="1"/>
  <c r="G3" i="11" l="1"/>
  <c r="B8" i="11"/>
  <c r="H8" i="11"/>
  <c r="B10" i="11"/>
  <c r="H10" i="11" s="1"/>
  <c r="C10" i="11"/>
  <c r="I10" i="11" s="1"/>
  <c r="C11" i="11"/>
  <c r="I11" i="11" s="1"/>
  <c r="E11" i="11"/>
  <c r="K11" i="11" s="1"/>
  <c r="B43" i="11"/>
  <c r="B46" i="11"/>
  <c r="H46" i="11" s="1"/>
  <c r="C46" i="11"/>
  <c r="D46" i="11"/>
  <c r="D17" i="1" s="1"/>
  <c r="E46" i="11"/>
  <c r="F46" i="11"/>
  <c r="I46" i="11"/>
  <c r="I17" i="1" s="1"/>
  <c r="J46" i="11"/>
  <c r="J17" i="1" s="1"/>
  <c r="K46" i="11"/>
  <c r="K17" i="1" s="1"/>
  <c r="L46" i="11"/>
  <c r="L17" i="1" s="1"/>
  <c r="B48" i="11"/>
  <c r="B50" i="11"/>
  <c r="H50" i="11" s="1"/>
  <c r="B51" i="11"/>
  <c r="H51" i="11" s="1"/>
  <c r="C51" i="11"/>
  <c r="E51" i="11"/>
  <c r="I51" i="11"/>
  <c r="K51" i="11"/>
  <c r="B53" i="11"/>
  <c r="F65" i="11"/>
  <c r="H65" i="11"/>
  <c r="B106" i="11"/>
  <c r="B108" i="11"/>
  <c r="B109" i="11"/>
  <c r="F109" i="11"/>
  <c r="K109" i="11"/>
  <c r="B110" i="11"/>
  <c r="B111" i="11"/>
  <c r="F111" i="11"/>
  <c r="K111" i="11"/>
  <c r="B112" i="11"/>
  <c r="B113" i="11"/>
  <c r="K113" i="11"/>
  <c r="B114" i="11"/>
  <c r="C114" i="11"/>
  <c r="I114" i="11"/>
  <c r="B118" i="11"/>
  <c r="B121" i="11"/>
  <c r="I122" i="11"/>
  <c r="M130" i="11"/>
  <c r="E1" i="9"/>
  <c r="G1" i="11" s="1"/>
  <c r="E2" i="9"/>
  <c r="G2" i="1" s="1"/>
  <c r="E3" i="9"/>
  <c r="A5" i="9"/>
  <c r="F5" i="9"/>
  <c r="A7" i="9"/>
  <c r="B7" i="9"/>
  <c r="F7" i="9"/>
  <c r="G7" i="9"/>
  <c r="B8" i="9"/>
  <c r="G8" i="9"/>
  <c r="A9" i="9"/>
  <c r="B9" i="9"/>
  <c r="D15" i="33" s="1"/>
  <c r="F9" i="9"/>
  <c r="G9" i="9"/>
  <c r="B10" i="9"/>
  <c r="C6" i="11" s="1"/>
  <c r="G10" i="9"/>
  <c r="C11" i="9"/>
  <c r="D11" i="9"/>
  <c r="F11" i="9"/>
  <c r="D42" i="33" s="1"/>
  <c r="G11" i="9"/>
  <c r="E42" i="33" s="1"/>
  <c r="C12" i="9"/>
  <c r="D12" i="9"/>
  <c r="D18" i="33" s="1"/>
  <c r="F12" i="9"/>
  <c r="D43" i="33" s="1"/>
  <c r="G12" i="9"/>
  <c r="E43" i="33" s="1"/>
  <c r="A14" i="9"/>
  <c r="A16" i="9"/>
  <c r="B16" i="9"/>
  <c r="D38" i="33" s="1"/>
  <c r="F16" i="9"/>
  <c r="G16" i="9"/>
  <c r="D61" i="1" s="1"/>
  <c r="B17" i="9"/>
  <c r="D39" i="33" s="1"/>
  <c r="F17" i="9"/>
  <c r="G17" i="9"/>
  <c r="A18" i="9"/>
  <c r="B18" i="9"/>
  <c r="D40" i="33" s="1"/>
  <c r="F18" i="9"/>
  <c r="G18" i="9"/>
  <c r="B19" i="9"/>
  <c r="B63" i="1" s="1"/>
  <c r="A21" i="9"/>
  <c r="A23" i="9"/>
  <c r="A24" i="9"/>
  <c r="A25" i="9"/>
  <c r="A29" i="9"/>
  <c r="A31" i="9"/>
  <c r="A37" i="9"/>
  <c r="C37" i="9"/>
  <c r="D37" i="9"/>
  <c r="G37" i="9"/>
  <c r="A38" i="9"/>
  <c r="C39" i="9"/>
  <c r="A40" i="9"/>
  <c r="C41" i="9"/>
  <c r="D41" i="9"/>
  <c r="A43" i="9"/>
  <c r="A45" i="9"/>
  <c r="A47" i="9"/>
  <c r="C47" i="9"/>
  <c r="A49" i="9"/>
  <c r="C49" i="9"/>
  <c r="A51" i="9"/>
  <c r="A55" i="9"/>
  <c r="A57" i="9"/>
  <c r="A58" i="9"/>
  <c r="C58" i="9"/>
  <c r="F58" i="9"/>
  <c r="H58" i="9"/>
  <c r="A60" i="9"/>
  <c r="G64" i="9"/>
  <c r="Q77" i="9"/>
  <c r="Q78" i="9"/>
  <c r="P79" i="9"/>
  <c r="C23" i="9" s="1"/>
  <c r="Q80" i="9"/>
  <c r="P82" i="9" s="1"/>
  <c r="Q81" i="9"/>
  <c r="Q84" i="9"/>
  <c r="C57" i="9" s="1"/>
  <c r="B18" i="5" s="1"/>
  <c r="B12" i="5" s="1"/>
  <c r="B54" i="5" s="1"/>
  <c r="P101" i="9"/>
  <c r="C24" i="9" s="1"/>
  <c r="P102" i="9"/>
  <c r="P103" i="9"/>
  <c r="P107" i="9"/>
  <c r="P108" i="9"/>
  <c r="P109" i="9"/>
  <c r="C45" i="9" s="1"/>
  <c r="P112" i="9"/>
  <c r="D58" i="9" s="1"/>
  <c r="J7" i="5"/>
  <c r="J45" i="5"/>
  <c r="J46" i="5"/>
  <c r="J47" i="5"/>
  <c r="C48" i="5"/>
  <c r="C49" i="5"/>
  <c r="J49" i="5"/>
  <c r="R57" i="5"/>
  <c r="C92" i="5"/>
  <c r="C94" i="5"/>
  <c r="E98" i="5" s="1"/>
  <c r="F92" i="5" s="1"/>
  <c r="B3" i="2"/>
  <c r="B6" i="14"/>
  <c r="K8" i="14"/>
  <c r="D14" i="14"/>
  <c r="K17" i="14"/>
  <c r="D23" i="14"/>
  <c r="D27" i="14"/>
  <c r="D28" i="14"/>
  <c r="D30" i="14"/>
  <c r="B35" i="14"/>
  <c r="A81" i="14"/>
  <c r="A82" i="14"/>
  <c r="B5" i="1"/>
  <c r="B5" i="11" s="1"/>
  <c r="H5" i="1"/>
  <c r="H5" i="11" s="1"/>
  <c r="H6" i="1"/>
  <c r="H6" i="11" s="1"/>
  <c r="B8" i="1"/>
  <c r="B10" i="1"/>
  <c r="I10" i="1"/>
  <c r="B11" i="1"/>
  <c r="I11" i="1"/>
  <c r="B12" i="1"/>
  <c r="K12" i="1"/>
  <c r="B14" i="1"/>
  <c r="H14" i="1"/>
  <c r="B16" i="1"/>
  <c r="H16" i="1" s="1"/>
  <c r="B19" i="1"/>
  <c r="H19" i="1"/>
  <c r="B21" i="1"/>
  <c r="H21" i="1" s="1"/>
  <c r="C21" i="1"/>
  <c r="I21" i="1" s="1"/>
  <c r="D21" i="1"/>
  <c r="J21" i="1" s="1"/>
  <c r="E21" i="1"/>
  <c r="K21" i="1" s="1"/>
  <c r="F21" i="1"/>
  <c r="L21" i="1" s="1"/>
  <c r="B24" i="1"/>
  <c r="C24" i="1"/>
  <c r="D24" i="1"/>
  <c r="H24" i="1"/>
  <c r="F55" i="5" s="1"/>
  <c r="I24" i="1"/>
  <c r="I40" i="1" s="1"/>
  <c r="J24" i="1"/>
  <c r="B25" i="1"/>
  <c r="C25" i="1"/>
  <c r="D25" i="1"/>
  <c r="H25" i="1"/>
  <c r="I25" i="1"/>
  <c r="A72" i="5" s="1"/>
  <c r="J25" i="1"/>
  <c r="B26" i="1"/>
  <c r="C26" i="1"/>
  <c r="D26" i="1"/>
  <c r="H26" i="1"/>
  <c r="E57" i="5" s="1"/>
  <c r="I26" i="1"/>
  <c r="A73" i="5" s="1"/>
  <c r="J26" i="1"/>
  <c r="B27" i="1"/>
  <c r="F16" i="5" s="1"/>
  <c r="C27" i="1"/>
  <c r="D27" i="1"/>
  <c r="H27" i="1"/>
  <c r="E58" i="5" s="1"/>
  <c r="I27" i="1"/>
  <c r="J27" i="1"/>
  <c r="B28" i="1"/>
  <c r="C28" i="1"/>
  <c r="A33" i="5" s="1"/>
  <c r="D28" i="1"/>
  <c r="H28" i="1"/>
  <c r="E59" i="5" s="1"/>
  <c r="I28" i="1"/>
  <c r="A75" i="5" s="1"/>
  <c r="J28" i="1"/>
  <c r="B29" i="1"/>
  <c r="C29" i="1"/>
  <c r="D29" i="1"/>
  <c r="H29" i="1"/>
  <c r="I29" i="1"/>
  <c r="A76" i="5" s="1"/>
  <c r="J29" i="1"/>
  <c r="B30" i="1"/>
  <c r="C30" i="1"/>
  <c r="A35" i="5" s="1"/>
  <c r="D30" i="1"/>
  <c r="H30" i="1"/>
  <c r="E61" i="5" s="1"/>
  <c r="I30" i="1"/>
  <c r="A77" i="5" s="1"/>
  <c r="J30" i="1"/>
  <c r="B31" i="1"/>
  <c r="C31" i="1"/>
  <c r="D31" i="1"/>
  <c r="H31" i="1"/>
  <c r="E62" i="5" s="1"/>
  <c r="I31" i="1"/>
  <c r="A78" i="5" s="1"/>
  <c r="J31" i="1"/>
  <c r="B32" i="1"/>
  <c r="C32" i="1"/>
  <c r="A37" i="5" s="1"/>
  <c r="D32" i="1"/>
  <c r="H32" i="1"/>
  <c r="E63" i="5" s="1"/>
  <c r="I32" i="1"/>
  <c r="A79" i="5" s="1"/>
  <c r="J32" i="1"/>
  <c r="B33" i="1"/>
  <c r="C33" i="1"/>
  <c r="D33" i="1"/>
  <c r="H33" i="1"/>
  <c r="I33" i="1"/>
  <c r="J33" i="1"/>
  <c r="B36" i="1"/>
  <c r="H36" i="1" s="1"/>
  <c r="B48" i="1"/>
  <c r="E55" i="1"/>
  <c r="E56" i="1"/>
  <c r="B59" i="1"/>
  <c r="B61" i="1"/>
  <c r="B66" i="1"/>
  <c r="J66" i="1"/>
  <c r="E67" i="1"/>
  <c r="H67" i="1"/>
  <c r="B82" i="1"/>
  <c r="D88" i="1"/>
  <c r="E89" i="1"/>
  <c r="D89" i="1" s="1"/>
  <c r="E90" i="1"/>
  <c r="D90" i="1" s="1"/>
  <c r="E91" i="1"/>
  <c r="D91" i="1" s="1"/>
  <c r="E92" i="1"/>
  <c r="D92" i="1" s="1"/>
  <c r="E93" i="1"/>
  <c r="D93" i="1" s="1"/>
  <c r="B101" i="1"/>
  <c r="J11" i="1" s="1"/>
  <c r="C93" i="5" s="1"/>
  <c r="B106" i="1"/>
  <c r="F109" i="1"/>
  <c r="K109" i="1"/>
  <c r="F110" i="1"/>
  <c r="E111" i="1"/>
  <c r="F111" i="1"/>
  <c r="B114" i="1"/>
  <c r="B115" i="1"/>
  <c r="B116" i="1"/>
  <c r="B130" i="1"/>
  <c r="F55" i="1" s="1"/>
  <c r="B150" i="1"/>
  <c r="B151" i="1"/>
  <c r="B152" i="1"/>
  <c r="B159" i="1"/>
  <c r="J56" i="1" s="1"/>
  <c r="B171" i="1"/>
  <c r="J10" i="1" s="1"/>
  <c r="B1" i="6"/>
  <c r="C1" i="6"/>
  <c r="D1" i="6" s="1"/>
  <c r="E1" i="6"/>
  <c r="G1" i="6"/>
  <c r="C2" i="6"/>
  <c r="E2" i="6" s="1"/>
  <c r="D2" i="6"/>
  <c r="F2" i="6" s="1"/>
  <c r="B39" i="6"/>
  <c r="B40" i="6"/>
  <c r="B43" i="6"/>
  <c r="D45" i="33"/>
  <c r="I5" i="11" l="1"/>
  <c r="B1" i="2"/>
  <c r="A6" i="2"/>
  <c r="B2" i="2"/>
  <c r="C40" i="1"/>
  <c r="E24" i="1"/>
  <c r="G13" i="5"/>
  <c r="F113" i="11"/>
  <c r="C6" i="2"/>
  <c r="I6" i="1"/>
  <c r="G58" i="5"/>
  <c r="G20" i="5"/>
  <c r="D16" i="33"/>
  <c r="B62" i="1"/>
  <c r="C6" i="1"/>
  <c r="D45" i="9"/>
  <c r="E26" i="1"/>
  <c r="K15" i="5" s="1"/>
  <c r="C5" i="1"/>
  <c r="C39" i="6" s="1"/>
  <c r="K10" i="1"/>
  <c r="E17" i="1"/>
  <c r="K28" i="1"/>
  <c r="I59" i="5" s="1"/>
  <c r="G56" i="5"/>
  <c r="G18" i="5"/>
  <c r="F57" i="5"/>
  <c r="G22" i="5"/>
  <c r="F61" i="5"/>
  <c r="I56" i="1"/>
  <c r="G64" i="5"/>
  <c r="K24" i="1"/>
  <c r="I55" i="5" s="1"/>
  <c r="P55" i="5" s="1"/>
  <c r="K11" i="1"/>
  <c r="G60" i="5"/>
  <c r="A34" i="5"/>
  <c r="C23" i="1"/>
  <c r="I34" i="1"/>
  <c r="I6" i="11"/>
  <c r="A74" i="5"/>
  <c r="G63" i="5"/>
  <c r="G2" i="11"/>
  <c r="D41" i="33"/>
  <c r="I23" i="1"/>
  <c r="G3" i="1"/>
  <c r="G58" i="9"/>
  <c r="K32" i="1"/>
  <c r="I63" i="5" s="1"/>
  <c r="E30" i="1"/>
  <c r="I19" i="5" s="1"/>
  <c r="C17" i="1"/>
  <c r="A5" i="2"/>
  <c r="A80" i="5"/>
  <c r="G62" i="5"/>
  <c r="G59" i="5"/>
  <c r="A38" i="5"/>
  <c r="G21" i="5"/>
  <c r="E16" i="5"/>
  <c r="B13" i="5"/>
  <c r="B55" i="5" s="1"/>
  <c r="C15" i="5"/>
  <c r="C57" i="5" s="1"/>
  <c r="I5" i="1"/>
  <c r="C5" i="2"/>
  <c r="F63" i="5"/>
  <c r="B17" i="5"/>
  <c r="B59" i="5" s="1"/>
  <c r="B14" i="5"/>
  <c r="B56" i="5" s="1"/>
  <c r="D23" i="9"/>
  <c r="D47" i="33"/>
  <c r="D14" i="33"/>
  <c r="G61" i="5"/>
  <c r="G55" i="5"/>
  <c r="F17" i="1"/>
  <c r="E12" i="1"/>
  <c r="E11" i="1"/>
  <c r="E10" i="1"/>
  <c r="G1" i="1"/>
  <c r="F62" i="5"/>
  <c r="F59" i="5"/>
  <c r="G19" i="5"/>
  <c r="B16" i="5"/>
  <c r="B58" i="5" s="1"/>
  <c r="E64" i="5"/>
  <c r="F64" i="5"/>
  <c r="K33" i="1"/>
  <c r="F14" i="5"/>
  <c r="E14" i="5"/>
  <c r="F18" i="5"/>
  <c r="E18" i="5"/>
  <c r="F56" i="5"/>
  <c r="E56" i="5"/>
  <c r="K25" i="1"/>
  <c r="F22" i="5"/>
  <c r="E22" i="5"/>
  <c r="E60" i="5"/>
  <c r="F60" i="5"/>
  <c r="K29" i="1"/>
  <c r="F21" i="5"/>
  <c r="E21" i="5"/>
  <c r="A36" i="5"/>
  <c r="E31" i="1"/>
  <c r="F17" i="5"/>
  <c r="E17" i="5"/>
  <c r="G16" i="5"/>
  <c r="A32" i="5"/>
  <c r="E27" i="1"/>
  <c r="G57" i="5"/>
  <c r="F13" i="5"/>
  <c r="E13" i="5"/>
  <c r="E32" i="1"/>
  <c r="F20" i="5"/>
  <c r="E20" i="5"/>
  <c r="E28" i="1"/>
  <c r="F58" i="5"/>
  <c r="C34" i="1"/>
  <c r="E33" i="1"/>
  <c r="K31" i="1"/>
  <c r="K30" i="1"/>
  <c r="F19" i="5"/>
  <c r="E19" i="5"/>
  <c r="E29" i="1"/>
  <c r="K27" i="1"/>
  <c r="K26" i="1"/>
  <c r="E15" i="5"/>
  <c r="F15" i="5"/>
  <c r="E25" i="1"/>
  <c r="G14" i="5"/>
  <c r="A30" i="5"/>
  <c r="C5" i="11"/>
  <c r="D13" i="33"/>
  <c r="G17" i="5"/>
  <c r="C12" i="5"/>
  <c r="C54" i="5" s="1"/>
  <c r="B15" i="5"/>
  <c r="B57" i="5" s="1"/>
  <c r="C16" i="5"/>
  <c r="C58" i="5" s="1"/>
  <c r="C13" i="5"/>
  <c r="C55" i="5" s="1"/>
  <c r="C14" i="5"/>
  <c r="C56" i="5" s="1"/>
  <c r="C17" i="5"/>
  <c r="C59" i="5" s="1"/>
  <c r="G15" i="5"/>
  <c r="E55" i="5"/>
  <c r="A31" i="5"/>
  <c r="I58" i="9"/>
  <c r="I15" i="5" l="1"/>
  <c r="V18" i="5" s="1"/>
  <c r="W18" i="5" s="1"/>
  <c r="K59" i="5"/>
  <c r="J19" i="5"/>
  <c r="J63" i="5"/>
  <c r="J15" i="5"/>
  <c r="O15" i="5"/>
  <c r="G51" i="5"/>
  <c r="U86" i="9" s="1"/>
  <c r="J59" i="5"/>
  <c r="O59" i="5"/>
  <c r="O55" i="5"/>
  <c r="K55" i="5"/>
  <c r="O19" i="5"/>
  <c r="V58" i="5"/>
  <c r="W58" i="5" s="1"/>
  <c r="X58" i="5" s="1"/>
  <c r="G9" i="5"/>
  <c r="T88" i="9" s="1"/>
  <c r="J55" i="5"/>
  <c r="K19" i="5"/>
  <c r="O63" i="5"/>
  <c r="C5" i="5"/>
  <c r="G49" i="5"/>
  <c r="G7" i="5"/>
  <c r="K63" i="5"/>
  <c r="G6" i="5"/>
  <c r="G48" i="5"/>
  <c r="K57" i="5"/>
  <c r="O57" i="5"/>
  <c r="J57" i="5"/>
  <c r="I57" i="5"/>
  <c r="V62" i="5"/>
  <c r="W62" i="5" s="1"/>
  <c r="P59" i="5"/>
  <c r="I60" i="5"/>
  <c r="J60" i="5"/>
  <c r="O60" i="5"/>
  <c r="K60" i="5"/>
  <c r="J14" i="5"/>
  <c r="O14" i="5"/>
  <c r="K14" i="5"/>
  <c r="I14" i="5"/>
  <c r="K58" i="5"/>
  <c r="O58" i="5"/>
  <c r="J58" i="5"/>
  <c r="I58" i="5"/>
  <c r="I61" i="5"/>
  <c r="J61" i="5"/>
  <c r="O61" i="5"/>
  <c r="K61" i="5"/>
  <c r="Q57" i="5"/>
  <c r="J20" i="5"/>
  <c r="K20" i="5"/>
  <c r="I20" i="5"/>
  <c r="O20" i="5"/>
  <c r="J18" i="5"/>
  <c r="K18" i="5"/>
  <c r="I18" i="5"/>
  <c r="O18" i="5"/>
  <c r="I62" i="5"/>
  <c r="J62" i="5"/>
  <c r="O62" i="5"/>
  <c r="K62" i="5"/>
  <c r="J13" i="5"/>
  <c r="Q15" i="5"/>
  <c r="O13" i="5"/>
  <c r="K13" i="5"/>
  <c r="I13" i="5"/>
  <c r="J21" i="5"/>
  <c r="K21" i="5"/>
  <c r="I21" i="5"/>
  <c r="O21" i="5"/>
  <c r="J16" i="5"/>
  <c r="O16" i="5"/>
  <c r="I16" i="5"/>
  <c r="K16" i="5"/>
  <c r="V66" i="5"/>
  <c r="W66" i="5" s="1"/>
  <c r="P63" i="5"/>
  <c r="J56" i="5"/>
  <c r="I56" i="5"/>
  <c r="O56" i="5"/>
  <c r="K56" i="5"/>
  <c r="I64" i="5"/>
  <c r="J64" i="5"/>
  <c r="O64" i="5"/>
  <c r="K64" i="5"/>
  <c r="J22" i="5"/>
  <c r="K22" i="5"/>
  <c r="I22" i="5"/>
  <c r="O22" i="5"/>
  <c r="J17" i="5"/>
  <c r="O17" i="5"/>
  <c r="K17" i="5"/>
  <c r="I17" i="5"/>
  <c r="P19" i="5"/>
  <c r="V22" i="5"/>
  <c r="W22" i="5" s="1"/>
  <c r="P15" i="5" l="1"/>
  <c r="F29" i="1"/>
  <c r="E45" i="1"/>
  <c r="E39" i="1"/>
  <c r="E42" i="1"/>
  <c r="E38" i="1"/>
  <c r="L27" i="1"/>
  <c r="K45" i="1"/>
  <c r="K39" i="1"/>
  <c r="K42" i="1"/>
  <c r="K38" i="1"/>
  <c r="T91" i="9"/>
  <c r="U93" i="9"/>
  <c r="F33" i="1"/>
  <c r="U89" i="9"/>
  <c r="U91" i="9"/>
  <c r="U87" i="9"/>
  <c r="U85" i="9"/>
  <c r="U90" i="9"/>
  <c r="U92" i="9"/>
  <c r="L31" i="1"/>
  <c r="T93" i="9"/>
  <c r="U88" i="9"/>
  <c r="L33" i="1"/>
  <c r="F27" i="1"/>
  <c r="F32" i="1"/>
  <c r="T90" i="9"/>
  <c r="T85" i="9"/>
  <c r="T87" i="9"/>
  <c r="F28" i="1"/>
  <c r="Y58" i="5"/>
  <c r="T89" i="9"/>
  <c r="T92" i="9"/>
  <c r="T86" i="9"/>
  <c r="F25" i="1"/>
  <c r="L29" i="1"/>
  <c r="F31" i="1"/>
  <c r="O65" i="5"/>
  <c r="K65" i="5"/>
  <c r="J67" i="5" s="1"/>
  <c r="G4" i="5"/>
  <c r="G5" i="5"/>
  <c r="C47" i="5"/>
  <c r="Y22" i="5"/>
  <c r="X22" i="5"/>
  <c r="V67" i="5"/>
  <c r="W67" i="5" s="1"/>
  <c r="P64" i="5"/>
  <c r="T66" i="5"/>
  <c r="X71" i="5"/>
  <c r="I74" i="5"/>
  <c r="S46" i="5" s="1"/>
  <c r="K36" i="1"/>
  <c r="K40" i="1"/>
  <c r="L4" i="6"/>
  <c r="L6" i="6"/>
  <c r="L8" i="6"/>
  <c r="L10" i="6"/>
  <c r="L12" i="6"/>
  <c r="B25" i="6"/>
  <c r="D25" i="6" s="1"/>
  <c r="B27" i="6"/>
  <c r="D27" i="6" s="1"/>
  <c r="B29" i="6"/>
  <c r="D29" i="6" s="1"/>
  <c r="B31" i="6"/>
  <c r="D31" i="6" s="1"/>
  <c r="B33" i="6"/>
  <c r="D33" i="6" s="1"/>
  <c r="V72" i="5"/>
  <c r="I73" i="5"/>
  <c r="T46" i="5" s="1"/>
  <c r="T77" i="5"/>
  <c r="L5" i="6"/>
  <c r="K6" i="6"/>
  <c r="K7" i="6"/>
  <c r="L13" i="6"/>
  <c r="B30" i="6"/>
  <c r="D30" i="6" s="1"/>
  <c r="J71" i="5"/>
  <c r="X72" i="5"/>
  <c r="T78" i="5"/>
  <c r="I39" i="1"/>
  <c r="L7" i="6"/>
  <c r="K8" i="6"/>
  <c r="K9" i="6"/>
  <c r="B28" i="6"/>
  <c r="D28" i="6" s="1"/>
  <c r="T80" i="5"/>
  <c r="T81" i="5"/>
  <c r="I38" i="1"/>
  <c r="L9" i="6"/>
  <c r="K10" i="6"/>
  <c r="K11" i="6"/>
  <c r="B26" i="6"/>
  <c r="D26" i="6" s="1"/>
  <c r="B34" i="6"/>
  <c r="D34" i="6" s="1"/>
  <c r="V71" i="5"/>
  <c r="K13" i="6"/>
  <c r="I77" i="5"/>
  <c r="K4" i="6"/>
  <c r="L11" i="6"/>
  <c r="K5" i="6"/>
  <c r="K12" i="6"/>
  <c r="B32" i="6"/>
  <c r="D32" i="6" s="1"/>
  <c r="L28" i="1"/>
  <c r="L24" i="1"/>
  <c r="L32" i="1"/>
  <c r="L30" i="1"/>
  <c r="L26" i="1"/>
  <c r="P22" i="5"/>
  <c r="V25" i="5"/>
  <c r="W25" i="5" s="1"/>
  <c r="L25" i="1"/>
  <c r="P16" i="5"/>
  <c r="V19" i="5"/>
  <c r="W19" i="5" s="1"/>
  <c r="P13" i="5"/>
  <c r="I24" i="5"/>
  <c r="V16" i="5"/>
  <c r="W16" i="5" s="1"/>
  <c r="V29" i="5"/>
  <c r="T38" i="5"/>
  <c r="T39" i="5"/>
  <c r="J5" i="6"/>
  <c r="J7" i="6"/>
  <c r="J9" i="6"/>
  <c r="J11" i="6"/>
  <c r="J13" i="6"/>
  <c r="B15" i="6"/>
  <c r="B17" i="6"/>
  <c r="B19" i="6"/>
  <c r="B21" i="6"/>
  <c r="B23" i="6"/>
  <c r="C23" i="6" s="1"/>
  <c r="T24" i="5"/>
  <c r="X29" i="5"/>
  <c r="V30" i="5"/>
  <c r="I31" i="5"/>
  <c r="T4" i="5" s="1"/>
  <c r="I32" i="5"/>
  <c r="C38" i="1"/>
  <c r="J8" i="6"/>
  <c r="I9" i="6"/>
  <c r="I10" i="6"/>
  <c r="B22" i="6"/>
  <c r="C22" i="6" s="1"/>
  <c r="X30" i="5"/>
  <c r="I4" i="6"/>
  <c r="J10" i="6"/>
  <c r="I11" i="6"/>
  <c r="I12" i="6"/>
  <c r="B20" i="6"/>
  <c r="E36" i="1"/>
  <c r="J4" i="6"/>
  <c r="I5" i="6"/>
  <c r="E5" i="6" s="1"/>
  <c r="I6" i="6"/>
  <c r="J12" i="6"/>
  <c r="I13" i="6"/>
  <c r="B18" i="6"/>
  <c r="T35" i="5"/>
  <c r="T36" i="5"/>
  <c r="J6" i="6"/>
  <c r="B24" i="6"/>
  <c r="C24" i="6" s="1"/>
  <c r="C39" i="1"/>
  <c r="I7" i="6"/>
  <c r="B16" i="6"/>
  <c r="I8" i="6"/>
  <c r="E40" i="1"/>
  <c r="F26" i="1"/>
  <c r="F30" i="1"/>
  <c r="V64" i="5"/>
  <c r="W64" i="5" s="1"/>
  <c r="P61" i="5"/>
  <c r="K23" i="5"/>
  <c r="V65" i="5"/>
  <c r="W65" i="5" s="1"/>
  <c r="P62" i="5"/>
  <c r="V17" i="5"/>
  <c r="W17" i="5" s="1"/>
  <c r="P14" i="5"/>
  <c r="L25" i="5"/>
  <c r="J29" i="5"/>
  <c r="J25" i="5"/>
  <c r="I30" i="5"/>
  <c r="M25" i="5"/>
  <c r="I29" i="5"/>
  <c r="T33" i="5"/>
  <c r="I25" i="5"/>
  <c r="T29" i="5"/>
  <c r="V63" i="5"/>
  <c r="W63" i="5" s="1"/>
  <c r="P60" i="5"/>
  <c r="P17" i="5"/>
  <c r="V20" i="5"/>
  <c r="W20" i="5" s="1"/>
  <c r="V59" i="5"/>
  <c r="W59" i="5" s="1"/>
  <c r="P56" i="5"/>
  <c r="T71" i="5"/>
  <c r="I67" i="5"/>
  <c r="I66" i="5"/>
  <c r="O23" i="5"/>
  <c r="P20" i="5"/>
  <c r="V23" i="5"/>
  <c r="W23" i="5" s="1"/>
  <c r="Y18" i="5"/>
  <c r="X18" i="5"/>
  <c r="P21" i="5"/>
  <c r="V24" i="5"/>
  <c r="W24" i="5" s="1"/>
  <c r="F24" i="1"/>
  <c r="P18" i="5"/>
  <c r="V21" i="5"/>
  <c r="W21" i="5" s="1"/>
  <c r="V61" i="5"/>
  <c r="W61" i="5" s="1"/>
  <c r="P58" i="5"/>
  <c r="X62" i="5"/>
  <c r="Y62" i="5"/>
  <c r="V60" i="5"/>
  <c r="W60" i="5" s="1"/>
  <c r="P57" i="5"/>
  <c r="H13" i="5" l="1"/>
  <c r="F13" i="6"/>
  <c r="E9" i="6"/>
  <c r="F4" i="6"/>
  <c r="E8" i="6"/>
  <c r="H18" i="5"/>
  <c r="L18" i="5" s="1"/>
  <c r="E4" i="6"/>
  <c r="E10" i="6"/>
  <c r="C20" i="6"/>
  <c r="C16" i="6"/>
  <c r="C15" i="6"/>
  <c r="F5" i="6"/>
  <c r="F11" i="6"/>
  <c r="F8" i="6"/>
  <c r="F7" i="6"/>
  <c r="G47" i="5"/>
  <c r="G46" i="5"/>
  <c r="C18" i="6"/>
  <c r="C21" i="6"/>
  <c r="E13" i="6"/>
  <c r="C19" i="6"/>
  <c r="H20" i="5"/>
  <c r="H19" i="5"/>
  <c r="H22" i="5"/>
  <c r="H21" i="5"/>
  <c r="H17" i="5"/>
  <c r="H16" i="5"/>
  <c r="H14" i="5"/>
  <c r="H15" i="5"/>
  <c r="P65" i="5"/>
  <c r="E11" i="6"/>
  <c r="C17" i="6"/>
  <c r="X61" i="5"/>
  <c r="Y61" i="5"/>
  <c r="V38" i="5"/>
  <c r="X38" i="5" s="1"/>
  <c r="AD38" i="5" s="1"/>
  <c r="AD39" i="5" s="1"/>
  <c r="AB39" i="5" s="1"/>
  <c r="V12" i="5"/>
  <c r="W12" i="5" s="1"/>
  <c r="V35" i="5"/>
  <c r="X35" i="5" s="1"/>
  <c r="AD35" i="5" s="1"/>
  <c r="AD36" i="5" s="1"/>
  <c r="AB36" i="5" s="1"/>
  <c r="E145" i="1" s="1"/>
  <c r="E147" i="1" s="1"/>
  <c r="X17" i="5"/>
  <c r="Y17" i="5"/>
  <c r="E7" i="6"/>
  <c r="C43" i="1"/>
  <c r="AB30" i="5"/>
  <c r="AA31" i="5"/>
  <c r="AB31" i="5"/>
  <c r="AA30" i="5"/>
  <c r="S4" i="5"/>
  <c r="Q17" i="5"/>
  <c r="C46" i="1"/>
  <c r="X59" i="5"/>
  <c r="Y59" i="5"/>
  <c r="X63" i="5"/>
  <c r="Y63" i="5"/>
  <c r="X64" i="5"/>
  <c r="Y64" i="5"/>
  <c r="C42" i="1"/>
  <c r="E6" i="6"/>
  <c r="C45" i="1"/>
  <c r="P23" i="5"/>
  <c r="X25" i="5"/>
  <c r="Y25" i="5"/>
  <c r="F12" i="6"/>
  <c r="F9" i="6"/>
  <c r="I43" i="1"/>
  <c r="I42" i="1"/>
  <c r="X60" i="5"/>
  <c r="Y60" i="5"/>
  <c r="Y20" i="5"/>
  <c r="X20" i="5"/>
  <c r="Y19" i="5"/>
  <c r="X19" i="5"/>
  <c r="I46" i="1"/>
  <c r="AA72" i="5"/>
  <c r="AA73" i="5"/>
  <c r="AB72" i="5"/>
  <c r="AB73" i="5"/>
  <c r="Y21" i="5"/>
  <c r="X21" i="5"/>
  <c r="E12" i="6"/>
  <c r="AA29" i="5"/>
  <c r="AB29" i="5"/>
  <c r="Y16" i="5"/>
  <c r="X16" i="5"/>
  <c r="V54" i="5"/>
  <c r="W54" i="5" s="1"/>
  <c r="V80" i="5"/>
  <c r="X80" i="5" s="1"/>
  <c r="AD80" i="5" s="1"/>
  <c r="AD81" i="5" s="1"/>
  <c r="AB81" i="5" s="1"/>
  <c r="V77" i="5"/>
  <c r="X77" i="5" s="1"/>
  <c r="AD77" i="5" s="1"/>
  <c r="AD78" i="5" s="1"/>
  <c r="AA78" i="5" s="1"/>
  <c r="D146" i="1" s="1"/>
  <c r="F10" i="6"/>
  <c r="I45" i="1"/>
  <c r="F6" i="6"/>
  <c r="AA71" i="5"/>
  <c r="AB71" i="5"/>
  <c r="X67" i="5"/>
  <c r="Y67" i="5"/>
  <c r="M18" i="5" l="1"/>
  <c r="AB35" i="5"/>
  <c r="E142" i="1" s="1"/>
  <c r="E144" i="1" s="1"/>
  <c r="AA38" i="5"/>
  <c r="N18" i="5"/>
  <c r="AB38" i="5"/>
  <c r="AA39" i="5"/>
  <c r="AB78" i="5"/>
  <c r="E146" i="1" s="1"/>
  <c r="L21" i="5"/>
  <c r="M21" i="5"/>
  <c r="N21" i="5"/>
  <c r="L20" i="5"/>
  <c r="N20" i="5"/>
  <c r="M20" i="5"/>
  <c r="H57" i="5"/>
  <c r="H58" i="5"/>
  <c r="H55" i="5"/>
  <c r="H63" i="5"/>
  <c r="H62" i="5"/>
  <c r="H64" i="5"/>
  <c r="H60" i="5"/>
  <c r="H59" i="5"/>
  <c r="H56" i="5"/>
  <c r="H61" i="5"/>
  <c r="AA77" i="5"/>
  <c r="D143" i="1" s="1"/>
  <c r="AA36" i="5"/>
  <c r="D145" i="1" s="1"/>
  <c r="D147" i="1" s="1"/>
  <c r="L17" i="5"/>
  <c r="N17" i="5"/>
  <c r="M17" i="5"/>
  <c r="M13" i="5"/>
  <c r="N13" i="5"/>
  <c r="N23" i="5" s="1"/>
  <c r="L13" i="5"/>
  <c r="M15" i="5"/>
  <c r="L15" i="5"/>
  <c r="N15" i="5"/>
  <c r="L14" i="5"/>
  <c r="N14" i="5"/>
  <c r="M14" i="5"/>
  <c r="L22" i="5"/>
  <c r="N22" i="5"/>
  <c r="M22" i="5"/>
  <c r="AA35" i="5"/>
  <c r="D142" i="1" s="1"/>
  <c r="D144" i="1" s="1"/>
  <c r="M16" i="5"/>
  <c r="L16" i="5"/>
  <c r="N16" i="5"/>
  <c r="N19" i="5"/>
  <c r="M19" i="5"/>
  <c r="L19" i="5"/>
  <c r="K46" i="1"/>
  <c r="D134" i="1"/>
  <c r="D140" i="1"/>
  <c r="AB54" i="5"/>
  <c r="AD56" i="5" s="1"/>
  <c r="I20" i="14"/>
  <c r="AB55" i="5"/>
  <c r="C120" i="1"/>
  <c r="H120" i="1"/>
  <c r="K50" i="1"/>
  <c r="H119" i="1" s="1"/>
  <c r="I11" i="14"/>
  <c r="AB12" i="5"/>
  <c r="AD14" i="5" s="1"/>
  <c r="AB13" i="5"/>
  <c r="E50" i="1"/>
  <c r="G26" i="33" s="1"/>
  <c r="I50" i="1"/>
  <c r="D139" i="1"/>
  <c r="AA81" i="5"/>
  <c r="AB77" i="5"/>
  <c r="E143" i="1" s="1"/>
  <c r="I21" i="14"/>
  <c r="K43" i="1"/>
  <c r="E140" i="1"/>
  <c r="E53" i="1"/>
  <c r="B135" i="1"/>
  <c r="K53" i="1"/>
  <c r="D133" i="1"/>
  <c r="I53" i="1"/>
  <c r="D29" i="33" s="1"/>
  <c r="E29" i="33" s="1"/>
  <c r="E46" i="1"/>
  <c r="I12" i="14"/>
  <c r="E139" i="1"/>
  <c r="E43" i="1"/>
  <c r="I51" i="1"/>
  <c r="K51" i="1"/>
  <c r="AB80" i="5"/>
  <c r="Y12" i="5"/>
  <c r="AD12" i="5"/>
  <c r="AA12" i="5"/>
  <c r="X12" i="5"/>
  <c r="Z12" i="5"/>
  <c r="AA80" i="5"/>
  <c r="Y54" i="5"/>
  <c r="AD54" i="5"/>
  <c r="AA54" i="5"/>
  <c r="X54" i="5"/>
  <c r="Z54" i="5"/>
  <c r="G29" i="33" l="1"/>
  <c r="C119" i="1"/>
  <c r="N60" i="5"/>
  <c r="M60" i="5"/>
  <c r="L60" i="5"/>
  <c r="N55" i="5"/>
  <c r="N65" i="5" s="1"/>
  <c r="M67" i="5" s="1"/>
  <c r="T75" i="5" s="1"/>
  <c r="L55" i="5"/>
  <c r="M55" i="5"/>
  <c r="AD55" i="5"/>
  <c r="C121" i="1"/>
  <c r="H121" i="1"/>
  <c r="N61" i="5"/>
  <c r="L61" i="5"/>
  <c r="M61" i="5"/>
  <c r="L64" i="5"/>
  <c r="M64" i="5"/>
  <c r="N64" i="5"/>
  <c r="M58" i="5"/>
  <c r="L58" i="5"/>
  <c r="N58" i="5"/>
  <c r="N56" i="5"/>
  <c r="L56" i="5"/>
  <c r="M56" i="5"/>
  <c r="M62" i="5"/>
  <c r="N62" i="5"/>
  <c r="L62" i="5"/>
  <c r="L57" i="5"/>
  <c r="N57" i="5"/>
  <c r="M57" i="5"/>
  <c r="AD13" i="5"/>
  <c r="I34" i="5"/>
  <c r="L24" i="5"/>
  <c r="T30" i="5" s="1"/>
  <c r="I35" i="5"/>
  <c r="L59" i="5"/>
  <c r="M59" i="5"/>
  <c r="N59" i="5"/>
  <c r="M63" i="5"/>
  <c r="N63" i="5"/>
  <c r="L63" i="5"/>
  <c r="E51" i="1"/>
  <c r="G27" i="33" s="1"/>
  <c r="D27" i="33"/>
  <c r="E27" i="33" s="1"/>
  <c r="H21" i="14"/>
  <c r="J21" i="14"/>
  <c r="G14" i="6"/>
  <c r="D26" i="33"/>
  <c r="E26" i="33" s="1"/>
  <c r="H11" i="14"/>
  <c r="J11" i="14"/>
  <c r="H12" i="14"/>
  <c r="J12" i="14"/>
  <c r="H20" i="14"/>
  <c r="J20" i="14"/>
  <c r="A29" i="5" l="1"/>
  <c r="T31" i="5"/>
  <c r="L66" i="5"/>
  <c r="T72" i="5" s="1"/>
  <c r="L67" i="5"/>
  <c r="I71" i="5"/>
  <c r="I72" i="5" l="1"/>
  <c r="A71" i="5"/>
  <c r="T73" i="5"/>
  <c r="A9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xxx</author>
  </authors>
  <commentList>
    <comment ref="C23" authorId="0" shapeId="0" xr:uid="{00000000-0006-0000-0200-000001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C24" authorId="0" shapeId="0" xr:uid="{00000000-0006-0000-0200-000002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xxx</author>
    <author>IGBEU</author>
  </authors>
  <commentList>
    <comment ref="C17" authorId="0" shapeId="0" xr:uid="{00000000-0006-0000-0300-000001000000}">
      <text>
        <r>
          <rPr>
            <b/>
            <sz val="10"/>
            <color indexed="12"/>
            <rFont val="Tahoma"/>
            <family val="2"/>
          </rPr>
          <t>EN 13829:</t>
        </r>
        <r>
          <rPr>
            <b/>
            <sz val="8"/>
            <color indexed="12"/>
            <rFont val="Tahoma"/>
            <family val="2"/>
          </rPr>
          <t xml:space="preserve">
</t>
        </r>
        <r>
          <rPr>
            <b/>
            <sz val="10"/>
            <color indexed="12"/>
            <rFont val="Symbol"/>
            <family val="1"/>
            <charset val="2"/>
          </rPr>
          <t>D</t>
        </r>
        <r>
          <rPr>
            <b/>
            <sz val="10"/>
            <color indexed="12"/>
            <rFont val="Tahoma"/>
            <family val="2"/>
          </rPr>
          <t>p</t>
        </r>
        <r>
          <rPr>
            <b/>
            <vertAlign val="subscript"/>
            <sz val="10"/>
            <color indexed="12"/>
            <rFont val="Tahoma"/>
            <family val="2"/>
          </rPr>
          <t>01+</t>
        </r>
        <r>
          <rPr>
            <b/>
            <sz val="10"/>
            <color indexed="12"/>
            <rFont val="Tahoma"/>
            <family val="2"/>
          </rPr>
          <t xml:space="preserve"> ≤ 5 Pa</t>
        </r>
        <r>
          <rPr>
            <sz val="8"/>
            <color indexed="12"/>
            <rFont val="Tahoma"/>
            <family val="2"/>
          </rPr>
          <t xml:space="preserve">
</t>
        </r>
      </text>
    </comment>
    <comment ref="D17" authorId="0" shapeId="0" xr:uid="{00000000-0006-0000-0300-000002000000}">
      <text>
        <r>
          <rPr>
            <b/>
            <sz val="10"/>
            <color indexed="12"/>
            <rFont val="Tahoma"/>
            <family val="2"/>
          </rPr>
          <t xml:space="preserve">EN 13829:
</t>
        </r>
        <r>
          <rPr>
            <b/>
            <sz val="10"/>
            <color indexed="12"/>
            <rFont val="Symbol"/>
            <family val="1"/>
            <charset val="2"/>
          </rPr>
          <t>D</t>
        </r>
        <r>
          <rPr>
            <b/>
            <sz val="10"/>
            <color indexed="12"/>
            <rFont val="Tahoma"/>
            <family val="2"/>
          </rPr>
          <t>p</t>
        </r>
        <r>
          <rPr>
            <b/>
            <vertAlign val="subscript"/>
            <sz val="10"/>
            <color indexed="12"/>
            <rFont val="Tahoma"/>
            <family val="2"/>
          </rPr>
          <t>01-</t>
        </r>
        <r>
          <rPr>
            <b/>
            <sz val="10"/>
            <color indexed="12"/>
            <rFont val="Tahoma"/>
            <family val="2"/>
          </rPr>
          <t xml:space="preserve"> ≥  -5 Pa</t>
        </r>
      </text>
    </comment>
    <comment ref="E17" authorId="0" shapeId="0" xr:uid="{00000000-0006-0000-0300-000003000000}">
      <text>
        <r>
          <rPr>
            <b/>
            <sz val="10"/>
            <color indexed="12"/>
            <rFont val="Tahoma"/>
            <family val="2"/>
          </rPr>
          <t xml:space="preserve">EN 13829:
</t>
        </r>
        <r>
          <rPr>
            <b/>
            <sz val="10"/>
            <color indexed="12"/>
            <rFont val="Symbol"/>
            <family val="1"/>
            <charset val="2"/>
          </rPr>
          <t>D</t>
        </r>
        <r>
          <rPr>
            <b/>
            <sz val="10"/>
            <color indexed="12"/>
            <rFont val="Tahoma"/>
            <family val="2"/>
          </rPr>
          <t>p</t>
        </r>
        <r>
          <rPr>
            <b/>
            <vertAlign val="subscript"/>
            <sz val="10"/>
            <color indexed="12"/>
            <rFont val="Tahoma"/>
            <family val="2"/>
          </rPr>
          <t>01+</t>
        </r>
        <r>
          <rPr>
            <b/>
            <sz val="10"/>
            <color indexed="12"/>
            <rFont val="Tahoma"/>
            <family val="2"/>
          </rPr>
          <t xml:space="preserve"> ≤ 5 Pa</t>
        </r>
      </text>
    </comment>
    <comment ref="F17" authorId="0" shapeId="0" xr:uid="{00000000-0006-0000-0300-000004000000}">
      <text>
        <r>
          <rPr>
            <b/>
            <sz val="10"/>
            <color indexed="12"/>
            <rFont val="Tahoma"/>
            <family val="2"/>
          </rPr>
          <t xml:space="preserve">EN 13829:
</t>
        </r>
        <r>
          <rPr>
            <b/>
            <sz val="10"/>
            <color indexed="12"/>
            <rFont val="Symbol"/>
            <family val="1"/>
            <charset val="2"/>
          </rPr>
          <t>D</t>
        </r>
        <r>
          <rPr>
            <b/>
            <sz val="10"/>
            <color indexed="12"/>
            <rFont val="Tahoma"/>
            <family val="2"/>
          </rPr>
          <t>p01- ≥  -5 Pa</t>
        </r>
      </text>
    </comment>
    <comment ref="C38" authorId="0" shapeId="0" xr:uid="{00000000-0006-0000-0300-000005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C39" authorId="0" shapeId="0" xr:uid="{00000000-0006-0000-0300-000006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C40" authorId="1" shapeId="0" xr:uid="{00000000-0006-0000-0300-000007000000}">
      <text>
        <r>
          <rPr>
            <b/>
            <sz val="10"/>
            <color indexed="12"/>
            <rFont val="Tahoma"/>
            <family val="2"/>
          </rPr>
          <t>0,5  ≤  n  ≤ 1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xxx</author>
  </authors>
  <commentList>
    <comment ref="C45" authorId="0" shapeId="0" xr:uid="{00000000-0006-0000-0400-000001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D45" authorId="0" shapeId="0" xr:uid="{00000000-0006-0000-0400-000002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E45" authorId="0" shapeId="0" xr:uid="{00000000-0006-0000-0400-000003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F45" authorId="0" shapeId="0" xr:uid="{00000000-0006-0000-0400-000004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C50" authorId="0" shapeId="0" xr:uid="{00000000-0006-0000-0400-000005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  <comment ref="E50" authorId="0" shapeId="0" xr:uid="{00000000-0006-0000-0400-000006000000}">
      <text>
        <r>
          <rPr>
            <b/>
            <sz val="10"/>
            <color indexed="12"/>
            <rFont val="Tahoma"/>
            <family val="2"/>
          </rPr>
          <t>Norme NF EN 13829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IGBEU</author>
  </authors>
  <commentList>
    <comment ref="B48" authorId="0" shapeId="0" xr:uid="{00000000-0006-0000-0A00-000001000000}">
      <text>
        <r>
          <rPr>
            <b/>
            <sz val="8"/>
            <color indexed="81"/>
            <rFont val="Tahoma"/>
            <family val="2"/>
          </rPr>
          <t>Kommentarfeld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<sst xmlns="http://schemas.openxmlformats.org/spreadsheetml/2006/main" count="1621" uniqueCount="852">
  <si>
    <t>b</t>
  </si>
  <si>
    <t xml:space="preserve"> </t>
  </si>
  <si>
    <t>A</t>
  </si>
  <si>
    <t>B</t>
  </si>
  <si>
    <t>C</t>
  </si>
  <si>
    <t>°C</t>
  </si>
  <si>
    <t>D</t>
  </si>
  <si>
    <t>E</t>
  </si>
  <si>
    <t>Unterdruck</t>
  </si>
  <si>
    <t>Überdruck</t>
  </si>
  <si>
    <t>O ABCDE</t>
  </si>
  <si>
    <t>[Pa]</t>
  </si>
  <si>
    <t>[m³/h]</t>
  </si>
  <si>
    <t>[%]</t>
  </si>
  <si>
    <t>%</t>
  </si>
  <si>
    <t>m³/h</t>
  </si>
  <si>
    <t>n50</t>
  </si>
  <si>
    <t>Fax:</t>
  </si>
  <si>
    <t>Luftdruck :</t>
  </si>
  <si>
    <t>Pa</t>
  </si>
  <si>
    <r>
      <t>Standardbedingungen :</t>
    </r>
    <r>
      <rPr>
        <sz val="8"/>
        <rFont val="Arial"/>
        <family val="2"/>
      </rPr>
      <t xml:space="preserve"> (20°C, 1013 hPa)</t>
    </r>
    <r>
      <rPr>
        <sz val="14"/>
        <rFont val="Arial"/>
        <family val="2"/>
      </rPr>
      <t xml:space="preserve"> </t>
    </r>
  </si>
  <si>
    <t>Vertrauensbereiche :</t>
  </si>
  <si>
    <t>Intervalle :</t>
  </si>
  <si>
    <t>rel. Luftfeuchte :</t>
  </si>
  <si>
    <t>Luftdichte :</t>
  </si>
  <si>
    <t>kg/m³</t>
  </si>
  <si>
    <r>
      <t>I</t>
    </r>
    <r>
      <rPr>
        <vertAlign val="subscript"/>
        <sz val="10"/>
        <rFont val="Arial"/>
        <family val="2"/>
      </rPr>
      <t>ln(C)</t>
    </r>
  </si>
  <si>
    <r>
      <t>I</t>
    </r>
    <r>
      <rPr>
        <vertAlign val="subscript"/>
        <sz val="10"/>
        <rFont val="Arial"/>
        <family val="2"/>
      </rPr>
      <t>n</t>
    </r>
  </si>
  <si>
    <t>n</t>
  </si>
  <si>
    <t>Luftdichte innen :</t>
  </si>
  <si>
    <t>Viskosität :</t>
  </si>
  <si>
    <t>Pa*s</t>
  </si>
  <si>
    <t>obere Grenze</t>
  </si>
  <si>
    <t>Luftdichte außen :</t>
  </si>
  <si>
    <t>untere Grenze</t>
  </si>
  <si>
    <t>Viskosität innen :</t>
  </si>
  <si>
    <t>Viskosität außen :</t>
  </si>
  <si>
    <r>
      <t>min V</t>
    </r>
    <r>
      <rPr>
        <vertAlign val="subscript"/>
        <sz val="10"/>
        <rFont val="Arial"/>
        <family val="2"/>
      </rPr>
      <t>50 Unterdruck</t>
    </r>
  </si>
  <si>
    <r>
      <t>maxV</t>
    </r>
    <r>
      <rPr>
        <vertAlign val="subscript"/>
        <sz val="10"/>
        <rFont val="Arial"/>
        <family val="2"/>
      </rPr>
      <t>50Unterdruck</t>
    </r>
  </si>
  <si>
    <r>
      <t>min n</t>
    </r>
    <r>
      <rPr>
        <vertAlign val="subscript"/>
        <sz val="10"/>
        <rFont val="Arial"/>
        <family val="2"/>
      </rPr>
      <t>50 Unterdruck</t>
    </r>
  </si>
  <si>
    <r>
      <t>max n</t>
    </r>
    <r>
      <rPr>
        <vertAlign val="subscript"/>
        <sz val="10"/>
        <rFont val="Arial"/>
        <family val="2"/>
      </rPr>
      <t>50Unterdruck</t>
    </r>
  </si>
  <si>
    <t>Luftdichte bei Kalibrierung:</t>
  </si>
  <si>
    <t>50 Pa Gebäudedruck</t>
  </si>
  <si>
    <r>
      <t>V</t>
    </r>
    <r>
      <rPr>
        <vertAlign val="subscript"/>
        <sz val="10"/>
        <rFont val="Arial"/>
        <family val="2"/>
      </rPr>
      <t>50</t>
    </r>
    <r>
      <rPr>
        <sz val="10"/>
        <rFont val="Arial"/>
        <family val="2"/>
      </rPr>
      <t>*exp(-I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(ln(50))</t>
    </r>
  </si>
  <si>
    <r>
      <t>V</t>
    </r>
    <r>
      <rPr>
        <vertAlign val="subscript"/>
        <sz val="10"/>
        <rFont val="Arial"/>
        <family val="2"/>
      </rPr>
      <t>50</t>
    </r>
    <r>
      <rPr>
        <sz val="10"/>
        <rFont val="Arial"/>
        <family val="2"/>
      </rPr>
      <t>*exp(I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(ln(50))</t>
    </r>
  </si>
  <si>
    <r>
      <t>n</t>
    </r>
    <r>
      <rPr>
        <vertAlign val="subscript"/>
        <sz val="10"/>
        <rFont val="Arial"/>
        <family val="2"/>
      </rPr>
      <t>50</t>
    </r>
    <r>
      <rPr>
        <sz val="10"/>
        <rFont val="Arial"/>
        <family val="2"/>
      </rPr>
      <t>*exp(-I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(ln(50))</t>
    </r>
  </si>
  <si>
    <r>
      <t>n</t>
    </r>
    <r>
      <rPr>
        <vertAlign val="subscript"/>
        <sz val="10"/>
        <rFont val="Arial"/>
        <family val="2"/>
      </rPr>
      <t>50</t>
    </r>
    <r>
      <rPr>
        <sz val="10"/>
        <rFont val="Arial"/>
        <family val="2"/>
      </rPr>
      <t>*exp(I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(ln(50))</t>
    </r>
  </si>
  <si>
    <t>Abweich. %</t>
  </si>
  <si>
    <t>natürliche p- differenz :</t>
  </si>
  <si>
    <t>Kalibrierungsfaktoren</t>
  </si>
  <si>
    <t>X</t>
  </si>
  <si>
    <t>Y</t>
  </si>
  <si>
    <t>Blende</t>
  </si>
  <si>
    <t>X²</t>
  </si>
  <si>
    <r>
      <t>S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(x)</t>
    </r>
    <r>
      <rPr>
        <sz val="10"/>
        <rFont val="Arial"/>
        <family val="2"/>
      </rPr>
      <t xml:space="preserve"> :</t>
    </r>
  </si>
  <si>
    <r>
      <t>I</t>
    </r>
    <r>
      <rPr>
        <vertAlign val="subscript"/>
        <sz val="10"/>
        <rFont val="Arial"/>
        <family val="2"/>
      </rPr>
      <t>y</t>
    </r>
    <r>
      <rPr>
        <sz val="10"/>
        <rFont val="Arial"/>
        <family val="2"/>
      </rPr>
      <t>(x)</t>
    </r>
  </si>
  <si>
    <t>Vs *exp(-ln(delta p))</t>
  </si>
  <si>
    <t>Vs *exp(ln(delta p))</t>
  </si>
  <si>
    <t>Mittelwert :</t>
  </si>
  <si>
    <t>Varianz :</t>
  </si>
  <si>
    <t>Student-Verteilung</t>
  </si>
  <si>
    <t>Kovarianz :</t>
  </si>
  <si>
    <t>N</t>
  </si>
  <si>
    <t>Volumenstrom Gebäudehülle dp korrigiert</t>
  </si>
  <si>
    <t>Korrelationskoeffizient :</t>
  </si>
  <si>
    <r>
      <t>S</t>
    </r>
    <r>
      <rPr>
        <vertAlign val="subscript"/>
        <sz val="10"/>
        <rFont val="Arial"/>
        <family val="2"/>
      </rPr>
      <t>n</t>
    </r>
    <r>
      <rPr>
        <sz val="10"/>
        <rFont val="Arial"/>
        <family val="2"/>
      </rPr>
      <t xml:space="preserve"> :</t>
    </r>
  </si>
  <si>
    <r>
      <t>S</t>
    </r>
    <r>
      <rPr>
        <vertAlign val="subscript"/>
        <sz val="10"/>
        <rFont val="Arial"/>
        <family val="2"/>
      </rPr>
      <t>ln(C)</t>
    </r>
    <r>
      <rPr>
        <sz val="10"/>
        <rFont val="Arial"/>
        <family val="2"/>
      </rPr>
      <t xml:space="preserve"> :</t>
    </r>
  </si>
  <si>
    <t>Steigung</t>
  </si>
  <si>
    <t>Achsenabschnitt</t>
  </si>
  <si>
    <t>unendlich</t>
  </si>
  <si>
    <r>
      <t>min V</t>
    </r>
    <r>
      <rPr>
        <vertAlign val="subscript"/>
        <sz val="10"/>
        <rFont val="Arial"/>
        <family val="2"/>
      </rPr>
      <t>50 Überdruck</t>
    </r>
  </si>
  <si>
    <r>
      <t>maxV</t>
    </r>
    <r>
      <rPr>
        <vertAlign val="subscript"/>
        <sz val="10"/>
        <rFont val="Arial"/>
        <family val="2"/>
      </rPr>
      <t>50 Überdruck</t>
    </r>
  </si>
  <si>
    <r>
      <t>min n</t>
    </r>
    <r>
      <rPr>
        <vertAlign val="subscript"/>
        <sz val="10"/>
        <rFont val="Arial"/>
        <family val="2"/>
      </rPr>
      <t>50 Überdruck</t>
    </r>
  </si>
  <si>
    <r>
      <t>max n</t>
    </r>
    <r>
      <rPr>
        <vertAlign val="subscript"/>
        <sz val="10"/>
        <rFont val="Arial"/>
        <family val="2"/>
      </rPr>
      <t>50 Überdruck</t>
    </r>
  </si>
  <si>
    <t>Volumenstrom Standardbedingungen</t>
  </si>
  <si>
    <t>KZ</t>
  </si>
  <si>
    <t>a</t>
  </si>
  <si>
    <t>u</t>
  </si>
  <si>
    <t>ü</t>
  </si>
  <si>
    <t>Überduck</t>
  </si>
  <si>
    <t>aktuelle Daten aus File:</t>
  </si>
  <si>
    <t xml:space="preserve">Grunddaten APT </t>
  </si>
  <si>
    <t>Bemerkungen</t>
  </si>
  <si>
    <t>Handeingabe</t>
  </si>
  <si>
    <t>Unterdruckmessung</t>
  </si>
  <si>
    <t>Überdruckmessung</t>
  </si>
  <si>
    <t>Kennung</t>
  </si>
  <si>
    <t>Daten</t>
  </si>
  <si>
    <t>Daten 1</t>
  </si>
  <si>
    <t>Comments:</t>
  </si>
  <si>
    <t>Build_Press_#1:</t>
  </si>
  <si>
    <t>Build_Test_Mode:</t>
  </si>
  <si>
    <t>Build_Fan_Model:</t>
  </si>
  <si>
    <t>Build_Press_#2:</t>
  </si>
  <si>
    <t>Build_Standard:</t>
  </si>
  <si>
    <t>Model3_Serial_Number:</t>
  </si>
  <si>
    <t>Building_Dimension_Units:</t>
  </si>
  <si>
    <t>Build_Press_#3:</t>
  </si>
  <si>
    <t>Build_Test_Method:</t>
  </si>
  <si>
    <t>DuctBlasterA_Serial_Number:</t>
  </si>
  <si>
    <t>Leakage_Dimension_Units:</t>
  </si>
  <si>
    <t>Build_Press_#4:</t>
  </si>
  <si>
    <t>Target_Tolerance:</t>
  </si>
  <si>
    <t>DuctBlasterB_Serial_Number:</t>
  </si>
  <si>
    <t>Temperature_Units:</t>
  </si>
  <si>
    <t>Build_Press_#5:</t>
  </si>
  <si>
    <t>Fan_adjust:</t>
  </si>
  <si>
    <t>Model3_230V_Serial_Number:</t>
  </si>
  <si>
    <t>Serial_Number:</t>
  </si>
  <si>
    <t>Build_Press_#6:</t>
  </si>
  <si>
    <t>Data_samples:</t>
  </si>
  <si>
    <t>Model4 (230V) Serial Number:</t>
  </si>
  <si>
    <t>Last_Calibration_Date:</t>
  </si>
  <si>
    <t>Build_Press_#7:</t>
  </si>
  <si>
    <t>Building_High_Pressure_Limit:</t>
  </si>
  <si>
    <t>Fan_Calib_Model3_Ring0:</t>
  </si>
  <si>
    <t>Pr_Channels:</t>
  </si>
  <si>
    <t>Build_Press_#8:</t>
  </si>
  <si>
    <t>Station_count:</t>
  </si>
  <si>
    <t>Fan_Calib_Model3_Ring1:</t>
  </si>
  <si>
    <t>Analog_LoRange_Calibration:</t>
  </si>
  <si>
    <t>Build_Press_#9:</t>
  </si>
  <si>
    <t>Complete_test:</t>
  </si>
  <si>
    <t>Fan_Calib_Model3_Ring2:</t>
  </si>
  <si>
    <t>Analog_HiRange_Calibration:</t>
  </si>
  <si>
    <t>Build_Press_#10:</t>
  </si>
  <si>
    <t>Fan_Calib_Model3_Ring3:</t>
  </si>
  <si>
    <t>Manual_Entry_Data_0:</t>
  </si>
  <si>
    <t>Fan_Calib_Model3_Ring4:</t>
  </si>
  <si>
    <t>Fan_Calib_Model3_Ring5:</t>
  </si>
  <si>
    <t>Kennung 1</t>
  </si>
  <si>
    <t>Kennung 2</t>
  </si>
  <si>
    <t>Daten 2</t>
  </si>
  <si>
    <t>Daten 3</t>
  </si>
  <si>
    <t>Daten 4</t>
  </si>
  <si>
    <t>Daten 5</t>
  </si>
  <si>
    <t>Daten 6</t>
  </si>
  <si>
    <t>Daten 7</t>
  </si>
  <si>
    <t>Fan_Calib_DBA_Ring0:</t>
  </si>
  <si>
    <t>Fan_Calib_DBA_Ring1:</t>
  </si>
  <si>
    <t>Measured_DcVolt:</t>
  </si>
  <si>
    <t>Fan_Calib_DBA_Ring2:</t>
  </si>
  <si>
    <t>Business:</t>
  </si>
  <si>
    <t>Data_pt_0:</t>
  </si>
  <si>
    <t>Fan_Calib_DBA_Ring3:</t>
  </si>
  <si>
    <t>B_Address:</t>
  </si>
  <si>
    <t>Data_pt_1:</t>
  </si>
  <si>
    <t>Fan_Calib_DBA_Ring4:</t>
  </si>
  <si>
    <t>B_Address_Line2:</t>
  </si>
  <si>
    <t>Data_pt_2:</t>
  </si>
  <si>
    <t>Fan_Calib_DBA_Ring5:</t>
  </si>
  <si>
    <t>B_City:</t>
  </si>
  <si>
    <t>Data_pt_3:</t>
  </si>
  <si>
    <t>Fan_Calib_DBB_Ring0:</t>
  </si>
  <si>
    <t>B_State:</t>
  </si>
  <si>
    <t>Data_pt_4:</t>
  </si>
  <si>
    <t>Fan_Calib_DBB_Ring1:</t>
  </si>
  <si>
    <t>B_Zip:</t>
  </si>
  <si>
    <t>Data_pt_5:</t>
  </si>
  <si>
    <t>Fan_Calib_DBB_Ring2:</t>
  </si>
  <si>
    <t>B_Phone:</t>
  </si>
  <si>
    <t>Data_pt_6:</t>
  </si>
  <si>
    <t>Fan_Calib_DBB_Ring3:</t>
  </si>
  <si>
    <t>B_Fax:</t>
  </si>
  <si>
    <t>Data_pt_7:</t>
  </si>
  <si>
    <t>Fan_Calib_DBB_Ring4:</t>
  </si>
  <si>
    <t>Building_Address:</t>
  </si>
  <si>
    <t>Fan_Calib_DBB_Ring5:</t>
  </si>
  <si>
    <t>Building_Address_Line2:</t>
  </si>
  <si>
    <t>Fan_Calib_Model3 (230V)_Ring0:</t>
  </si>
  <si>
    <t>Building_City:</t>
  </si>
  <si>
    <t>Fan_Calib_Model3 (230V)_Ring1:</t>
  </si>
  <si>
    <t>Building_State:</t>
  </si>
  <si>
    <t>Data_pt_8:</t>
  </si>
  <si>
    <t>Fan_Calib_Model3 (230V)_Ring2:</t>
  </si>
  <si>
    <t>Building_Zip:</t>
  </si>
  <si>
    <t>Fan_Calib_Model3 (230V)_Ring3:</t>
  </si>
  <si>
    <t>Volume:</t>
  </si>
  <si>
    <t>Fan_Calib_Model3 (230V)_Ring4:</t>
  </si>
  <si>
    <t>Floor:</t>
  </si>
  <si>
    <t>Fan_Calib_Model3 (230V)_Ring5:</t>
  </si>
  <si>
    <t>Surface:</t>
  </si>
  <si>
    <t>Fan_Calib_Model4 (230V)_Ring0:</t>
  </si>
  <si>
    <t>Test_Date:</t>
  </si>
  <si>
    <t>Data_pt_9:</t>
  </si>
  <si>
    <t>Fan_Calib_Model4 (230V)_Ring1:</t>
  </si>
  <si>
    <t>Technician:</t>
  </si>
  <si>
    <t>Data_pt_10:</t>
  </si>
  <si>
    <t>Fan_Calib_Model4 (230V)_Ring2:</t>
  </si>
  <si>
    <t>Name:</t>
  </si>
  <si>
    <t>Data_pt_11:</t>
  </si>
  <si>
    <t>Fan_Calib_Model4 (230V)_Ring3:</t>
  </si>
  <si>
    <t>Address:</t>
  </si>
  <si>
    <t>Data_pt_12:</t>
  </si>
  <si>
    <t>Fan_Calib_Model4 (230V)_Ring4:</t>
  </si>
  <si>
    <t>Address_Line2:</t>
  </si>
  <si>
    <t>Data_pt_13:</t>
  </si>
  <si>
    <t>Fan_Calib_Model4 (230V)_Ring5:</t>
  </si>
  <si>
    <t>City:</t>
  </si>
  <si>
    <t>Data_pt_14:</t>
  </si>
  <si>
    <t>State:</t>
  </si>
  <si>
    <t>Data_pt_15:</t>
  </si>
  <si>
    <t>Zip:</t>
  </si>
  <si>
    <t>Data_pt_16:</t>
  </si>
  <si>
    <t>Phone:</t>
  </si>
  <si>
    <t>Inside_Temp:</t>
  </si>
  <si>
    <t>Outside_Temp:</t>
  </si>
  <si>
    <t>Data_pt_17:</t>
  </si>
  <si>
    <t>Temperatur:</t>
  </si>
  <si>
    <t>Klimabedingungen  Messung</t>
  </si>
  <si>
    <t>rel. Luftfeuchte außen:</t>
  </si>
  <si>
    <t>rel. Luftfeuchte innen:</t>
  </si>
  <si>
    <r>
      <t>V</t>
    </r>
    <r>
      <rPr>
        <b/>
        <vertAlign val="subscript"/>
        <sz val="10"/>
        <rFont val="Arial"/>
        <family val="2"/>
      </rPr>
      <t>r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Gebläse-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>Kalibrierung</t>
    </r>
  </si>
  <si>
    <r>
      <t>V</t>
    </r>
    <r>
      <rPr>
        <b/>
        <vertAlign val="subscript"/>
        <sz val="10"/>
        <rFont val="Arial"/>
        <family val="2"/>
      </rPr>
      <t>env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Gebäudehülle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Dichtekorrektur</t>
    </r>
  </si>
  <si>
    <r>
      <t>X</t>
    </r>
    <r>
      <rPr>
        <vertAlign val="subscript"/>
        <sz val="10"/>
        <rFont val="Arial"/>
        <family val="2"/>
      </rPr>
      <t>i</t>
    </r>
  </si>
  <si>
    <r>
      <t>Y</t>
    </r>
    <r>
      <rPr>
        <vertAlign val="subscript"/>
        <sz val="10"/>
        <rFont val="Arial"/>
        <family val="2"/>
      </rPr>
      <t>i</t>
    </r>
  </si>
  <si>
    <r>
      <t xml:space="preserve">ln </t>
    </r>
    <r>
      <rPr>
        <b/>
        <sz val="8"/>
        <rFont val="Symbol"/>
        <family val="1"/>
        <charset val="2"/>
      </rPr>
      <t>D</t>
    </r>
    <r>
      <rPr>
        <b/>
        <sz val="8"/>
        <rFont val="Arial"/>
        <family val="2"/>
      </rPr>
      <t>p</t>
    </r>
    <r>
      <rPr>
        <b/>
        <vertAlign val="subscript"/>
        <sz val="8"/>
        <rFont val="Arial"/>
        <family val="2"/>
      </rPr>
      <t>i</t>
    </r>
    <r>
      <rPr>
        <sz val="10"/>
        <rFont val="Arial"/>
        <family val="2"/>
      </rPr>
      <t xml:space="preserve">
ln (</t>
    </r>
    <r>
      <rPr>
        <sz val="8"/>
        <rFont val="Arial"/>
        <family val="2"/>
      </rPr>
      <t xml:space="preserve">Gebäudedruck
abzgl. nat </t>
    </r>
    <r>
      <rPr>
        <sz val="8"/>
        <rFont val="Symbol"/>
        <family val="1"/>
        <charset val="2"/>
      </rPr>
      <t>D</t>
    </r>
    <r>
      <rPr>
        <sz val="8"/>
        <rFont val="Arial"/>
        <family val="2"/>
      </rPr>
      <t>p)</t>
    </r>
  </si>
  <si>
    <r>
      <t>ln V</t>
    </r>
    <r>
      <rPr>
        <b/>
        <vertAlign val="subscript"/>
        <sz val="10"/>
        <rFont val="Arial"/>
        <family val="2"/>
      </rPr>
      <t>env, i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ln (Volumenstrom Gebäudehülle)</t>
    </r>
  </si>
  <si>
    <t>Zuordnung Art der Messung</t>
  </si>
  <si>
    <t>-</t>
  </si>
  <si>
    <r>
      <t>D</t>
    </r>
    <r>
      <rPr>
        <sz val="10"/>
        <rFont val="Arial"/>
        <family val="2"/>
      </rPr>
      <t>p</t>
    </r>
    <r>
      <rPr>
        <vertAlign val="subscript"/>
        <sz val="10"/>
        <rFont val="Arial"/>
        <family val="2"/>
      </rPr>
      <t>01</t>
    </r>
  </si>
  <si>
    <r>
      <t>D</t>
    </r>
    <r>
      <rPr>
        <sz val="10"/>
        <rFont val="Arial"/>
        <family val="2"/>
      </rPr>
      <t>p</t>
    </r>
    <r>
      <rPr>
        <vertAlign val="subscript"/>
        <sz val="10"/>
        <rFont val="Arial"/>
        <family val="2"/>
      </rPr>
      <t>02</t>
    </r>
  </si>
  <si>
    <r>
      <t>x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-x'</t>
    </r>
  </si>
  <si>
    <r>
      <t>y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-y'</t>
    </r>
  </si>
  <si>
    <r>
      <t>(x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-x')²</t>
    </r>
  </si>
  <si>
    <r>
      <t>(y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-y')²</t>
    </r>
  </si>
  <si>
    <t>(xi-x')*(yi-y')</t>
  </si>
  <si>
    <r>
      <t>S</t>
    </r>
    <r>
      <rPr>
        <sz val="10"/>
        <rFont val="Arial"/>
        <family val="2"/>
      </rPr>
      <t xml:space="preserve"> (x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-x')² =</t>
    </r>
  </si>
  <si>
    <r>
      <t>S</t>
    </r>
    <r>
      <rPr>
        <sz val="10"/>
        <rFont val="Arial"/>
        <family val="2"/>
      </rPr>
      <t xml:space="preserve"> (y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-y')² =</t>
    </r>
  </si>
  <si>
    <r>
      <t xml:space="preserve">= </t>
    </r>
    <r>
      <rPr>
        <sz val="10"/>
        <rFont val="Symbol"/>
        <family val="1"/>
        <charset val="2"/>
      </rPr>
      <t>S</t>
    </r>
    <r>
      <rPr>
        <sz val="10"/>
        <rFont val="Arial"/>
        <family val="2"/>
      </rPr>
      <t xml:space="preserve"> ((xi-x')*(yi-y'))</t>
    </r>
  </si>
  <si>
    <r>
      <t>= s</t>
    </r>
    <r>
      <rPr>
        <vertAlign val="subscript"/>
        <sz val="10"/>
        <rFont val="Arial"/>
        <family val="2"/>
      </rPr>
      <t>xy</t>
    </r>
  </si>
  <si>
    <t>= r</t>
  </si>
  <si>
    <r>
      <t>= s²</t>
    </r>
    <r>
      <rPr>
        <vertAlign val="subscript"/>
        <sz val="10"/>
        <rFont val="Arial"/>
        <family val="2"/>
      </rPr>
      <t>x</t>
    </r>
  </si>
  <si>
    <r>
      <t>= s²</t>
    </r>
    <r>
      <rPr>
        <vertAlign val="subscript"/>
        <sz val="10"/>
        <rFont val="Arial"/>
        <family val="2"/>
      </rPr>
      <t>y</t>
    </r>
  </si>
  <si>
    <t>= x'</t>
  </si>
  <si>
    <t>= y'</t>
  </si>
  <si>
    <r>
      <t>= S</t>
    </r>
    <r>
      <rPr>
        <vertAlign val="subscript"/>
        <sz val="10"/>
        <rFont val="Arial"/>
        <family val="2"/>
      </rPr>
      <t>n</t>
    </r>
  </si>
  <si>
    <r>
      <t>= S</t>
    </r>
    <r>
      <rPr>
        <vertAlign val="subscript"/>
        <sz val="10"/>
        <rFont val="Arial"/>
        <family val="2"/>
      </rPr>
      <t>ln(C)</t>
    </r>
  </si>
  <si>
    <r>
      <t xml:space="preserve"> = </t>
    </r>
    <r>
      <rPr>
        <sz val="10"/>
        <rFont val="Symbol"/>
        <family val="1"/>
        <charset val="2"/>
      </rPr>
      <t>S</t>
    </r>
    <r>
      <rPr>
        <sz val="10"/>
        <rFont val="Arial"/>
        <family val="2"/>
      </rPr>
      <t xml:space="preserve"> x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²</t>
    </r>
  </si>
  <si>
    <t>Cenv</t>
  </si>
  <si>
    <r>
      <t>C</t>
    </r>
    <r>
      <rPr>
        <vertAlign val="subscript"/>
        <sz val="10"/>
        <rFont val="Arial"/>
        <family val="2"/>
      </rPr>
      <t>L</t>
    </r>
  </si>
  <si>
    <t>Messstellen</t>
  </si>
  <si>
    <t>Lage des Gebäudes</t>
  </si>
  <si>
    <t>Listen für Gültigkeitsbereiche</t>
  </si>
  <si>
    <t>Gebäudestandort</t>
  </si>
  <si>
    <t>Referenzmessstellen</t>
  </si>
  <si>
    <t>Kontrollübersicht (keine Berechnungsfunktion)</t>
  </si>
  <si>
    <t>Windstärke</t>
  </si>
  <si>
    <t>(Beaufort)</t>
  </si>
  <si>
    <t>Eingabe im Protokoll</t>
  </si>
  <si>
    <t>Ausgabe ans Protokoll</t>
  </si>
  <si>
    <t>Suchvektor</t>
  </si>
  <si>
    <t>Ausgabevektor</t>
  </si>
  <si>
    <t>zu hoch</t>
  </si>
  <si>
    <t>Windgeschwindigkeit</t>
  </si>
  <si>
    <t>Windgeschwindigkeit in Windstärke (Beaufort) umwandeln</t>
  </si>
  <si>
    <t>Windgeschw. Anemometer mit Faktor 2 multiplizieren:</t>
  </si>
  <si>
    <t>Windgeschw.</t>
  </si>
  <si>
    <t>Zuordnung BlowerDoor zu Druckaufnehmer mit Fehlern</t>
  </si>
  <si>
    <r>
      <t>D</t>
    </r>
    <r>
      <rPr>
        <b/>
        <sz val="10"/>
        <rFont val="Arial"/>
        <family val="2"/>
      </rPr>
      <t>p</t>
    </r>
    <r>
      <rPr>
        <b/>
        <vertAlign val="subscript"/>
        <sz val="10"/>
        <rFont val="Arial"/>
        <family val="2"/>
      </rPr>
      <t>01+</t>
    </r>
  </si>
  <si>
    <r>
      <t>D</t>
    </r>
    <r>
      <rPr>
        <b/>
        <sz val="10"/>
        <rFont val="Arial"/>
        <family val="2"/>
      </rPr>
      <t>p</t>
    </r>
    <r>
      <rPr>
        <b/>
        <vertAlign val="subscript"/>
        <sz val="10"/>
        <rFont val="Arial"/>
        <family val="2"/>
      </rPr>
      <t>01-</t>
    </r>
  </si>
  <si>
    <r>
      <t>D</t>
    </r>
    <r>
      <rPr>
        <b/>
        <sz val="10"/>
        <rFont val="Arial"/>
        <family val="2"/>
      </rPr>
      <t>p</t>
    </r>
    <r>
      <rPr>
        <b/>
        <vertAlign val="subscript"/>
        <sz val="10"/>
        <rFont val="Arial"/>
        <family val="2"/>
      </rPr>
      <t>02+</t>
    </r>
  </si>
  <si>
    <r>
      <t>D</t>
    </r>
    <r>
      <rPr>
        <b/>
        <sz val="10"/>
        <rFont val="Arial"/>
        <family val="2"/>
      </rPr>
      <t>p</t>
    </r>
    <r>
      <rPr>
        <b/>
        <vertAlign val="subscript"/>
        <sz val="10"/>
        <rFont val="Arial"/>
        <family val="2"/>
      </rPr>
      <t>02-</t>
    </r>
  </si>
  <si>
    <t>Messunsicher.</t>
  </si>
  <si>
    <t>1 Referenzdruckmessstelle</t>
  </si>
  <si>
    <t>4 Referenzdruckmessstellen</t>
  </si>
  <si>
    <t>Zusätz. Messfehler infolge Wind</t>
  </si>
  <si>
    <t>Windeinfluss</t>
  </si>
  <si>
    <t>Zuordnung der BlowerDoor Modelle entsprechend Übergabewerten APT-Blatt</t>
  </si>
  <si>
    <t>Blendenzuordung aus Übergabewerten APT-Blatt</t>
  </si>
  <si>
    <t>Vorschriftenzuordung</t>
  </si>
  <si>
    <t>EnEV</t>
  </si>
  <si>
    <t>Text ob Grenzwert eingehalten wird oder nicht</t>
  </si>
  <si>
    <t>Vergleich der einzelnen Grenzwerte mit den Ergebnissen</t>
  </si>
  <si>
    <t>w50</t>
  </si>
  <si>
    <t>q50</t>
  </si>
  <si>
    <r>
      <t>D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01+</t>
    </r>
  </si>
  <si>
    <r>
      <t>D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02+</t>
    </r>
  </si>
  <si>
    <r>
      <t>D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02-</t>
    </r>
  </si>
  <si>
    <r>
      <t>D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01-</t>
    </r>
  </si>
  <si>
    <r>
      <t>1</t>
    </r>
    <r>
      <rPr>
        <sz val="14"/>
        <rFont val="Arial"/>
        <family val="2"/>
      </rPr>
      <t>/</t>
    </r>
    <r>
      <rPr>
        <vertAlign val="subscript"/>
        <sz val="14"/>
        <rFont val="Arial"/>
        <family val="2"/>
      </rPr>
      <t>2</t>
    </r>
    <r>
      <rPr>
        <sz val="14"/>
        <rFont val="Arial"/>
        <family val="2"/>
      </rPr>
      <t>*(e</t>
    </r>
    <r>
      <rPr>
        <vertAlign val="superscript"/>
        <sz val="14"/>
        <rFont val="Arial"/>
        <family val="2"/>
      </rPr>
      <t>Iy ln(</t>
    </r>
    <r>
      <rPr>
        <vertAlign val="superscript"/>
        <sz val="14"/>
        <rFont val="Symbol"/>
        <family val="1"/>
        <charset val="2"/>
      </rPr>
      <t>D</t>
    </r>
    <r>
      <rPr>
        <vertAlign val="superscript"/>
        <sz val="14"/>
        <rFont val="Arial"/>
        <family val="2"/>
      </rPr>
      <t>p)</t>
    </r>
    <r>
      <rPr>
        <sz val="14"/>
        <rFont val="Arial"/>
        <family val="2"/>
      </rPr>
      <t>-e</t>
    </r>
    <r>
      <rPr>
        <vertAlign val="superscript"/>
        <sz val="14"/>
        <rFont val="Arial"/>
        <family val="2"/>
      </rPr>
      <t>-Iy ln(</t>
    </r>
    <r>
      <rPr>
        <vertAlign val="superscript"/>
        <sz val="14"/>
        <rFont val="Symbol"/>
        <family val="1"/>
        <charset val="2"/>
      </rPr>
      <t>D</t>
    </r>
    <r>
      <rPr>
        <vertAlign val="superscript"/>
        <sz val="14"/>
        <rFont val="Arial"/>
        <family val="2"/>
      </rPr>
      <t>p)</t>
    </r>
    <r>
      <rPr>
        <sz val="14"/>
        <rFont val="Arial"/>
        <family val="2"/>
      </rPr>
      <t>)</t>
    </r>
  </si>
  <si>
    <t>Kontrolle</t>
  </si>
  <si>
    <t>Fehler</t>
  </si>
  <si>
    <t>DIN 4108 - 7</t>
  </si>
  <si>
    <t>Modell</t>
  </si>
  <si>
    <t>Fehler Druckmessung</t>
  </si>
  <si>
    <r>
      <t>D</t>
    </r>
    <r>
      <rPr>
        <b/>
        <sz val="10"/>
        <rFont val="Arial"/>
        <family val="2"/>
      </rPr>
      <t xml:space="preserve">p </t>
    </r>
    <r>
      <rPr>
        <b/>
        <vertAlign val="subscript"/>
        <sz val="10"/>
        <rFont val="Arial"/>
        <family val="2"/>
      </rPr>
      <t>01</t>
    </r>
    <r>
      <rPr>
        <b/>
        <sz val="10"/>
        <rFont val="Arial"/>
        <family val="2"/>
      </rPr>
      <t xml:space="preserve"> [Pa]</t>
    </r>
  </si>
  <si>
    <r>
      <t>D</t>
    </r>
    <r>
      <rPr>
        <b/>
        <sz val="10"/>
        <rFont val="Arial"/>
        <family val="2"/>
      </rPr>
      <t xml:space="preserve">p </t>
    </r>
    <r>
      <rPr>
        <b/>
        <vertAlign val="subscript"/>
        <sz val="10"/>
        <rFont val="Arial"/>
        <family val="2"/>
      </rPr>
      <t xml:space="preserve">02 </t>
    </r>
    <r>
      <rPr>
        <b/>
        <sz val="10"/>
        <rFont val="Arial"/>
        <family val="2"/>
      </rPr>
      <t xml:space="preserve"> [Pa]</t>
    </r>
  </si>
  <si>
    <r>
      <t>D</t>
    </r>
    <r>
      <rPr>
        <b/>
        <sz val="10"/>
        <rFont val="Arial"/>
        <family val="2"/>
      </rPr>
      <t xml:space="preserve">p </t>
    </r>
    <r>
      <rPr>
        <b/>
        <vertAlign val="subscript"/>
        <sz val="10"/>
        <rFont val="Arial"/>
        <family val="2"/>
      </rPr>
      <t>02</t>
    </r>
    <r>
      <rPr>
        <b/>
        <sz val="10"/>
        <rFont val="Arial"/>
        <family val="2"/>
      </rPr>
      <t xml:space="preserve"> [Pa]</t>
    </r>
  </si>
  <si>
    <r>
      <t>Standardbedingungen :</t>
    </r>
    <r>
      <rPr>
        <b/>
        <sz val="8"/>
        <rFont val="Arial"/>
        <family val="2"/>
      </rPr>
      <t xml:space="preserve"> (20°C, 1013 hPa)</t>
    </r>
    <r>
      <rPr>
        <b/>
        <sz val="14"/>
        <rFont val="Arial"/>
        <family val="2"/>
      </rPr>
      <t xml:space="preserve"> </t>
    </r>
  </si>
  <si>
    <t>Übernahme der Daten von APT    Programm: TECTITE</t>
  </si>
  <si>
    <t>&lt; 0,45</t>
  </si>
  <si>
    <t>Zuordnugstabellen für Messfehler infolge Wind (Berechnungsinhalte)</t>
  </si>
  <si>
    <t>Lüftungsanlage vorhanden?</t>
  </si>
  <si>
    <t>Luftdruck (Standard oder ermittelt)</t>
  </si>
  <si>
    <t>(Standard):</t>
  </si>
  <si>
    <t>(barometr.):</t>
  </si>
  <si>
    <t>(geograph.):</t>
  </si>
  <si>
    <t>Alternative 1:</t>
  </si>
  <si>
    <t>Alternative 2:</t>
  </si>
  <si>
    <t>(geogra.):</t>
  </si>
  <si>
    <t>Copyright BlowerDoor GmbH</t>
  </si>
  <si>
    <t>Business_Name_Line2:</t>
  </si>
  <si>
    <t>TECTITE_Express_Version:</t>
  </si>
  <si>
    <t>Flow_Units:</t>
  </si>
  <si>
    <t>Device_Type:</t>
  </si>
  <si>
    <t>Pr#0_LoRange_Calibration:</t>
  </si>
  <si>
    <t>Pr#0_HiRange_Calibration:</t>
  </si>
  <si>
    <t>Pr#1_LoRange_Calibration:</t>
  </si>
  <si>
    <t>Pr#1_HiRange_Calibration:</t>
  </si>
  <si>
    <t>Pr#2_LoRange_Calibration:</t>
  </si>
  <si>
    <t>Pr#2_HiRange_Calibration:</t>
  </si>
  <si>
    <t>Pr#3_LoRange_Calibration:</t>
  </si>
  <si>
    <t>Pr#3_HiRange_Calibration:</t>
  </si>
  <si>
    <t>Pr#4_LoRange_Calibration:</t>
  </si>
  <si>
    <t>Pr#4_HiRange_Calibration:</t>
  </si>
  <si>
    <t>Pr#5_LoRange_Calibration:</t>
  </si>
  <si>
    <t>Pr#5_HiRange_Calibration:</t>
  </si>
  <si>
    <t>Pr#6_LoRange_Calibration:</t>
  </si>
  <si>
    <t>Pr#6_HiRange_Calibration:</t>
  </si>
  <si>
    <t>Pr#7_LoRange_Calibration:</t>
  </si>
  <si>
    <t>Pr#7_HiRange_Calibration:</t>
  </si>
  <si>
    <t>Building:</t>
  </si>
  <si>
    <t>Year_of_Construction:</t>
  </si>
  <si>
    <t>Name_Line2:</t>
  </si>
  <si>
    <t>Percent_Uncertainty_In_Measured_Dimensions:</t>
  </si>
  <si>
    <t>Type_of_Test_Method:</t>
  </si>
  <si>
    <t>Regulation_complied_with:</t>
  </si>
  <si>
    <t>Type_of_ Heating:</t>
  </si>
  <si>
    <t>Type_of_Air_Conditioning:</t>
  </si>
  <si>
    <t>Type_of_Ventilation:</t>
  </si>
  <si>
    <t>Type_Of_Ventilation_Selection:</t>
  </si>
  <si>
    <t>Barometric_Pressure_Source:</t>
  </si>
  <si>
    <t>Barometric_Pressure:</t>
  </si>
  <si>
    <t>Altitude:</t>
  </si>
  <si>
    <t>Wind_Class:</t>
  </si>
  <si>
    <t>Building_Wind_Exposure:</t>
  </si>
  <si>
    <t>Baseline_Data_Source:</t>
  </si>
  <si>
    <t>Fan_Start_Percent:</t>
  </si>
  <si>
    <t>Natürliche Druckdifferenzen Unterdruck</t>
  </si>
  <si>
    <t>Natürliche Druckdifferenzen Überdruck</t>
  </si>
  <si>
    <t>Ergebnisse</t>
  </si>
  <si>
    <t>Daten (+)</t>
  </si>
  <si>
    <t>Daten (-)</t>
  </si>
  <si>
    <t>Minneapolis BlowerDoor Modell 4, APT</t>
  </si>
  <si>
    <t>Minneapolis BlowerDoor Modell 3, APT</t>
  </si>
  <si>
    <t>Minneapolis Duct Blaster Modell B, APT</t>
  </si>
  <si>
    <t>Minneapolis BlowerDoor Modell 4, DG-3E</t>
  </si>
  <si>
    <t>Minneapolis BlowerDoor Modell 3, DG-3E</t>
  </si>
  <si>
    <t>Minneapolis Duct Blaster Modell B, DG-3E</t>
  </si>
  <si>
    <t>Minneapolis BlowerDoor Modell 4, DG-700</t>
  </si>
  <si>
    <t>Minneapolis BlowerDoor Modell 3, DG-700</t>
  </si>
  <si>
    <t>Minneapolis Duct Blaster Modell B, DG-700</t>
  </si>
  <si>
    <t>Gerätetyp:</t>
  </si>
  <si>
    <t>BD Modell:</t>
  </si>
  <si>
    <t>Duct Blaster B - Tectite Express</t>
  </si>
  <si>
    <t>Code</t>
  </si>
  <si>
    <t>Wertung</t>
  </si>
  <si>
    <t>Norm aus Auto-Messung</t>
  </si>
  <si>
    <t>aus File:</t>
  </si>
  <si>
    <t>Vor der Messung (automatische Messung)</t>
  </si>
  <si>
    <t>Nach der Messung (automatische Messung)</t>
  </si>
  <si>
    <t>Vor der Messung (manuell mit Endergebnissen)</t>
  </si>
  <si>
    <t>Nach der Messung (manuell mit Endergebnissen)</t>
  </si>
  <si>
    <t>Pretest_Baseline_Average</t>
  </si>
  <si>
    <t>Pretest_Baseline_Plus</t>
  </si>
  <si>
    <t>Pretest_Baseline_Minus</t>
  </si>
  <si>
    <t>Posttest_Baseline_Average</t>
  </si>
  <si>
    <t>Posttest_Baseline_Plus</t>
  </si>
  <si>
    <t>Posttest_Baseline_Minus</t>
  </si>
  <si>
    <t>Pretest_Baseline_One_Second_Averages_For_Test_1</t>
  </si>
  <si>
    <t>Posttest_Baseline_One_Second_Averages_For_Test_1</t>
  </si>
  <si>
    <t>Baseline_Plus_Minus_for_Test_1</t>
  </si>
  <si>
    <t>Minneapolis BlowerDoor Modell 4 - Tectite Express</t>
  </si>
  <si>
    <t>Minneapolis BlowerDoor Modell 3 - Tectite Express</t>
  </si>
  <si>
    <t>***</t>
  </si>
  <si>
    <t>BlowerDoor Test</t>
  </si>
  <si>
    <t>Building Test Info and Air-Moving Equipment</t>
  </si>
  <si>
    <t>Building Information</t>
  </si>
  <si>
    <t>Customer Information</t>
  </si>
  <si>
    <t>Year of Construction:</t>
  </si>
  <si>
    <t>Test Date:</t>
  </si>
  <si>
    <t>Business Info</t>
  </si>
  <si>
    <t>Test Method</t>
  </si>
  <si>
    <t>Method:</t>
  </si>
  <si>
    <t>Standard:</t>
  </si>
  <si>
    <t>Note:</t>
  </si>
  <si>
    <t>Test of a building in use</t>
  </si>
  <si>
    <t>Test of the building envelope</t>
  </si>
  <si>
    <t>Following EN 13829</t>
  </si>
  <si>
    <t>Following EN 13829 with deviations</t>
  </si>
  <si>
    <t>Test object:</t>
  </si>
  <si>
    <t>Internal Volume V:</t>
  </si>
  <si>
    <t>Error:</t>
  </si>
  <si>
    <t>Calculation Reference Values:</t>
  </si>
  <si>
    <t>Type of</t>
  </si>
  <si>
    <t>Ventilation:</t>
  </si>
  <si>
    <t xml:space="preserve">Type of </t>
  </si>
  <si>
    <t>Heating System:</t>
  </si>
  <si>
    <t>Air Conditioning:</t>
  </si>
  <si>
    <t>Yes</t>
  </si>
  <si>
    <t>Air-moving Equipment</t>
  </si>
  <si>
    <t>Device:</t>
  </si>
  <si>
    <t>Other Devices:</t>
  </si>
  <si>
    <t>Serial Numbers:</t>
  </si>
  <si>
    <t>Fan:</t>
  </si>
  <si>
    <t>Pressure Gauge:</t>
  </si>
  <si>
    <t>Calibration:</t>
  </si>
  <si>
    <t>select</t>
  </si>
  <si>
    <t>Minneapolis BlowerDoor Modell 4, Magnehelic Gauges</t>
  </si>
  <si>
    <t>Minneapolis BlowerDoor Modell 3, Magnehelic Gauges</t>
  </si>
  <si>
    <t>Minneapolis Duct Blaster Modell B, Magnehelic Gauges</t>
  </si>
  <si>
    <t>Next Page:</t>
  </si>
  <si>
    <t>Object:</t>
  </si>
  <si>
    <t>Date:</t>
  </si>
  <si>
    <t>Temperature and Wind Conditions</t>
  </si>
  <si>
    <t>Inside Temperature:</t>
  </si>
  <si>
    <t>Outside Temperature:</t>
  </si>
  <si>
    <t>Barometric Pressure:</t>
  </si>
  <si>
    <t>Barometric Pressure</t>
  </si>
  <si>
    <t>Standard (EN 13829)</t>
  </si>
  <si>
    <t>Standard</t>
  </si>
  <si>
    <t>+/-</t>
  </si>
  <si>
    <t>Uncorrected Barometric Pressure</t>
  </si>
  <si>
    <t>[m] above sea level.</t>
  </si>
  <si>
    <t>(measured):</t>
  </si>
  <si>
    <t>(These errors are a suggestion from the FLiB)</t>
  </si>
  <si>
    <t>Wind Force:</t>
  </si>
  <si>
    <t>Number of exterior pressure taps:</t>
  </si>
  <si>
    <t>Building Wind Exposure:</t>
  </si>
  <si>
    <t>Uncertainty because of Wind (Table Geißler):</t>
  </si>
  <si>
    <t>Zero Flow</t>
  </si>
  <si>
    <t>(baseline)</t>
  </si>
  <si>
    <t>Ring</t>
  </si>
  <si>
    <t>Tolerance</t>
  </si>
  <si>
    <t>Correlation Coefficient r:</t>
  </si>
  <si>
    <t>Confidence interval</t>
  </si>
  <si>
    <t>Results</t>
  </si>
  <si>
    <t>Uncertainty</t>
  </si>
  <si>
    <t>Depressurization</t>
  </si>
  <si>
    <t>Pressurization</t>
  </si>
  <si>
    <t>Average</t>
  </si>
  <si>
    <t>Date, Sign</t>
  </si>
  <si>
    <t>Stamp</t>
  </si>
  <si>
    <t>Previous Page:</t>
  </si>
  <si>
    <t>(Air Flow)</t>
  </si>
  <si>
    <t>Regression line</t>
  </si>
  <si>
    <t>Air Flow Rate at 50 Pa</t>
  </si>
  <si>
    <t>pressure</t>
  </si>
  <si>
    <t xml:space="preserve">Comments </t>
  </si>
  <si>
    <t>Zero-Flow (Baseline) and Accuracy</t>
  </si>
  <si>
    <t>Reading</t>
  </si>
  <si>
    <t>Zero Flow Pressure Difference</t>
  </si>
  <si>
    <t>At the Beginning</t>
  </si>
  <si>
    <t>At the End</t>
  </si>
  <si>
    <t>Average of the positive and negative Values of Zero Flow Pressure Difference</t>
  </si>
  <si>
    <t>Average of all Values of Zero Flow Pressure Difference</t>
  </si>
  <si>
    <t>Accuracy (Proposal Germany: FLiB-Supplement 11/2001)</t>
  </si>
  <si>
    <t>Name</t>
  </si>
  <si>
    <t>Description</t>
  </si>
  <si>
    <t>Accuracy of the device to measure airflow rate</t>
  </si>
  <si>
    <t>Accuracy building pressure</t>
  </si>
  <si>
    <t>Uncertainty because of wind</t>
  </si>
  <si>
    <t>Uncertainty barometric pressure (standard or measured)</t>
  </si>
  <si>
    <t>Uncertainty leaving out a depressurazition or pressurazition</t>
  </si>
  <si>
    <t>Uncertainty reference values</t>
  </si>
  <si>
    <t>Random error of the airflow rate</t>
  </si>
  <si>
    <t>only info</t>
  </si>
  <si>
    <t>Certificate</t>
  </si>
  <si>
    <t>Manual Data Entry</t>
  </si>
  <si>
    <t>Sets of Measurement</t>
  </si>
  <si>
    <t>Select</t>
  </si>
  <si>
    <t>Check Input:</t>
  </si>
  <si>
    <t>Page 1</t>
  </si>
  <si>
    <t>Page 2</t>
  </si>
  <si>
    <t>Input of pressure difference sequence measurements, expression of results,</t>
  </si>
  <si>
    <t>display of reference values, derived quantity according to national regulation (filled by the user)</t>
  </si>
  <si>
    <t>Annex A</t>
  </si>
  <si>
    <t>Annex B</t>
  </si>
  <si>
    <t>Annex C</t>
  </si>
  <si>
    <t>Baseline</t>
  </si>
  <si>
    <t>INFORMATION</t>
  </si>
  <si>
    <t>0,45 to 1,34</t>
  </si>
  <si>
    <t>1,8 to 3,1</t>
  </si>
  <si>
    <t>3,6 to 5,4</t>
  </si>
  <si>
    <t>5,8 to 8</t>
  </si>
  <si>
    <t>8,5 to 10,7</t>
  </si>
  <si>
    <t>Summary</t>
  </si>
  <si>
    <t>Business Info:</t>
  </si>
  <si>
    <t>Barometric Pressure according to height</t>
  </si>
  <si>
    <t>Leaving out a depressurization or a pressurization</t>
  </si>
  <si>
    <t>Leaving out a depressurization or a pressurization test</t>
  </si>
  <si>
    <t>None</t>
  </si>
  <si>
    <t>The test results meet the regulation.</t>
  </si>
  <si>
    <t>The test results do not meet the regulation.</t>
  </si>
  <si>
    <t>BlowerDoor GmbH</t>
  </si>
  <si>
    <t>Germany</t>
  </si>
  <si>
    <t>Regulation complied with:</t>
  </si>
  <si>
    <t>Maximum allowable:</t>
  </si>
  <si>
    <t>about the BlowerDoor Test</t>
  </si>
  <si>
    <t>Air change rate (n50) at 50 Pascal</t>
  </si>
  <si>
    <t>Specific leakage rate (w50) at 50 Pascal</t>
  </si>
  <si>
    <t>Air permeability (q50) at 50 Pascal</t>
  </si>
  <si>
    <t>according to EN 13829, Method A</t>
  </si>
  <si>
    <t>according to EN 13829, Method B</t>
  </si>
  <si>
    <t>according to EN 13829</t>
  </si>
  <si>
    <t>1/h</t>
  </si>
  <si>
    <t>Energie- und Umweltzentrum 1</t>
  </si>
  <si>
    <t>Depressurisation</t>
  </si>
  <si>
    <t>Pressurisation</t>
  </si>
  <si>
    <t>Read data from an automated test with TECTITE Express (.bld file)</t>
  </si>
  <si>
    <t>Tel: 0049-5044-975-40</t>
  </si>
  <si>
    <t>Fax: 0049-5044-975-44</t>
  </si>
  <si>
    <t>D-31832 Springe</t>
  </si>
  <si>
    <t>Additional Information you will find in "Comments".</t>
  </si>
  <si>
    <t>START</t>
  </si>
  <si>
    <t>Start</t>
  </si>
  <si>
    <t>Deutsch</t>
  </si>
  <si>
    <t>English</t>
  </si>
  <si>
    <t>CERTIFICATE</t>
  </si>
  <si>
    <t>EN 13829</t>
  </si>
  <si>
    <t>BUILDING INFO</t>
  </si>
  <si>
    <t>EN - Standard</t>
  </si>
  <si>
    <t>Net Floor Area AF:</t>
  </si>
  <si>
    <t>Envelope Area AE:</t>
  </si>
  <si>
    <t>TEST_DATA</t>
  </si>
  <si>
    <t>Pressure</t>
  </si>
  <si>
    <t>Vr</t>
  </si>
  <si>
    <t>Building</t>
  </si>
  <si>
    <t>Fan</t>
  </si>
  <si>
    <t>Fan Flow</t>
  </si>
  <si>
    <t>Input for Regulation</t>
  </si>
  <si>
    <t>Input</t>
  </si>
  <si>
    <t>Note: The result does not exclude faults in the construction.</t>
  </si>
  <si>
    <t>BASELINE</t>
  </si>
  <si>
    <t>COMMENTS</t>
  </si>
  <si>
    <t>BlowerDoor Air Leakage Graph</t>
  </si>
  <si>
    <t xml:space="preserve">Building Pressure Difference </t>
  </si>
  <si>
    <t>Air Flow Rate Venv</t>
  </si>
  <si>
    <t xml:space="preserve">  [m³/h]</t>
  </si>
  <si>
    <t>DS / Graph</t>
  </si>
  <si>
    <t>Anforderung nach:</t>
  </si>
  <si>
    <t>(Außen)Referenzmessstellen:</t>
  </si>
  <si>
    <t>French</t>
  </si>
  <si>
    <t>DEBUT</t>
  </si>
  <si>
    <t>Lire les données d'un test automatisé avec TECTITE Express (.bld file)</t>
  </si>
  <si>
    <t>Dépressurisation</t>
  </si>
  <si>
    <t>Resumé</t>
  </si>
  <si>
    <t>Vérifier entrée :</t>
  </si>
  <si>
    <t xml:space="preserve">Entrée manuelle de données </t>
  </si>
  <si>
    <t>CERTIFICAT</t>
  </si>
  <si>
    <t>Certificat</t>
  </si>
  <si>
    <t>concernant le test d'étanchéité à l'air</t>
  </si>
  <si>
    <t>Projet :</t>
  </si>
  <si>
    <t>Date du test :</t>
  </si>
  <si>
    <t>choisir</t>
  </si>
  <si>
    <t>Taux de renouvellement d'air (n50) à 50 Pascal</t>
  </si>
  <si>
    <t>Taux de fuite spécifique (w50) à 50 Pascal</t>
  </si>
  <si>
    <t>conformément à la norme EN 13829, méthode A</t>
  </si>
  <si>
    <t>conformément à la norme EN 13829, méthode B</t>
  </si>
  <si>
    <t>conformément à la norme EN 13829</t>
  </si>
  <si>
    <t>Conformément à la réglementation</t>
  </si>
  <si>
    <t>INFORMATIONS SUR LE BATIMENT</t>
  </si>
  <si>
    <t>Test d'étanchéité à l'air</t>
  </si>
  <si>
    <t>Informations sur le bâtiment testé et les équipements nécessaires</t>
  </si>
  <si>
    <t>Informations sur le bâtiment</t>
  </si>
  <si>
    <t>Bâtiment :</t>
  </si>
  <si>
    <t>Adresse :</t>
  </si>
  <si>
    <t>Année de construction :</t>
  </si>
  <si>
    <t xml:space="preserve">Date du test : </t>
  </si>
  <si>
    <t>Informations sur le client</t>
  </si>
  <si>
    <t xml:space="preserve">Nom : </t>
  </si>
  <si>
    <t xml:space="preserve">Adresse : </t>
  </si>
  <si>
    <t xml:space="preserve">Téléphone : </t>
  </si>
  <si>
    <t>Fax :</t>
  </si>
  <si>
    <t>Informations sur le prestataire</t>
  </si>
  <si>
    <t>Nom :</t>
  </si>
  <si>
    <t>Téléphone</t>
  </si>
  <si>
    <t xml:space="preserve">Fax : </t>
  </si>
  <si>
    <t>Méthode de test</t>
  </si>
  <si>
    <t>Méthode :</t>
  </si>
  <si>
    <t>Test effectué pendant l'utilisation du bâtiment</t>
  </si>
  <si>
    <t>Test de l'enveloppe</t>
  </si>
  <si>
    <t>Norme :</t>
  </si>
  <si>
    <t>Choisir</t>
  </si>
  <si>
    <t>selon EN 13829</t>
  </si>
  <si>
    <t>selon EN 13829 avec déviations</t>
  </si>
  <si>
    <t xml:space="preserve">Note : </t>
  </si>
  <si>
    <t>Projet testé:</t>
  </si>
  <si>
    <t>Volume intérieur V:</t>
  </si>
  <si>
    <t>Surface de plancher nette AF:</t>
  </si>
  <si>
    <t>Erreur:</t>
  </si>
  <si>
    <t>Valeurs de référence pour le calcul :</t>
  </si>
  <si>
    <t>Type de</t>
  </si>
  <si>
    <t>Ventilation :</t>
  </si>
  <si>
    <t>Chauffage :</t>
  </si>
  <si>
    <t>Climatisation :</t>
  </si>
  <si>
    <t>Oui</t>
  </si>
  <si>
    <t>Aucun</t>
  </si>
  <si>
    <t>Pour plus d'informations voir "Commentaires"</t>
  </si>
  <si>
    <t>Equipement de mesure de la vitesse de l'air</t>
  </si>
  <si>
    <t>Type d'équipement :</t>
  </si>
  <si>
    <t>Numéro de série :</t>
  </si>
  <si>
    <t>Ventilateur :</t>
  </si>
  <si>
    <t>Jauge de pression</t>
  </si>
  <si>
    <t>Calibration</t>
  </si>
  <si>
    <t>Autres types d'équipement :</t>
  </si>
  <si>
    <t>Page suivante :</t>
  </si>
  <si>
    <t>DONNEES DU TEST</t>
  </si>
  <si>
    <t>Technicien :</t>
  </si>
  <si>
    <t>Date :</t>
  </si>
  <si>
    <t>Température et conditions de vent</t>
  </si>
  <si>
    <t>Pression barométrique</t>
  </si>
  <si>
    <t>(Norme) :</t>
  </si>
  <si>
    <t>Force de vent :</t>
  </si>
  <si>
    <t>Nombre de tuyaux de pression extérieur :</t>
  </si>
  <si>
    <t>Incertitude due au vent (tableau Geißler):</t>
  </si>
  <si>
    <t>Flux zéro</t>
  </si>
  <si>
    <t>(valeur de référence)</t>
  </si>
  <si>
    <t xml:space="preserve">Anneau </t>
  </si>
  <si>
    <t>Bâtiment</t>
  </si>
  <si>
    <t>Pression</t>
  </si>
  <si>
    <t>Ventilateur</t>
  </si>
  <si>
    <t>Flux du ventilateur</t>
  </si>
  <si>
    <t>Tolérance</t>
  </si>
  <si>
    <t>Coefficient de corrélation r :</t>
  </si>
  <si>
    <t>Intervalle de confiance</t>
  </si>
  <si>
    <t>Incertitude</t>
  </si>
  <si>
    <t>Moyenne</t>
  </si>
  <si>
    <t>Entrée</t>
  </si>
  <si>
    <t>Les résultats du test sont conformes à la réglementation</t>
  </si>
  <si>
    <t>Les résultats du test ne sont pas conformes à la réglementation</t>
  </si>
  <si>
    <t>A noter : Le résultat n'exclut pas des erreurs de mise en œuvre</t>
  </si>
  <si>
    <t>Prestataire :</t>
  </si>
  <si>
    <t>Date, signature</t>
  </si>
  <si>
    <t>Tampon</t>
  </si>
  <si>
    <t>Page précedente :</t>
  </si>
  <si>
    <t>BASELIINE</t>
  </si>
  <si>
    <t>Flux zéro (valeur de référence) et précision</t>
  </si>
  <si>
    <t>Valeur mesurée</t>
  </si>
  <si>
    <t>Différence de pression du flux zéro</t>
  </si>
  <si>
    <t>Au début</t>
  </si>
  <si>
    <t>A la fin</t>
  </si>
  <si>
    <t>Moyenne des valeurs positives et négatives relativement à la pression du flux zéro</t>
  </si>
  <si>
    <t>Moyenne de toutes les valeurs de la différence de pression du flux zéro</t>
  </si>
  <si>
    <t>Valeur de référence</t>
  </si>
  <si>
    <t>Note :</t>
  </si>
  <si>
    <t>Précision (Proposal Germany: FLiB-Supplément 11/2001)</t>
  </si>
  <si>
    <t>Nom</t>
  </si>
  <si>
    <t>Descriptif</t>
  </si>
  <si>
    <t>Précision du matériel de mesure du taux de renouvellement d'air</t>
  </si>
  <si>
    <t xml:space="preserve">Précision sur la pression du bâtiment </t>
  </si>
  <si>
    <t>Incertitude due au vent</t>
  </si>
  <si>
    <t xml:space="preserve">Incertitude de la pression baromètrique </t>
  </si>
  <si>
    <t>Incertitude sur les points de mesure de depressurisation et pressurisation</t>
  </si>
  <si>
    <t>Incertitude sur les valeurs de référence</t>
  </si>
  <si>
    <t>pour information</t>
  </si>
  <si>
    <t>Erreur aléatoire sur le débit d'air</t>
  </si>
  <si>
    <t xml:space="preserve">Page suivante : </t>
  </si>
  <si>
    <t>COMMENTAIRES</t>
  </si>
  <si>
    <t>Commentaires</t>
  </si>
  <si>
    <t>DS/ GRAPHE</t>
  </si>
  <si>
    <t>(Flux d'air)</t>
  </si>
  <si>
    <t>Droite de régression</t>
  </si>
  <si>
    <t>Débit d'air à 50 Pa</t>
  </si>
  <si>
    <t xml:space="preserve">Graphe des fuites d'air </t>
  </si>
  <si>
    <t>Fuite d'air par l'enveloppe Venv</t>
  </si>
  <si>
    <t>Différence de pression du bâtiment</t>
  </si>
  <si>
    <t>Alternativ 1:</t>
  </si>
  <si>
    <t>(m) altitude du site</t>
  </si>
  <si>
    <t>(Altitude):</t>
  </si>
  <si>
    <t>(mesuré):</t>
  </si>
  <si>
    <t>(Recommandation: www.flib.de)</t>
  </si>
  <si>
    <t>Batiment_Info</t>
  </si>
  <si>
    <t>Donnees_Test</t>
  </si>
  <si>
    <t>Graphe</t>
  </si>
  <si>
    <t>Limit:</t>
  </si>
  <si>
    <t xml:space="preserve">Résultat de la perméabilité à l'air du bâtiment </t>
  </si>
  <si>
    <t>Bureau d'Etudes</t>
  </si>
  <si>
    <t>pour TECTITE Express version 3.6</t>
  </si>
  <si>
    <t>Perméabilité à l'air (Q4) à 4 Pascal</t>
  </si>
  <si>
    <t>AIDE</t>
  </si>
  <si>
    <t>Mode d'emploi de cette feuille de calcul Excel</t>
  </si>
  <si>
    <t>Enregistrer</t>
  </si>
  <si>
    <t>Pour enregistrer le fichier de données sous un nouveau nom:</t>
  </si>
  <si>
    <t>Menu: Fichier / enregristrer sous</t>
  </si>
  <si>
    <t>Entrer le nom désiré, par exemple Object XYZ, et taper "OK"</t>
  </si>
  <si>
    <t>à la fin de l'entrée des données, enregistrer le fichier une seconde fois</t>
  </si>
  <si>
    <t>Menu: Fichier / enregristrer</t>
  </si>
  <si>
    <t>Entrée des Données</t>
  </si>
  <si>
    <t>Ce fichier Excel contient différentes feuilles de calcul (Enter_Data, Building_Info, Test_Data, etc).</t>
  </si>
  <si>
    <t>à la fin de chaque feuille de calcul, vous trouverez un bouton</t>
  </si>
  <si>
    <t>pour accéder à la page suivante</t>
  </si>
  <si>
    <t>Exemple:</t>
  </si>
  <si>
    <t>Imprimer les feuilles:</t>
  </si>
  <si>
    <t>Pour imprimer chaque feuille de calcul:</t>
  </si>
  <si>
    <t>1. Sélectionnez la feuilel que vous désirez imprimer</t>
  </si>
  <si>
    <t>2. Selectionnez dans le Menu: Fichier / Imprimer</t>
  </si>
  <si>
    <t>3. Répétez les deux premières étapes pour toutes les feuilles à imprimer</t>
  </si>
  <si>
    <t>Définition des couleurs des champs</t>
  </si>
  <si>
    <t xml:space="preserve">Saisie des données à l'intérieur des champs blancs, </t>
  </si>
  <si>
    <t>Les champs bleus concernent les valeurs par défaut et le texte.</t>
  </si>
  <si>
    <t>En double-cliquant, vous accèderez aux paramètres par défaut.</t>
  </si>
  <si>
    <t>Sélectionnez un des paramètres en cliquant sur celui-ci.</t>
  </si>
  <si>
    <t>Sinon, cliquez sur la flèche.</t>
  </si>
  <si>
    <t>les Champs blancs contenant "***" sont des équations ou des formaules.</t>
  </si>
  <si>
    <t>Vous pouvez saisir vos propres valeurs, si celles suggérées ne vous conviennent pas.</t>
  </si>
  <si>
    <t xml:space="preserve">Attention: si vous saisissez vos propres formules, vous effacerez les formules originales. </t>
  </si>
  <si>
    <t xml:space="preserve">Les champs avec un triangle rouge contiennent les commentaires. </t>
  </si>
  <si>
    <t>Vous pourrez directement voir les commentaires en positionnant le curseur à l'aide de la souris</t>
  </si>
  <si>
    <t xml:space="preserve"> sur le champ, sans cliquer.</t>
  </si>
  <si>
    <t>Cliquer sur le bouton " Importer "bld"-Fichier " sur la feuile "Debut" et choisissez le fichier  .bld-file</t>
  </si>
  <si>
    <t>En cliquant sur le bouton à la fin de la feuille de calcul vous accèderez à la page suivante.</t>
  </si>
  <si>
    <t>(Imprimer les feuilles dans l'ordre du sommaire, voir ci-dessous)</t>
  </si>
  <si>
    <t>Sommaire</t>
  </si>
  <si>
    <t>Pour le rapport d'essais, imrimez toutes ces pages</t>
  </si>
  <si>
    <t xml:space="preserve">Indiquez toutes les informations permettatn d'identifier l'objet de l'essai, les conditions de l'essai (méthode A ou B), </t>
  </si>
  <si>
    <t xml:space="preserve">la référence à la norme EN 13829 et toute modification au protocole opératoire, l'instrumentation et techniques </t>
  </si>
  <si>
    <t>de métrologie employées.</t>
  </si>
  <si>
    <t>Graphique des Débits de Fuite</t>
  </si>
  <si>
    <t xml:space="preserve">Représente les débits de fuite à travers l'enveloppe en fonction des  différences de pression correspondantes, </t>
  </si>
  <si>
    <t>sur un graphe à l'échelle log-log, dans les modes de pressurisation et de dépressurisation.</t>
  </si>
  <si>
    <t xml:space="preserve">Pour indiquer  l'état des ouvertures sur l'enveloppe du bâtiment, description détaillée des ouvertures temporairement </t>
  </si>
  <si>
    <t>confinées, le cas échéant et identification de l'ouverture ayant servi de support à la BlowerDoor</t>
  </si>
  <si>
    <t>Entrée de la pression différentielle à débit nul; expression des résutats moyennés</t>
  </si>
  <si>
    <t>Estimation des incertitudes.</t>
  </si>
  <si>
    <t>Rappel des résultats au regard de la réglementation nationale</t>
  </si>
  <si>
    <t>vous pouvez concevoir cette feuille selon vos propres souhaits (la feuille de calcul n'est pas protégée).</t>
  </si>
  <si>
    <t>Force du vent</t>
  </si>
  <si>
    <t>[échelle de</t>
  </si>
  <si>
    <t>Beaufort]</t>
  </si>
  <si>
    <t>Vitesse du Vent</t>
  </si>
  <si>
    <t>Calme</t>
  </si>
  <si>
    <t>très légère brise</t>
  </si>
  <si>
    <t>legère brise</t>
  </si>
  <si>
    <t>Petite brise</t>
  </si>
  <si>
    <t>Jolie brise</t>
  </si>
  <si>
    <t>Vent frais</t>
  </si>
  <si>
    <t>Calme, la fumée s'élève verticalement</t>
  </si>
  <si>
    <t>La direction du vent est révélée par la direction de la fumée, mais non par les girouettes</t>
  </si>
  <si>
    <t>Le vent est perçu au visage; les feuilles frémissent, une girouette ordinaire est mise en mouvement</t>
  </si>
  <si>
    <t>feuilles et petites branches constamment agitées; le vent déploie les drapeaux légers</t>
  </si>
  <si>
    <t>le vent soulève poussières et papiers ; les petites branches sont agitées</t>
  </si>
  <si>
    <t>les arbustes en feuilles commence à se balancer ; de petites vagues avec crête se forment sur les eaux intérieures</t>
  </si>
  <si>
    <t xml:space="preserve">Si la vitesse du vent excède 6 m/s ou atteint 3 sur l'échelle de Beaufort, il est peu probable qu'une mesure satisfaisante </t>
  </si>
  <si>
    <t>de pression différentielle à débit nul soit obtenue ("baseline building pressure", voir 5.3.3 de la norme ISO EN 13829)</t>
  </si>
  <si>
    <t>Informations Complémentaires</t>
  </si>
  <si>
    <t>NF EN 13829</t>
  </si>
  <si>
    <t>Average:</t>
  </si>
  <si>
    <t>Moyenne :</t>
  </si>
  <si>
    <t>Warning! This file is from an older TECTITE Express version!</t>
  </si>
  <si>
    <t>Check the test report, please.</t>
  </si>
  <si>
    <t>Attention !</t>
  </si>
  <si>
    <t>Attention ! TECTITE Express Version:</t>
  </si>
  <si>
    <t>Merci de vérifier avec attention le rapport d'essai</t>
  </si>
  <si>
    <t>Surface de l'enveloppe A(TBat):</t>
  </si>
  <si>
    <t>Surface de l'enveloppe A(Tbat):</t>
  </si>
  <si>
    <t>Points de Mesures</t>
  </si>
  <si>
    <t>= Anzahl Messwerte</t>
  </si>
  <si>
    <r>
      <t>S</t>
    </r>
    <r>
      <rPr>
        <vertAlign val="subscript"/>
        <sz val="10"/>
        <rFont val="Arial"/>
        <family val="2"/>
      </rPr>
      <t>y(ln(50))</t>
    </r>
    <r>
      <rPr>
        <sz val="10"/>
        <rFont val="Arial"/>
        <family val="2"/>
      </rPr>
      <t xml:space="preserve"> =</t>
    </r>
  </si>
  <si>
    <r>
      <t>S</t>
    </r>
    <r>
      <rPr>
        <vertAlign val="subscript"/>
        <sz val="10"/>
        <rFont val="Arial"/>
        <family val="2"/>
      </rPr>
      <t>y(ln(4))</t>
    </r>
    <r>
      <rPr>
        <sz val="10"/>
        <rFont val="Arial"/>
        <family val="2"/>
      </rPr>
      <t xml:space="preserve"> =</t>
    </r>
  </si>
  <si>
    <r>
      <t>I</t>
    </r>
    <r>
      <rPr>
        <vertAlign val="subscript"/>
        <sz val="10"/>
        <rFont val="Arial"/>
        <family val="2"/>
      </rPr>
      <t>y(ln(50))</t>
    </r>
    <r>
      <rPr>
        <sz val="10"/>
        <rFont val="Arial"/>
        <family val="2"/>
      </rPr>
      <t xml:space="preserve"> =</t>
    </r>
  </si>
  <si>
    <r>
      <t>I</t>
    </r>
    <r>
      <rPr>
        <vertAlign val="subscript"/>
        <sz val="10"/>
        <rFont val="Arial"/>
        <family val="2"/>
      </rPr>
      <t>y(ln(4))</t>
    </r>
    <r>
      <rPr>
        <sz val="10"/>
        <rFont val="Arial"/>
        <family val="2"/>
      </rPr>
      <t xml:space="preserve"> =</t>
    </r>
  </si>
  <si>
    <t>T(P, N-2) =</t>
  </si>
  <si>
    <r>
      <t>S</t>
    </r>
    <r>
      <rPr>
        <vertAlign val="subscript"/>
        <sz val="10"/>
        <rFont val="Arial"/>
        <family val="2"/>
      </rPr>
      <t>n</t>
    </r>
    <r>
      <rPr>
        <sz val="10"/>
        <rFont val="Arial"/>
        <family val="2"/>
      </rPr>
      <t xml:space="preserve"> =</t>
    </r>
  </si>
  <si>
    <r>
      <t>S</t>
    </r>
    <r>
      <rPr>
        <vertAlign val="subscript"/>
        <sz val="10"/>
        <rFont val="Arial"/>
        <family val="2"/>
      </rPr>
      <t>ln(C)</t>
    </r>
    <r>
      <rPr>
        <sz val="10"/>
        <rFont val="Arial"/>
        <family val="2"/>
      </rPr>
      <t xml:space="preserve"> =</t>
    </r>
  </si>
  <si>
    <r>
      <t>I</t>
    </r>
    <r>
      <rPr>
        <vertAlign val="subscript"/>
        <sz val="10"/>
        <rFont val="Arial"/>
        <family val="2"/>
      </rPr>
      <t>n</t>
    </r>
    <r>
      <rPr>
        <sz val="10"/>
        <rFont val="Arial"/>
        <family val="2"/>
      </rPr>
      <t xml:space="preserve"> =</t>
    </r>
  </si>
  <si>
    <r>
      <t>I</t>
    </r>
    <r>
      <rPr>
        <vertAlign val="subscript"/>
        <sz val="10"/>
        <rFont val="Arial"/>
        <family val="2"/>
      </rPr>
      <t>ln(C)</t>
    </r>
    <r>
      <rPr>
        <sz val="10"/>
        <rFont val="Arial"/>
        <family val="2"/>
      </rPr>
      <t xml:space="preserve"> =</t>
    </r>
  </si>
  <si>
    <t>n =</t>
  </si>
  <si>
    <t>Cenv =</t>
  </si>
  <si>
    <r>
      <t>C</t>
    </r>
    <r>
      <rPr>
        <b/>
        <vertAlign val="subscript"/>
        <sz val="10"/>
        <rFont val="Arial"/>
        <family val="2"/>
      </rPr>
      <t xml:space="preserve">L </t>
    </r>
    <r>
      <rPr>
        <b/>
        <sz val="10"/>
        <rFont val="Arial"/>
        <family val="2"/>
      </rPr>
      <t>=</t>
    </r>
  </si>
  <si>
    <t>Corrélation =</t>
  </si>
  <si>
    <t>Q50 =</t>
  </si>
  <si>
    <t>n50 =</t>
  </si>
  <si>
    <t>Q4 =</t>
  </si>
  <si>
    <t>Q4Pa_surf =</t>
  </si>
  <si>
    <t>Cenv :</t>
  </si>
  <si>
    <t>n :</t>
  </si>
  <si>
    <r>
      <t>C</t>
    </r>
    <r>
      <rPr>
        <b/>
        <vertAlign val="subscript"/>
        <sz val="10"/>
        <rFont val="Arial"/>
        <family val="2"/>
      </rPr>
      <t xml:space="preserve">L </t>
    </r>
    <r>
      <rPr>
        <b/>
        <sz val="10"/>
        <rFont val="Arial"/>
        <family val="2"/>
      </rPr>
      <t>:</t>
    </r>
  </si>
  <si>
    <t>Q50 :</t>
  </si>
  <si>
    <t>n50 :</t>
  </si>
  <si>
    <t>Q4 :</t>
  </si>
  <si>
    <t>Q4Pa_surf :</t>
  </si>
  <si>
    <t>Kalibrierdaten der verschiedenen BlowerDoor Modelle (Stand 2007) AUS TTE 3.6 (am 4.8.2010) übernommen</t>
  </si>
  <si>
    <t xml:space="preserve">open </t>
  </si>
  <si>
    <t>min</t>
  </si>
  <si>
    <t>max</t>
  </si>
  <si>
    <t>incertitude n50 =</t>
  </si>
  <si>
    <t>tx d'erreur =</t>
  </si>
  <si>
    <t>incertitude n4 =</t>
  </si>
  <si>
    <t>Frankreich UNTERDRUCK</t>
  </si>
  <si>
    <t>Frankreich ÜBERDRUCK</t>
  </si>
  <si>
    <t>m³/(m²h)</t>
  </si>
  <si>
    <t>Q4Pa lowest uncertainty</t>
  </si>
  <si>
    <t>Depressure</t>
  </si>
  <si>
    <t>V50 (dep, pres, average)</t>
  </si>
  <si>
    <t>Þ</t>
  </si>
  <si>
    <t>V50 and n50 uncertainty</t>
  </si>
  <si>
    <t>uncertainty V50 dep</t>
  </si>
  <si>
    <t>uncertainty V50 pres</t>
  </si>
  <si>
    <t>uncertainty n50 pres</t>
  </si>
  <si>
    <t>uncertainty n50 dep</t>
  </si>
  <si>
    <t>V50</t>
  </si>
  <si>
    <r>
      <t>V</t>
    </r>
    <r>
      <rPr>
        <b/>
        <vertAlign val="subscript"/>
        <sz val="11"/>
        <rFont val="Arial"/>
        <family val="2"/>
      </rPr>
      <t>50</t>
    </r>
  </si>
  <si>
    <r>
      <t>n</t>
    </r>
    <r>
      <rPr>
        <b/>
        <vertAlign val="subscript"/>
        <sz val="11"/>
        <rFont val="Arial"/>
        <family val="2"/>
      </rPr>
      <t>50</t>
    </r>
  </si>
  <si>
    <r>
      <t>Q</t>
    </r>
    <r>
      <rPr>
        <b/>
        <vertAlign val="subscript"/>
        <sz val="11"/>
        <rFont val="Arial"/>
        <family val="2"/>
      </rPr>
      <t>4Pa_surf</t>
    </r>
  </si>
  <si>
    <r>
      <t>C</t>
    </r>
    <r>
      <rPr>
        <vertAlign val="subscript"/>
        <sz val="10"/>
        <rFont val="Arial"/>
        <family val="2"/>
      </rPr>
      <t>env</t>
    </r>
    <r>
      <rPr>
        <sz val="10"/>
        <rFont val="Arial"/>
        <family val="2"/>
      </rPr>
      <t xml:space="preserve"> =</t>
    </r>
  </si>
  <si>
    <r>
      <t>m³/(h Pa</t>
    </r>
    <r>
      <rPr>
        <vertAlign val="superscript"/>
        <sz val="10"/>
        <rFont val="Arial"/>
        <family val="2"/>
      </rPr>
      <t>n</t>
    </r>
    <r>
      <rPr>
        <sz val="10"/>
        <rFont val="Arial"/>
        <family val="2"/>
      </rPr>
      <t>)</t>
    </r>
  </si>
  <si>
    <r>
      <t>C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=</t>
    </r>
  </si>
  <si>
    <r>
      <t>V</t>
    </r>
    <r>
      <rPr>
        <b/>
        <vertAlign val="subscript"/>
        <sz val="10"/>
        <rFont val="Arial"/>
        <family val="2"/>
      </rPr>
      <t>50</t>
    </r>
    <r>
      <rPr>
        <b/>
        <sz val="10"/>
        <rFont val="Arial"/>
        <family val="2"/>
      </rPr>
      <t xml:space="preserve"> =</t>
    </r>
  </si>
  <si>
    <r>
      <t>n</t>
    </r>
    <r>
      <rPr>
        <b/>
        <vertAlign val="subscript"/>
        <sz val="10"/>
        <rFont val="Arial"/>
        <family val="2"/>
      </rPr>
      <t>50</t>
    </r>
    <r>
      <rPr>
        <b/>
        <sz val="10"/>
        <rFont val="Arial"/>
        <family val="2"/>
      </rPr>
      <t xml:space="preserve"> =</t>
    </r>
  </si>
  <si>
    <r>
      <t>V</t>
    </r>
    <r>
      <rPr>
        <b/>
        <vertAlign val="subscript"/>
        <sz val="10"/>
        <rFont val="Arial"/>
        <family val="2"/>
      </rPr>
      <t>4</t>
    </r>
    <r>
      <rPr>
        <b/>
        <sz val="10"/>
        <rFont val="Arial"/>
        <family val="2"/>
      </rPr>
      <t xml:space="preserve"> =</t>
    </r>
  </si>
  <si>
    <r>
      <t>Q</t>
    </r>
    <r>
      <rPr>
        <b/>
        <vertAlign val="subscript"/>
        <sz val="10"/>
        <rFont val="Arial"/>
        <family val="2"/>
      </rPr>
      <t>4Pa_surf</t>
    </r>
    <r>
      <rPr>
        <b/>
        <sz val="10"/>
        <rFont val="Arial"/>
        <family val="2"/>
      </rPr>
      <t xml:space="preserve"> =</t>
    </r>
  </si>
  <si>
    <t>Température intérieure :</t>
  </si>
  <si>
    <t>Température extérieure :</t>
  </si>
  <si>
    <t>Pression barométrique :</t>
  </si>
  <si>
    <t>Exposition du bâtiment au vent :</t>
  </si>
  <si>
    <t xml:space="preserve">1) A -  Bâtiment très protégé;  B -  Bâtiment partiellement exposé;  C - Bâtiment  hautement exposé </t>
  </si>
  <si>
    <t xml:space="preserve">Maximum admissible : </t>
  </si>
  <si>
    <t xml:space="preserve">Conformément à la réglementation : </t>
  </si>
  <si>
    <t>Kennwerte</t>
  </si>
  <si>
    <r>
      <t>Q</t>
    </r>
    <r>
      <rPr>
        <b/>
        <vertAlign val="subscript"/>
        <sz val="11"/>
        <color indexed="12"/>
        <rFont val="Arial"/>
        <family val="2"/>
      </rPr>
      <t>4Pa-surf</t>
    </r>
    <r>
      <rPr>
        <b/>
        <sz val="11"/>
        <color indexed="12"/>
        <rFont val="Arial"/>
        <family val="2"/>
      </rPr>
      <t xml:space="preserve"> ≤</t>
    </r>
  </si>
  <si>
    <r>
      <t>n</t>
    </r>
    <r>
      <rPr>
        <b/>
        <vertAlign val="subscript"/>
        <sz val="11"/>
        <color indexed="12"/>
        <rFont val="Arial"/>
        <family val="2"/>
      </rPr>
      <t>50</t>
    </r>
    <r>
      <rPr>
        <b/>
        <sz val="11"/>
        <color indexed="12"/>
        <rFont val="Arial"/>
        <family val="2"/>
      </rPr>
      <t xml:space="preserve"> ≤</t>
    </r>
  </si>
  <si>
    <r>
      <t>V</t>
    </r>
    <r>
      <rPr>
        <b/>
        <vertAlign val="subscript"/>
        <sz val="11"/>
        <color indexed="12"/>
        <rFont val="Arial"/>
        <family val="2"/>
      </rPr>
      <t>50</t>
    </r>
    <r>
      <rPr>
        <b/>
        <sz val="11"/>
        <color indexed="12"/>
        <rFont val="Arial"/>
        <family val="2"/>
      </rPr>
      <t xml:space="preserve"> ≤</t>
    </r>
  </si>
  <si>
    <t xml:space="preserve">  </t>
  </si>
  <si>
    <t>Très légère brise</t>
  </si>
  <si>
    <t>Légère brise</t>
  </si>
  <si>
    <t>Bonne brise</t>
  </si>
  <si>
    <t xml:space="preserve">Pression barométrique </t>
  </si>
  <si>
    <t>Protection forte</t>
  </si>
  <si>
    <t>Protection normale</t>
  </si>
  <si>
    <t>Aucune protection</t>
  </si>
  <si>
    <t>&gt; 6</t>
  </si>
  <si>
    <t>Force du vent (échelle de Beaufort) :</t>
  </si>
  <si>
    <r>
      <t>V</t>
    </r>
    <r>
      <rPr>
        <b/>
        <vertAlign val="subscript"/>
        <sz val="12"/>
        <rFont val="Arial"/>
        <family val="2"/>
      </rPr>
      <t>50</t>
    </r>
    <r>
      <rPr>
        <b/>
        <sz val="12"/>
        <rFont val="Arial"/>
        <family val="2"/>
      </rPr>
      <t xml:space="preserve"> =</t>
    </r>
  </si>
  <si>
    <r>
      <t>n</t>
    </r>
    <r>
      <rPr>
        <b/>
        <vertAlign val="subscript"/>
        <sz val="12"/>
        <rFont val="Arial"/>
        <family val="2"/>
      </rPr>
      <t>50</t>
    </r>
    <r>
      <rPr>
        <b/>
        <sz val="12"/>
        <rFont val="Arial"/>
        <family val="2"/>
      </rPr>
      <t xml:space="preserve"> =</t>
    </r>
  </si>
  <si>
    <r>
      <t>Q</t>
    </r>
    <r>
      <rPr>
        <b/>
        <vertAlign val="subscript"/>
        <sz val="12"/>
        <rFont val="Arial"/>
        <family val="2"/>
      </rPr>
      <t>4Pa-surf</t>
    </r>
    <r>
      <rPr>
        <b/>
        <sz val="12"/>
        <rFont val="Arial"/>
        <family val="2"/>
      </rPr>
      <t xml:space="preserve"> =</t>
    </r>
  </si>
  <si>
    <t>Rapport</t>
  </si>
  <si>
    <t>Résultat</t>
  </si>
  <si>
    <t>Objet</t>
  </si>
  <si>
    <t xml:space="preserve">Test Réalisé le : </t>
  </si>
  <si>
    <t xml:space="preserve">Adresse Bât. : </t>
  </si>
  <si>
    <t xml:space="preserve">Date : </t>
  </si>
  <si>
    <t xml:space="preserve">Technicien : </t>
  </si>
  <si>
    <r>
      <t>V</t>
    </r>
    <r>
      <rPr>
        <b/>
        <vertAlign val="subscript"/>
        <sz val="14"/>
        <rFont val="Arial"/>
        <family val="2"/>
      </rPr>
      <t xml:space="preserve">50 </t>
    </r>
    <r>
      <rPr>
        <b/>
        <sz val="14"/>
        <rFont val="Arial"/>
        <family val="2"/>
      </rPr>
      <t xml:space="preserve"> =</t>
    </r>
  </si>
  <si>
    <r>
      <t>n</t>
    </r>
    <r>
      <rPr>
        <b/>
        <vertAlign val="subscript"/>
        <sz val="14"/>
        <rFont val="Arial"/>
        <family val="2"/>
      </rPr>
      <t>50</t>
    </r>
    <r>
      <rPr>
        <b/>
        <sz val="14"/>
        <rFont val="Arial"/>
        <family val="2"/>
      </rPr>
      <t xml:space="preserve">  =</t>
    </r>
  </si>
  <si>
    <r>
      <t>Q</t>
    </r>
    <r>
      <rPr>
        <b/>
        <vertAlign val="subscript"/>
        <sz val="14"/>
        <rFont val="Arial"/>
        <family val="2"/>
      </rPr>
      <t xml:space="preserve">4Pa-surf </t>
    </r>
    <r>
      <rPr>
        <b/>
        <sz val="14"/>
        <rFont val="Arial"/>
        <family val="2"/>
      </rPr>
      <t xml:space="preserve"> =</t>
    </r>
  </si>
  <si>
    <t>Building High:</t>
  </si>
  <si>
    <t>Hauteur envelope :</t>
  </si>
  <si>
    <t>Eingabe</t>
  </si>
  <si>
    <r>
      <t xml:space="preserve">(Août 2010, </t>
    </r>
    <r>
      <rPr>
        <sz val="10"/>
        <color indexed="16"/>
        <rFont val="Symbol"/>
        <family val="1"/>
        <charset val="2"/>
      </rPr>
      <t>Ó</t>
    </r>
    <r>
      <rPr>
        <sz val="10"/>
        <color indexed="16"/>
        <rFont val="Arial"/>
        <family val="2"/>
      </rPr>
      <t xml:space="preserve"> BlowerDoor GmbH)</t>
    </r>
  </si>
  <si>
    <t>Minneapolis BlowerDoor -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</si>
</sst>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64" formatCode="_-* #,##0.00\ _D_M_-;\-* #,##0.00\ _D_M_-;_-* &quot;-&quot;??\ _D_M_-;_-@_-"/>
    <numFmt numFmtId="165" formatCode="[&gt;1]0.0;0.00"/>
    <numFmt numFmtId="166" formatCode="0.00000"/>
    <numFmt numFmtId="167" formatCode="0.000"/>
    <numFmt numFmtId="168" formatCode="0.0"/>
    <numFmt numFmtId="169" formatCode="0.0000"/>
    <numFmt numFmtId="170" formatCode="0.000000"/>
    <numFmt numFmtId="171" formatCode="0.0000000"/>
    <numFmt numFmtId="172" formatCode="0;[Red]0"/>
    <numFmt numFmtId="173" formatCode="#,##0.00000"/>
    <numFmt numFmtId="174" formatCode="0;\-0;"/>
    <numFmt numFmtId="175" formatCode="0&quot; m³&quot;;\-0&quot; m³&quot;;"/>
    <numFmt numFmtId="176" formatCode="0&quot; m²&quot;;\-0&quot; m²&quot;;"/>
    <numFmt numFmtId="177" formatCode="&quot;+/-&quot;\ 0\ &quot;%&quot;"/>
    <numFmt numFmtId="178" formatCode="&quot;+/-&quot;\ 0.0"/>
    <numFmt numFmtId="180" formatCode="0\ &quot;%&quot;"/>
    <numFmt numFmtId="181" formatCode="0.0&quot; Pa&quot;;\-0.0&quot; Pa&quot;;"/>
    <numFmt numFmtId="182" formatCode="&quot;+/-&quot;\ 0"/>
    <numFmt numFmtId="183" formatCode="0&quot; Pa&quot;;\-0&quot; Pa&quot;;"/>
    <numFmt numFmtId="184" formatCode="0\ \°\C;\-0\ \°\C"/>
    <numFmt numFmtId="185" formatCode="&quot;max. &quot;0"/>
    <numFmt numFmtId="186" formatCode="0\ &quot;Pa&quot;;\-0\ &quot;Pa&quot;;"/>
    <numFmt numFmtId="187" formatCode="&quot;Datum:   &quot;dd/mm/yy"/>
    <numFmt numFmtId="188" formatCode="&quot;max. &quot;0.00"/>
    <numFmt numFmtId="189" formatCode="&quot;min. &quot;0.00"/>
    <numFmt numFmtId="190" formatCode="0.0&quot; m&quot;;\-0.0&quot; m&quot;"/>
    <numFmt numFmtId="191" formatCode="0#&quot; &quot;##&quot; &quot;##&quot; &quot;##&quot; &quot;##"/>
    <numFmt numFmtId="192" formatCode="0.00000000"/>
    <numFmt numFmtId="193" formatCode="0\ &quot; m³/h&quot;"/>
    <numFmt numFmtId="194" formatCode="[&gt;1]0.0\ &quot; 1/h&quot;;0.00\ &quot; 1/h&quot;"/>
    <numFmt numFmtId="195" formatCode="0.0\ &quot;m&quot;"/>
  </numFmts>
  <fonts count="9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7"/>
      <name val="Arial"/>
      <family val="2"/>
    </font>
    <font>
      <sz val="14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6"/>
      <color indexed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sz val="12"/>
      <color indexed="8"/>
      <name val="Arial"/>
      <family val="2"/>
    </font>
    <font>
      <i/>
      <sz val="8"/>
      <name val="Arial"/>
      <family val="2"/>
    </font>
    <font>
      <b/>
      <i/>
      <sz val="32"/>
      <name val="Arial"/>
      <family val="2"/>
    </font>
    <font>
      <b/>
      <i/>
      <sz val="18"/>
      <name val="Arial"/>
      <family val="2"/>
    </font>
    <font>
      <sz val="9"/>
      <name val="Arial"/>
      <family val="2"/>
    </font>
    <font>
      <b/>
      <vertAlign val="subscript"/>
      <sz val="12"/>
      <name val="Arial"/>
      <family val="2"/>
    </font>
    <font>
      <sz val="2"/>
      <name val="Arial"/>
      <family val="2"/>
    </font>
    <font>
      <sz val="2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b/>
      <sz val="8"/>
      <name val="Symbol"/>
      <family val="1"/>
      <charset val="2"/>
    </font>
    <font>
      <b/>
      <sz val="8"/>
      <name val="Arial"/>
      <family val="2"/>
    </font>
    <font>
      <b/>
      <vertAlign val="subscript"/>
      <sz val="8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Symbol"/>
      <family val="1"/>
      <charset val="2"/>
    </font>
    <font>
      <b/>
      <sz val="9"/>
      <name val="Symbol"/>
      <family val="1"/>
      <charset val="2"/>
    </font>
    <font>
      <b/>
      <vertAlign val="subscript"/>
      <sz val="9"/>
      <name val="Arial"/>
      <family val="2"/>
    </font>
    <font>
      <sz val="10"/>
      <color indexed="22"/>
      <name val="Arial"/>
      <family val="2"/>
    </font>
    <font>
      <b/>
      <sz val="8"/>
      <color indexed="81"/>
      <name val="Tahoma"/>
      <family val="2"/>
    </font>
    <font>
      <sz val="10"/>
      <color indexed="12"/>
      <name val="Arial"/>
      <family val="2"/>
    </font>
    <font>
      <b/>
      <sz val="10"/>
      <name val="Symbol"/>
      <family val="1"/>
      <charset val="2"/>
    </font>
    <font>
      <sz val="8"/>
      <color indexed="81"/>
      <name val="Tahoma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vertAlign val="superscript"/>
      <sz val="14"/>
      <name val="Arial"/>
      <family val="2"/>
    </font>
    <font>
      <vertAlign val="superscript"/>
      <sz val="14"/>
      <name val="Symbol"/>
      <family val="1"/>
      <charset val="2"/>
    </font>
    <font>
      <vertAlign val="subscript"/>
      <sz val="14"/>
      <name val="Arial"/>
      <family val="2"/>
    </font>
    <font>
      <u/>
      <sz val="10"/>
      <color indexed="12"/>
      <name val="Arial"/>
      <family val="2"/>
    </font>
    <font>
      <sz val="22"/>
      <name val="Symbol"/>
      <family val="1"/>
      <charset val="2"/>
    </font>
    <font>
      <b/>
      <sz val="8"/>
      <color indexed="12"/>
      <name val="Tahoma"/>
      <family val="2"/>
    </font>
    <font>
      <u/>
      <sz val="10"/>
      <name val="Arial"/>
      <family val="2"/>
    </font>
    <font>
      <sz val="8"/>
      <color indexed="12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b/>
      <vertAlign val="subscript"/>
      <sz val="11"/>
      <name val="Arial"/>
      <family val="2"/>
    </font>
    <font>
      <sz val="9"/>
      <name val="Tahoma"/>
      <family val="2"/>
    </font>
    <font>
      <sz val="18"/>
      <color indexed="16"/>
      <name val="Arial"/>
      <family val="2"/>
    </font>
    <font>
      <sz val="12"/>
      <color indexed="16"/>
      <name val="Arial"/>
      <family val="2"/>
    </font>
    <font>
      <b/>
      <sz val="9"/>
      <color indexed="9"/>
      <name val="Arial"/>
      <family val="2"/>
    </font>
    <font>
      <sz val="10"/>
      <color indexed="16"/>
      <name val="Arial"/>
      <family val="2"/>
    </font>
    <font>
      <sz val="10"/>
      <color indexed="16"/>
      <name val="Symbol"/>
      <family val="1"/>
      <charset val="2"/>
    </font>
    <font>
      <b/>
      <sz val="10"/>
      <color indexed="12"/>
      <name val="Symbol"/>
      <family val="1"/>
      <charset val="2"/>
    </font>
    <font>
      <b/>
      <sz val="10"/>
      <color indexed="12"/>
      <name val="Tahoma"/>
      <family val="2"/>
    </font>
    <font>
      <b/>
      <vertAlign val="subscript"/>
      <sz val="10"/>
      <color indexed="12"/>
      <name val="Tahoma"/>
      <family val="2"/>
    </font>
    <font>
      <i/>
      <sz val="9"/>
      <name val="Arial"/>
      <family val="2"/>
    </font>
    <font>
      <sz val="10"/>
      <color indexed="11"/>
      <name val="Arial"/>
      <family val="2"/>
    </font>
    <font>
      <sz val="10"/>
      <color indexed="8"/>
      <name val="Arial"/>
      <family val="2"/>
    </font>
    <font>
      <sz val="11"/>
      <name val="Symbol"/>
      <family val="1"/>
      <charset val="2"/>
    </font>
    <font>
      <b/>
      <vertAlign val="subscript"/>
      <sz val="11"/>
      <color indexed="12"/>
      <name val="Arial"/>
      <family val="2"/>
    </font>
    <font>
      <b/>
      <sz val="11"/>
      <color indexed="12"/>
      <name val="Arial"/>
      <family val="2"/>
    </font>
    <font>
      <sz val="11"/>
      <color indexed="12"/>
      <name val="Arial"/>
      <family val="2"/>
    </font>
    <font>
      <b/>
      <vertAlign val="subscript"/>
      <sz val="14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3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  <xf numFmtId="0" fontId="86" fillId="0" borderId="0"/>
    <xf numFmtId="0" fontId="3" fillId="0" borderId="0"/>
    <xf numFmtId="0" fontId="1" fillId="0" borderId="0"/>
  </cellStyleXfs>
  <cellXfs count="937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right"/>
    </xf>
    <xf numFmtId="0" fontId="6" fillId="0" borderId="0" xfId="0" applyFont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13" xfId="0" applyBorder="1"/>
    <xf numFmtId="0" fontId="0" fillId="0" borderId="5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7" fillId="0" borderId="10" xfId="0" applyNumberFormat="1" applyFont="1" applyBorder="1" applyAlignment="1">
      <alignment horizontal="right"/>
    </xf>
    <xf numFmtId="0" fontId="0" fillId="0" borderId="16" xfId="0" applyBorder="1"/>
    <xf numFmtId="0" fontId="6" fillId="0" borderId="12" xfId="0" applyFont="1" applyBorder="1"/>
    <xf numFmtId="0" fontId="6" fillId="0" borderId="12" xfId="0" applyFont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10" fillId="0" borderId="12" xfId="0" applyFont="1" applyBorder="1" applyAlignment="1">
      <alignment horizontal="left"/>
    </xf>
    <xf numFmtId="0" fontId="0" fillId="0" borderId="0" xfId="0" applyFill="1"/>
    <xf numFmtId="0" fontId="2" fillId="0" borderId="0" xfId="0" applyFont="1" applyAlignment="1">
      <alignment horizontal="right"/>
    </xf>
    <xf numFmtId="0" fontId="12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9" fillId="0" borderId="2" xfId="0" applyFont="1" applyBorder="1"/>
    <xf numFmtId="0" fontId="14" fillId="0" borderId="0" xfId="0" applyFont="1" applyBorder="1" applyAlignment="1">
      <alignment horizontal="right"/>
    </xf>
    <xf numFmtId="1" fontId="4" fillId="2" borderId="17" xfId="0" applyNumberFormat="1" applyFont="1" applyFill="1" applyBorder="1" applyAlignment="1">
      <alignment vertical="center"/>
    </xf>
    <xf numFmtId="1" fontId="4" fillId="2" borderId="18" xfId="0" applyNumberFormat="1" applyFont="1" applyFill="1" applyBorder="1" applyAlignment="1">
      <alignment horizontal="center" vertical="center"/>
    </xf>
    <xf numFmtId="1" fontId="4" fillId="2" borderId="19" xfId="0" applyNumberFormat="1" applyFont="1" applyFill="1" applyBorder="1" applyAlignment="1">
      <alignment horizontal="center" vertical="center"/>
    </xf>
    <xf numFmtId="1" fontId="4" fillId="2" borderId="19" xfId="1" applyNumberFormat="1" applyFont="1" applyFill="1" applyBorder="1" applyAlignment="1">
      <alignment horizontal="left" vertical="center"/>
    </xf>
    <xf numFmtId="1" fontId="4" fillId="2" borderId="19" xfId="1" applyNumberFormat="1" applyFont="1" applyFill="1" applyBorder="1" applyAlignment="1">
      <alignment horizontal="center" vertical="center"/>
    </xf>
    <xf numFmtId="1" fontId="4" fillId="2" borderId="20" xfId="0" applyNumberFormat="1" applyFont="1" applyFill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" fontId="4" fillId="0" borderId="0" xfId="0" applyNumberFormat="1" applyFont="1" applyBorder="1"/>
    <xf numFmtId="1" fontId="4" fillId="2" borderId="21" xfId="0" applyNumberFormat="1" applyFont="1" applyFill="1" applyBorder="1" applyAlignment="1">
      <alignment vertical="center"/>
    </xf>
    <xf numFmtId="1" fontId="4" fillId="2" borderId="22" xfId="0" applyNumberFormat="1" applyFont="1" applyFill="1" applyBorder="1" applyAlignment="1">
      <alignment horizontal="center" vertical="center"/>
    </xf>
    <xf numFmtId="1" fontId="4" fillId="2" borderId="0" xfId="1" applyNumberFormat="1" applyFont="1" applyFill="1" applyBorder="1" applyAlignment="1">
      <alignment horizontal="center" vertical="center"/>
    </xf>
    <xf numFmtId="1" fontId="4" fillId="2" borderId="0" xfId="1" applyNumberFormat="1" applyFont="1" applyFill="1" applyBorder="1" applyAlignment="1">
      <alignment horizontal="left" vertical="center"/>
    </xf>
    <xf numFmtId="1" fontId="4" fillId="2" borderId="2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1" fontId="4" fillId="2" borderId="24" xfId="0" applyNumberFormat="1" applyFont="1" applyFill="1" applyBorder="1" applyAlignment="1">
      <alignment horizontal="center" vertical="center"/>
    </xf>
    <xf numFmtId="1" fontId="4" fillId="2" borderId="25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4" fillId="2" borderId="26" xfId="0" applyNumberFormat="1" applyFont="1" applyFill="1" applyBorder="1" applyAlignment="1">
      <alignment horizontal="center" vertical="center"/>
    </xf>
    <xf numFmtId="1" fontId="4" fillId="0" borderId="21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1" fontId="16" fillId="0" borderId="0" xfId="1" applyNumberFormat="1" applyFont="1" applyBorder="1" applyAlignment="1">
      <alignment horizontal="center" vertical="center"/>
    </xf>
    <xf numFmtId="1" fontId="4" fillId="0" borderId="23" xfId="1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1" applyNumberFormat="1" applyFont="1" applyBorder="1"/>
    <xf numFmtId="1" fontId="4" fillId="0" borderId="26" xfId="1" applyNumberFormat="1" applyFont="1" applyBorder="1" applyAlignment="1">
      <alignment horizontal="center" vertical="center"/>
    </xf>
    <xf numFmtId="172" fontId="4" fillId="2" borderId="0" xfId="0" applyNumberFormat="1" applyFont="1" applyFill="1" applyBorder="1" applyAlignment="1">
      <alignment horizontal="center" vertical="center"/>
    </xf>
    <xf numFmtId="172" fontId="4" fillId="2" borderId="1" xfId="0" applyNumberFormat="1" applyFont="1" applyFill="1" applyBorder="1" applyAlignment="1">
      <alignment horizontal="center" vertical="center"/>
    </xf>
    <xf numFmtId="168" fontId="4" fillId="0" borderId="2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8" fontId="17" fillId="0" borderId="0" xfId="0" applyNumberFormat="1" applyFont="1" applyAlignment="1">
      <alignment horizontal="center"/>
    </xf>
    <xf numFmtId="0" fontId="10" fillId="0" borderId="0" xfId="0" applyFont="1"/>
    <xf numFmtId="0" fontId="15" fillId="0" borderId="0" xfId="0" applyFont="1"/>
    <xf numFmtId="0" fontId="0" fillId="0" borderId="0" xfId="0" applyFill="1" applyProtection="1">
      <protection locked="0"/>
    </xf>
    <xf numFmtId="0" fontId="15" fillId="0" borderId="0" xfId="0" applyFont="1" applyBorder="1"/>
    <xf numFmtId="0" fontId="0" fillId="0" borderId="0" xfId="0" applyBorder="1" applyAlignment="1">
      <alignment horizontal="left"/>
    </xf>
    <xf numFmtId="0" fontId="27" fillId="0" borderId="0" xfId="0" applyFont="1" applyAlignment="1">
      <alignment horizontal="center"/>
    </xf>
    <xf numFmtId="2" fontId="18" fillId="0" borderId="0" xfId="0" applyNumberFormat="1" applyFont="1" applyBorder="1" applyAlignment="1">
      <alignment horizontal="center" vertical="center"/>
    </xf>
    <xf numFmtId="2" fontId="16" fillId="0" borderId="0" xfId="1" applyNumberFormat="1" applyFont="1" applyBorder="1" applyAlignment="1">
      <alignment horizontal="center" vertical="center"/>
    </xf>
    <xf numFmtId="2" fontId="0" fillId="0" borderId="0" xfId="0" applyNumberFormat="1" applyBorder="1"/>
    <xf numFmtId="2" fontId="16" fillId="0" borderId="0" xfId="0" applyNumberFormat="1" applyFont="1" applyBorder="1" applyAlignment="1">
      <alignment horizontal="center" vertical="center"/>
    </xf>
    <xf numFmtId="171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" fontId="0" fillId="0" borderId="8" xfId="0" applyNumberFormat="1" applyBorder="1" applyAlignment="1">
      <alignment horizontal="center"/>
    </xf>
    <xf numFmtId="166" fontId="0" fillId="0" borderId="0" xfId="0" applyNumberFormat="1"/>
    <xf numFmtId="0" fontId="0" fillId="3" borderId="0" xfId="0" applyFill="1"/>
    <xf numFmtId="173" fontId="0" fillId="3" borderId="0" xfId="0" applyNumberFormat="1" applyFill="1"/>
    <xf numFmtId="0" fontId="0" fillId="4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  <xf numFmtId="0" fontId="15" fillId="3" borderId="0" xfId="0" applyFont="1" applyFill="1"/>
    <xf numFmtId="166" fontId="15" fillId="3" borderId="0" xfId="0" applyNumberFormat="1" applyFont="1" applyFill="1"/>
    <xf numFmtId="166" fontId="0" fillId="3" borderId="0" xfId="0" applyNumberFormat="1" applyFill="1"/>
    <xf numFmtId="0" fontId="15" fillId="4" borderId="0" xfId="0" applyFont="1" applyFill="1"/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wrapText="1"/>
    </xf>
    <xf numFmtId="49" fontId="15" fillId="3" borderId="0" xfId="0" applyNumberFormat="1" applyFont="1" applyFill="1"/>
    <xf numFmtId="0" fontId="32" fillId="0" borderId="0" xfId="0" applyFont="1"/>
    <xf numFmtId="168" fontId="0" fillId="3" borderId="0" xfId="0" applyNumberFormat="1" applyFill="1"/>
    <xf numFmtId="0" fontId="32" fillId="0" borderId="0" xfId="0" applyFont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/>
    <xf numFmtId="0" fontId="38" fillId="0" borderId="0" xfId="0" applyFo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4" xfId="0" applyBorder="1" applyAlignment="1">
      <alignment horizontal="left"/>
    </xf>
    <xf numFmtId="0" fontId="0" fillId="0" borderId="5" xfId="0" applyBorder="1" applyAlignment="1">
      <alignment horizontal="right"/>
    </xf>
    <xf numFmtId="0" fontId="3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5" borderId="0" xfId="0" applyFill="1" applyBorder="1" applyProtection="1">
      <protection locked="0"/>
    </xf>
    <xf numFmtId="0" fontId="0" fillId="5" borderId="0" xfId="0" applyFill="1" applyBorder="1" applyAlignment="1" applyProtection="1">
      <alignment horizontal="right"/>
      <protection locked="0"/>
    </xf>
    <xf numFmtId="0" fontId="45" fillId="0" borderId="3" xfId="0" applyFont="1" applyBorder="1" applyAlignment="1">
      <alignment horizontal="center"/>
    </xf>
    <xf numFmtId="0" fontId="7" fillId="0" borderId="4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32" fillId="0" borderId="12" xfId="0" applyFont="1" applyBorder="1"/>
    <xf numFmtId="0" fontId="0" fillId="0" borderId="0" xfId="0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169" fontId="0" fillId="0" borderId="3" xfId="0" applyNumberFormat="1" applyBorder="1" applyAlignment="1">
      <alignment horizontal="right"/>
    </xf>
    <xf numFmtId="169" fontId="0" fillId="0" borderId="7" xfId="0" applyNumberFormat="1" applyBorder="1" applyAlignment="1">
      <alignment horizontal="right"/>
    </xf>
    <xf numFmtId="0" fontId="48" fillId="0" borderId="0" xfId="0" applyFont="1" applyAlignment="1">
      <alignment horizontal="right"/>
    </xf>
    <xf numFmtId="0" fontId="0" fillId="0" borderId="0" xfId="0" quotePrefix="1"/>
    <xf numFmtId="0" fontId="0" fillId="6" borderId="0" xfId="0" applyFill="1" applyAlignment="1">
      <alignment horizontal="center"/>
    </xf>
    <xf numFmtId="0" fontId="51" fillId="0" borderId="0" xfId="0" applyFont="1" applyAlignment="1">
      <alignment horizontal="center"/>
    </xf>
    <xf numFmtId="0" fontId="51" fillId="0" borderId="4" xfId="0" applyFont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4" xfId="0" quotePrefix="1" applyBorder="1" applyAlignment="1">
      <alignment horizontal="left"/>
    </xf>
    <xf numFmtId="0" fontId="0" fillId="0" borderId="0" xfId="0" quotePrefix="1" applyFill="1" applyAlignment="1">
      <alignment horizontal="left"/>
    </xf>
    <xf numFmtId="0" fontId="9" fillId="6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0" fillId="6" borderId="0" xfId="0" applyFill="1"/>
    <xf numFmtId="0" fontId="51" fillId="0" borderId="5" xfId="0" applyFont="1" applyBorder="1" applyAlignment="1">
      <alignment horizontal="center"/>
    </xf>
    <xf numFmtId="0" fontId="51" fillId="0" borderId="15" xfId="0" applyFont="1" applyBorder="1" applyAlignment="1">
      <alignment horizontal="center"/>
    </xf>
    <xf numFmtId="0" fontId="0" fillId="0" borderId="25" xfId="0" applyBorder="1"/>
    <xf numFmtId="0" fontId="32" fillId="0" borderId="0" xfId="0" applyFont="1" applyBorder="1" applyAlignment="1">
      <alignment horizontal="left"/>
    </xf>
    <xf numFmtId="0" fontId="32" fillId="2" borderId="16" xfId="0" applyFont="1" applyFill="1" applyBorder="1" applyAlignment="1">
      <alignment horizontal="center"/>
    </xf>
    <xf numFmtId="0" fontId="32" fillId="2" borderId="16" xfId="0" applyFont="1" applyFill="1" applyBorder="1" applyAlignment="1">
      <alignment horizontal="left"/>
    </xf>
    <xf numFmtId="0" fontId="32" fillId="2" borderId="16" xfId="0" applyFont="1" applyFill="1" applyBorder="1"/>
    <xf numFmtId="0" fontId="32" fillId="2" borderId="1" xfId="0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/>
    </xf>
    <xf numFmtId="0" fontId="32" fillId="2" borderId="28" xfId="0" applyFont="1" applyFill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0" fillId="0" borderId="16" xfId="0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left"/>
    </xf>
    <xf numFmtId="49" fontId="0" fillId="0" borderId="14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1" fontId="0" fillId="0" borderId="15" xfId="0" applyNumberFormat="1" applyBorder="1" applyAlignment="1">
      <alignment horizontal="center"/>
    </xf>
    <xf numFmtId="0" fontId="32" fillId="2" borderId="11" xfId="0" applyFont="1" applyFill="1" applyBorder="1" applyAlignment="1">
      <alignment horizontal="center"/>
    </xf>
    <xf numFmtId="0" fontId="32" fillId="2" borderId="13" xfId="0" applyFont="1" applyFill="1" applyBorder="1"/>
    <xf numFmtId="0" fontId="32" fillId="2" borderId="29" xfId="0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53" fillId="0" borderId="14" xfId="0" applyFont="1" applyBorder="1" applyAlignment="1">
      <alignment horizontal="center"/>
    </xf>
    <xf numFmtId="0" fontId="53" fillId="0" borderId="4" xfId="0" applyFont="1" applyBorder="1" applyAlignment="1">
      <alignment horizontal="center"/>
    </xf>
    <xf numFmtId="0" fontId="53" fillId="0" borderId="15" xfId="0" applyFont="1" applyBorder="1" applyAlignment="1">
      <alignment horizontal="center"/>
    </xf>
    <xf numFmtId="0" fontId="7" fillId="2" borderId="12" xfId="0" applyFont="1" applyFill="1" applyBorder="1"/>
    <xf numFmtId="0" fontId="7" fillId="2" borderId="16" xfId="0" applyFont="1" applyFill="1" applyBorder="1"/>
    <xf numFmtId="0" fontId="0" fillId="2" borderId="6" xfId="0" applyFill="1" applyBorder="1"/>
    <xf numFmtId="0" fontId="0" fillId="2" borderId="1" xfId="0" applyFill="1" applyBorder="1"/>
    <xf numFmtId="0" fontId="0" fillId="0" borderId="22" xfId="0" applyBorder="1"/>
    <xf numFmtId="0" fontId="0" fillId="0" borderId="26" xfId="0" applyBorder="1"/>
    <xf numFmtId="0" fontId="0" fillId="0" borderId="23" xfId="0" applyBorder="1"/>
    <xf numFmtId="0" fontId="0" fillId="0" borderId="0" xfId="0" applyFill="1" applyBorder="1" applyProtection="1"/>
    <xf numFmtId="0" fontId="0" fillId="6" borderId="3" xfId="0" applyFill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0" borderId="30" xfId="0" applyFill="1" applyBorder="1"/>
    <xf numFmtId="2" fontId="0" fillId="0" borderId="2" xfId="0" applyNumberFormat="1" applyBorder="1" applyAlignment="1">
      <alignment horizontal="right"/>
    </xf>
    <xf numFmtId="2" fontId="0" fillId="0" borderId="5" xfId="0" applyNumberFormat="1" applyBorder="1" applyAlignment="1">
      <alignment horizontal="right"/>
    </xf>
    <xf numFmtId="0" fontId="0" fillId="2" borderId="12" xfId="0" applyFill="1" applyBorder="1"/>
    <xf numFmtId="0" fontId="0" fillId="2" borderId="16" xfId="0" applyFill="1" applyBorder="1"/>
    <xf numFmtId="0" fontId="0" fillId="2" borderId="13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15" xfId="0" applyFill="1" applyBorder="1"/>
    <xf numFmtId="14" fontId="9" fillId="0" borderId="0" xfId="0" applyNumberFormat="1" applyFont="1"/>
    <xf numFmtId="0" fontId="58" fillId="0" borderId="3" xfId="0" applyFont="1" applyBorder="1"/>
    <xf numFmtId="0" fontId="0" fillId="6" borderId="7" xfId="0" applyFill="1" applyBorder="1"/>
    <xf numFmtId="0" fontId="0" fillId="0" borderId="18" xfId="0" applyBorder="1"/>
    <xf numFmtId="0" fontId="0" fillId="0" borderId="20" xfId="0" applyBorder="1"/>
    <xf numFmtId="0" fontId="0" fillId="0" borderId="18" xfId="0" applyBorder="1" applyAlignment="1">
      <alignment horizontal="right"/>
    </xf>
    <xf numFmtId="0" fontId="0" fillId="3" borderId="7" xfId="0" applyFill="1" applyBorder="1" applyAlignment="1">
      <alignment horizontal="center"/>
    </xf>
    <xf numFmtId="0" fontId="0" fillId="0" borderId="31" xfId="0" applyFill="1" applyBorder="1" applyProtection="1">
      <protection locked="0" hidden="1"/>
    </xf>
    <xf numFmtId="0" fontId="0" fillId="0" borderId="32" xfId="0" applyFill="1" applyBorder="1" applyProtection="1">
      <protection locked="0" hidden="1"/>
    </xf>
    <xf numFmtId="0" fontId="0" fillId="0" borderId="33" xfId="0" applyFill="1" applyBorder="1"/>
    <xf numFmtId="1" fontId="17" fillId="0" borderId="0" xfId="0" applyNumberFormat="1" applyFont="1" applyBorder="1" applyAlignment="1">
      <alignment horizontal="center" wrapText="1"/>
    </xf>
    <xf numFmtId="0" fontId="0" fillId="3" borderId="16" xfId="0" applyFill="1" applyBorder="1" applyAlignment="1">
      <alignment horizontal="center"/>
    </xf>
    <xf numFmtId="0" fontId="0" fillId="3" borderId="13" xfId="0" applyFill="1" applyBorder="1"/>
    <xf numFmtId="0" fontId="0" fillId="3" borderId="0" xfId="0" applyFill="1" applyBorder="1"/>
    <xf numFmtId="0" fontId="4" fillId="3" borderId="0" xfId="0" applyFont="1" applyFill="1"/>
    <xf numFmtId="0" fontId="19" fillId="3" borderId="0" xfId="0" applyFont="1" applyFill="1"/>
    <xf numFmtId="0" fontId="19" fillId="3" borderId="12" xfId="0" applyFont="1" applyFill="1" applyBorder="1" applyAlignment="1">
      <alignment horizontal="left"/>
    </xf>
    <xf numFmtId="0" fontId="46" fillId="0" borderId="0" xfId="0" applyFont="1" applyAlignment="1">
      <alignment horizontal="center"/>
    </xf>
    <xf numFmtId="0" fontId="46" fillId="0" borderId="4" xfId="0" applyFont="1" applyBorder="1" applyAlignment="1">
      <alignment horizontal="center"/>
    </xf>
    <xf numFmtId="0" fontId="0" fillId="0" borderId="0" xfId="0" applyFill="1" applyBorder="1" applyProtection="1">
      <protection locked="0" hidden="1"/>
    </xf>
    <xf numFmtId="0" fontId="0" fillId="0" borderId="34" xfId="0" applyFill="1" applyBorder="1" applyProtection="1"/>
    <xf numFmtId="0" fontId="15" fillId="0" borderId="30" xfId="0" applyFont="1" applyBorder="1"/>
    <xf numFmtId="0" fontId="29" fillId="0" borderId="30" xfId="0" applyFont="1" applyBorder="1"/>
    <xf numFmtId="0" fontId="30" fillId="0" borderId="30" xfId="0" applyFont="1" applyBorder="1" applyAlignment="1">
      <alignment horizontal="right"/>
    </xf>
    <xf numFmtId="0" fontId="30" fillId="0" borderId="30" xfId="0" applyFont="1" applyFill="1" applyBorder="1" applyProtection="1">
      <protection locked="0"/>
    </xf>
    <xf numFmtId="0" fontId="0" fillId="2" borderId="2" xfId="0" applyFill="1" applyBorder="1"/>
    <xf numFmtId="0" fontId="0" fillId="2" borderId="0" xfId="0" applyFill="1" applyBorder="1"/>
    <xf numFmtId="0" fontId="14" fillId="2" borderId="0" xfId="0" applyFont="1" applyFill="1" applyBorder="1"/>
    <xf numFmtId="0" fontId="15" fillId="2" borderId="0" xfId="0" applyFont="1" applyFill="1" applyBorder="1"/>
    <xf numFmtId="0" fontId="0" fillId="2" borderId="14" xfId="0" applyFill="1" applyBorder="1"/>
    <xf numFmtId="0" fontId="0" fillId="2" borderId="12" xfId="0" applyFill="1" applyBorder="1" applyProtection="1">
      <protection hidden="1"/>
    </xf>
    <xf numFmtId="0" fontId="0" fillId="2" borderId="16" xfId="0" applyFill="1" applyBorder="1" applyProtection="1">
      <protection hidden="1"/>
    </xf>
    <xf numFmtId="0" fontId="19" fillId="2" borderId="16" xfId="0" applyFont="1" applyFill="1" applyBorder="1" applyAlignment="1" applyProtection="1">
      <alignment horizontal="center"/>
      <protection hidden="1"/>
    </xf>
    <xf numFmtId="0" fontId="0" fillId="2" borderId="13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32" fillId="2" borderId="0" xfId="0" applyFont="1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37" fillId="2" borderId="0" xfId="0" applyFont="1" applyFill="1" applyBorder="1" applyProtection="1">
      <protection hidden="1"/>
    </xf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0" xfId="0" applyFill="1"/>
    <xf numFmtId="0" fontId="0" fillId="2" borderId="40" xfId="0" applyFill="1" applyBorder="1"/>
    <xf numFmtId="0" fontId="0" fillId="2" borderId="41" xfId="0" applyFill="1" applyBorder="1"/>
    <xf numFmtId="0" fontId="14" fillId="2" borderId="41" xfId="0" applyFont="1" applyFill="1" applyBorder="1"/>
    <xf numFmtId="0" fontId="0" fillId="2" borderId="42" xfId="0" applyFill="1" applyBorder="1"/>
    <xf numFmtId="0" fontId="32" fillId="2" borderId="0" xfId="0" applyFont="1" applyFill="1" applyBorder="1" applyAlignment="1">
      <alignment horizontal="right"/>
    </xf>
    <xf numFmtId="1" fontId="32" fillId="2" borderId="0" xfId="0" applyNumberFormat="1" applyFont="1" applyFill="1" applyBorder="1" applyAlignment="1">
      <alignment horizontal="center"/>
    </xf>
    <xf numFmtId="0" fontId="32" fillId="2" borderId="0" xfId="0" applyFont="1" applyFill="1" applyBorder="1"/>
    <xf numFmtId="174" fontId="0" fillId="0" borderId="31" xfId="0" applyNumberFormat="1" applyFill="1" applyBorder="1" applyAlignment="1" applyProtection="1">
      <alignment horizontal="left"/>
      <protection locked="0" hidden="1"/>
    </xf>
    <xf numFmtId="174" fontId="0" fillId="0" borderId="31" xfId="0" applyNumberFormat="1" applyFill="1" applyBorder="1" applyProtection="1">
      <protection locked="0" hidden="1"/>
    </xf>
    <xf numFmtId="174" fontId="0" fillId="0" borderId="32" xfId="0" applyNumberFormat="1" applyFill="1" applyBorder="1" applyProtection="1">
      <protection locked="0" hidden="1"/>
    </xf>
    <xf numFmtId="174" fontId="0" fillId="0" borderId="43" xfId="0" applyNumberFormat="1" applyFill="1" applyBorder="1" applyAlignment="1" applyProtection="1">
      <alignment horizontal="left"/>
      <protection locked="0" hidden="1"/>
    </xf>
    <xf numFmtId="174" fontId="0" fillId="0" borderId="43" xfId="0" applyNumberFormat="1" applyFill="1" applyBorder="1" applyProtection="1">
      <protection locked="0" hidden="1"/>
    </xf>
    <xf numFmtId="174" fontId="0" fillId="0" borderId="44" xfId="0" applyNumberFormat="1" applyFill="1" applyBorder="1" applyProtection="1">
      <protection locked="0" hidden="1"/>
    </xf>
    <xf numFmtId="174" fontId="0" fillId="0" borderId="45" xfId="0" applyNumberFormat="1" applyFill="1" applyBorder="1" applyAlignment="1" applyProtection="1">
      <alignment horizontal="left"/>
      <protection locked="0" hidden="1"/>
    </xf>
    <xf numFmtId="14" fontId="0" fillId="0" borderId="46" xfId="0" applyNumberFormat="1" applyFill="1" applyBorder="1" applyAlignment="1" applyProtection="1">
      <alignment horizontal="left"/>
      <protection locked="0" hidden="1"/>
    </xf>
    <xf numFmtId="0" fontId="0" fillId="0" borderId="43" xfId="0" applyFill="1" applyBorder="1" applyProtection="1">
      <protection locked="0" hidden="1"/>
    </xf>
    <xf numFmtId="0" fontId="0" fillId="0" borderId="44" xfId="0" applyFill="1" applyBorder="1" applyProtection="1">
      <protection locked="0" hidden="1"/>
    </xf>
    <xf numFmtId="174" fontId="0" fillId="0" borderId="47" xfId="0" applyNumberFormat="1" applyFill="1" applyBorder="1" applyAlignment="1" applyProtection="1">
      <alignment horizontal="left"/>
      <protection locked="0" hidden="1"/>
    </xf>
    <xf numFmtId="0" fontId="0" fillId="0" borderId="47" xfId="0" applyFill="1" applyBorder="1" applyProtection="1">
      <protection locked="0" hidden="1"/>
    </xf>
    <xf numFmtId="0" fontId="0" fillId="0" borderId="30" xfId="0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47" xfId="0" applyFill="1" applyBorder="1" applyProtection="1">
      <protection locked="0"/>
    </xf>
    <xf numFmtId="0" fontId="0" fillId="0" borderId="46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0" borderId="32" xfId="0" applyFill="1" applyBorder="1" applyProtection="1">
      <protection locked="0"/>
    </xf>
    <xf numFmtId="0" fontId="0" fillId="0" borderId="43" xfId="0" applyFill="1" applyBorder="1" applyProtection="1">
      <protection locked="0"/>
    </xf>
    <xf numFmtId="0" fontId="0" fillId="0" borderId="44" xfId="0" applyFill="1" applyBorder="1" applyProtection="1">
      <protection locked="0"/>
    </xf>
    <xf numFmtId="175" fontId="0" fillId="0" borderId="30" xfId="0" applyNumberFormat="1" applyFill="1" applyBorder="1" applyProtection="1">
      <protection locked="0" hidden="1"/>
    </xf>
    <xf numFmtId="176" fontId="0" fillId="0" borderId="30" xfId="0" applyNumberFormat="1" applyFill="1" applyBorder="1" applyProtection="1">
      <protection locked="0" hidden="1"/>
    </xf>
    <xf numFmtId="182" fontId="0" fillId="0" borderId="30" xfId="0" applyNumberFormat="1" applyFill="1" applyBorder="1" applyAlignment="1" applyProtection="1">
      <alignment horizontal="center"/>
      <protection locked="0" hidden="1"/>
    </xf>
    <xf numFmtId="0" fontId="0" fillId="0" borderId="43" xfId="0" applyFill="1" applyBorder="1"/>
    <xf numFmtId="0" fontId="0" fillId="0" borderId="44" xfId="0" applyFill="1" applyBorder="1"/>
    <xf numFmtId="0" fontId="0" fillId="0" borderId="45" xfId="0" applyFill="1" applyBorder="1"/>
    <xf numFmtId="0" fontId="0" fillId="0" borderId="2" xfId="0" applyFill="1" applyBorder="1" applyProtection="1">
      <protection locked="0"/>
    </xf>
    <xf numFmtId="180" fontId="0" fillId="0" borderId="30" xfId="3" applyNumberFormat="1" applyFont="1" applyFill="1" applyBorder="1" applyAlignment="1" applyProtection="1">
      <alignment horizontal="center"/>
      <protection locked="0"/>
    </xf>
    <xf numFmtId="180" fontId="0" fillId="0" borderId="45" xfId="3" applyNumberFormat="1" applyFont="1" applyFill="1" applyBorder="1" applyAlignment="1" applyProtection="1">
      <alignment horizontal="center"/>
      <protection locked="0"/>
    </xf>
    <xf numFmtId="180" fontId="0" fillId="0" borderId="43" xfId="3" applyNumberFormat="1" applyFont="1" applyFill="1" applyBorder="1" applyAlignment="1" applyProtection="1">
      <alignment horizontal="center"/>
      <protection locked="0"/>
    </xf>
    <xf numFmtId="180" fontId="0" fillId="0" borderId="44" xfId="3" applyNumberFormat="1" applyFont="1" applyFill="1" applyBorder="1" applyAlignment="1" applyProtection="1">
      <alignment horizontal="center"/>
      <protection locked="0"/>
    </xf>
    <xf numFmtId="0" fontId="0" fillId="0" borderId="47" xfId="0" applyFill="1" applyBorder="1"/>
    <xf numFmtId="180" fontId="0" fillId="0" borderId="47" xfId="3" applyNumberFormat="1" applyFont="1" applyFill="1" applyBorder="1" applyAlignment="1" applyProtection="1">
      <alignment horizontal="center"/>
      <protection locked="0"/>
    </xf>
    <xf numFmtId="180" fontId="0" fillId="0" borderId="46" xfId="3" applyNumberFormat="1" applyFont="1" applyFill="1" applyBorder="1" applyAlignment="1" applyProtection="1">
      <alignment horizontal="center"/>
      <protection locked="0"/>
    </xf>
    <xf numFmtId="0" fontId="0" fillId="0" borderId="48" xfId="0" applyFill="1" applyBorder="1" applyAlignment="1" applyProtection="1">
      <alignment horizontal="center"/>
      <protection locked="0" hidden="1"/>
    </xf>
    <xf numFmtId="1" fontId="0" fillId="0" borderId="49" xfId="0" applyNumberFormat="1" applyFill="1" applyBorder="1" applyAlignment="1" applyProtection="1">
      <alignment horizontal="center"/>
      <protection locked="0" hidden="1"/>
    </xf>
    <xf numFmtId="0" fontId="19" fillId="0" borderId="30" xfId="0" applyFont="1" applyFill="1" applyBorder="1" applyAlignment="1" applyProtection="1">
      <alignment horizontal="center"/>
      <protection locked="0"/>
    </xf>
    <xf numFmtId="0" fontId="19" fillId="0" borderId="43" xfId="0" applyFont="1" applyFill="1" applyBorder="1" applyAlignment="1" applyProtection="1">
      <alignment horizontal="center"/>
      <protection locked="0"/>
    </xf>
    <xf numFmtId="168" fontId="0" fillId="0" borderId="50" xfId="0" applyNumberFormat="1" applyFill="1" applyBorder="1" applyAlignment="1" applyProtection="1">
      <alignment horizontal="center"/>
      <protection locked="0"/>
    </xf>
    <xf numFmtId="168" fontId="0" fillId="0" borderId="51" xfId="0" applyNumberFormat="1" applyFill="1" applyBorder="1" applyAlignment="1" applyProtection="1">
      <alignment horizontal="center"/>
      <protection locked="0"/>
    </xf>
    <xf numFmtId="0" fontId="0" fillId="0" borderId="33" xfId="0" applyFill="1" applyBorder="1" applyAlignment="1">
      <alignment horizontal="center"/>
    </xf>
    <xf numFmtId="168" fontId="0" fillId="0" borderId="52" xfId="0" applyNumberFormat="1" applyFill="1" applyBorder="1" applyAlignment="1" applyProtection="1">
      <alignment horizontal="center"/>
    </xf>
    <xf numFmtId="168" fontId="0" fillId="0" borderId="53" xfId="0" applyNumberFormat="1" applyFill="1" applyBorder="1" applyAlignment="1" applyProtection="1">
      <alignment horizontal="center"/>
    </xf>
    <xf numFmtId="168" fontId="0" fillId="0" borderId="54" xfId="0" applyNumberFormat="1" applyFill="1" applyBorder="1" applyAlignment="1" applyProtection="1">
      <alignment horizontal="center"/>
    </xf>
    <xf numFmtId="168" fontId="0" fillId="0" borderId="55" xfId="0" applyNumberFormat="1" applyFill="1" applyBorder="1" applyAlignment="1" applyProtection="1">
      <alignment horizontal="center"/>
    </xf>
    <xf numFmtId="181" fontId="15" fillId="0" borderId="56" xfId="0" applyNumberFormat="1" applyFont="1" applyFill="1" applyBorder="1" applyAlignment="1" applyProtection="1">
      <alignment horizontal="center"/>
      <protection locked="0"/>
    </xf>
    <xf numFmtId="181" fontId="15" fillId="0" borderId="57" xfId="0" applyNumberFormat="1" applyFont="1" applyFill="1" applyBorder="1" applyAlignment="1" applyProtection="1">
      <alignment horizontal="center"/>
      <protection locked="0"/>
    </xf>
    <xf numFmtId="181" fontId="15" fillId="0" borderId="58" xfId="0" applyNumberFormat="1" applyFont="1" applyFill="1" applyBorder="1" applyAlignment="1" applyProtection="1">
      <alignment horizontal="center"/>
      <protection locked="0"/>
    </xf>
    <xf numFmtId="165" fontId="32" fillId="2" borderId="0" xfId="0" applyNumberFormat="1" applyFont="1" applyFill="1" applyBorder="1" applyAlignment="1">
      <alignment horizontal="center"/>
    </xf>
    <xf numFmtId="0" fontId="7" fillId="0" borderId="30" xfId="0" applyNumberFormat="1" applyFont="1" applyFill="1" applyBorder="1" applyAlignment="1" applyProtection="1">
      <alignment horizontal="center"/>
      <protection locked="0"/>
    </xf>
    <xf numFmtId="14" fontId="7" fillId="0" borderId="45" xfId="3" applyNumberFormat="1" applyFont="1" applyFill="1" applyBorder="1" applyAlignment="1" applyProtection="1">
      <alignment horizontal="center"/>
      <protection locked="0"/>
    </xf>
    <xf numFmtId="0" fontId="69" fillId="2" borderId="0" xfId="0" applyFont="1" applyFill="1" applyBorder="1"/>
    <xf numFmtId="0" fontId="14" fillId="0" borderId="0" xfId="0" applyFont="1" applyFill="1" applyAlignment="1" applyProtection="1">
      <alignment horizontal="left"/>
      <protection locked="0"/>
    </xf>
    <xf numFmtId="14" fontId="10" fillId="0" borderId="0" xfId="0" applyNumberFormat="1" applyFont="1" applyFill="1" applyAlignment="1">
      <alignment horizontal="left"/>
    </xf>
    <xf numFmtId="0" fontId="67" fillId="2" borderId="0" xfId="0" applyFont="1" applyFill="1" applyBorder="1" applyAlignment="1" applyProtection="1">
      <alignment horizontal="right"/>
      <protection hidden="1"/>
    </xf>
    <xf numFmtId="169" fontId="0" fillId="0" borderId="23" xfId="0" applyNumberFormat="1" applyBorder="1"/>
    <xf numFmtId="0" fontId="36" fillId="2" borderId="0" xfId="0" applyFont="1" applyFill="1" applyBorder="1"/>
    <xf numFmtId="0" fontId="0" fillId="7" borderId="0" xfId="0" applyFill="1" applyProtection="1">
      <protection hidden="1"/>
    </xf>
    <xf numFmtId="0" fontId="0" fillId="7" borderId="0" xfId="0" applyFill="1"/>
    <xf numFmtId="0" fontId="0" fillId="7" borderId="0" xfId="0" applyFill="1" applyBorder="1"/>
    <xf numFmtId="0" fontId="0" fillId="7" borderId="0" xfId="0" applyFill="1" applyAlignment="1">
      <alignment horizontal="right"/>
    </xf>
    <xf numFmtId="0" fontId="0" fillId="7" borderId="59" xfId="0" applyFill="1" applyBorder="1"/>
    <xf numFmtId="0" fontId="0" fillId="7" borderId="60" xfId="0" applyFill="1" applyBorder="1"/>
    <xf numFmtId="0" fontId="53" fillId="7" borderId="22" xfId="0" applyFont="1" applyFill="1" applyBorder="1"/>
    <xf numFmtId="0" fontId="53" fillId="7" borderId="23" xfId="0" applyFont="1" applyFill="1" applyBorder="1"/>
    <xf numFmtId="0" fontId="53" fillId="7" borderId="25" xfId="0" applyFont="1" applyFill="1" applyBorder="1"/>
    <xf numFmtId="0" fontId="0" fillId="7" borderId="0" xfId="0" applyFill="1" applyAlignment="1">
      <alignment horizontal="left"/>
    </xf>
    <xf numFmtId="0" fontId="0" fillId="7" borderId="61" xfId="0" applyFill="1" applyBorder="1"/>
    <xf numFmtId="0" fontId="0" fillId="7" borderId="62" xfId="0" applyFill="1" applyBorder="1"/>
    <xf numFmtId="0" fontId="0" fillId="7" borderId="60" xfId="0" applyFill="1" applyBorder="1" applyAlignment="1">
      <alignment horizontal="center"/>
    </xf>
    <xf numFmtId="0" fontId="0" fillId="7" borderId="22" xfId="0" applyFill="1" applyBorder="1"/>
    <xf numFmtId="0" fontId="53" fillId="7" borderId="0" xfId="0" applyFont="1" applyFill="1" applyBorder="1"/>
    <xf numFmtId="180" fontId="53" fillId="7" borderId="23" xfId="3" applyNumberFormat="1" applyFont="1" applyFill="1" applyBorder="1"/>
    <xf numFmtId="0" fontId="0" fillId="7" borderId="33" xfId="0" applyFill="1" applyBorder="1"/>
    <xf numFmtId="0" fontId="0" fillId="7" borderId="23" xfId="0" applyFill="1" applyBorder="1" applyAlignment="1">
      <alignment horizontal="center"/>
    </xf>
    <xf numFmtId="0" fontId="0" fillId="7" borderId="18" xfId="0" applyFill="1" applyBorder="1"/>
    <xf numFmtId="0" fontId="53" fillId="7" borderId="19" xfId="0" applyFont="1" applyFill="1" applyBorder="1"/>
    <xf numFmtId="180" fontId="53" fillId="7" borderId="20" xfId="3" applyNumberFormat="1" applyFont="1" applyFill="1" applyBorder="1"/>
    <xf numFmtId="0" fontId="53" fillId="7" borderId="17" xfId="0" applyFont="1" applyFill="1" applyBorder="1"/>
    <xf numFmtId="180" fontId="0" fillId="7" borderId="17" xfId="3" applyNumberFormat="1" applyFont="1" applyFill="1" applyBorder="1"/>
    <xf numFmtId="0" fontId="53" fillId="7" borderId="21" xfId="0" applyFont="1" applyFill="1" applyBorder="1"/>
    <xf numFmtId="180" fontId="0" fillId="7" borderId="21" xfId="3" applyNumberFormat="1" applyFont="1" applyFill="1" applyBorder="1"/>
    <xf numFmtId="180" fontId="0" fillId="7" borderId="24" xfId="3" applyNumberFormat="1" applyFont="1" applyFill="1" applyBorder="1"/>
    <xf numFmtId="0" fontId="0" fillId="7" borderId="25" xfId="0" applyFill="1" applyBorder="1"/>
    <xf numFmtId="0" fontId="53" fillId="7" borderId="1" xfId="0" applyFont="1" applyFill="1" applyBorder="1"/>
    <xf numFmtId="180" fontId="53" fillId="7" borderId="26" xfId="3" applyNumberFormat="1" applyFont="1" applyFill="1" applyBorder="1"/>
    <xf numFmtId="0" fontId="53" fillId="7" borderId="24" xfId="0" applyFont="1" applyFill="1" applyBorder="1"/>
    <xf numFmtId="0" fontId="53" fillId="7" borderId="21" xfId="0" applyFont="1" applyFill="1" applyBorder="1" applyAlignment="1">
      <alignment horizontal="right"/>
    </xf>
    <xf numFmtId="0" fontId="53" fillId="7" borderId="24" xfId="0" applyFont="1" applyFill="1" applyBorder="1" applyAlignment="1">
      <alignment horizontal="right"/>
    </xf>
    <xf numFmtId="180" fontId="53" fillId="7" borderId="0" xfId="3" applyNumberFormat="1" applyFont="1" applyFill="1" applyBorder="1"/>
    <xf numFmtId="0" fontId="53" fillId="7" borderId="0" xfId="0" applyFont="1" applyFill="1" applyAlignment="1">
      <alignment horizontal="right"/>
    </xf>
    <xf numFmtId="0" fontId="0" fillId="7" borderId="23" xfId="0" applyFill="1" applyBorder="1"/>
    <xf numFmtId="0" fontId="0" fillId="7" borderId="26" xfId="0" applyFill="1" applyBorder="1"/>
    <xf numFmtId="0" fontId="0" fillId="7" borderId="19" xfId="0" applyFill="1" applyBorder="1"/>
    <xf numFmtId="0" fontId="53" fillId="7" borderId="0" xfId="0" applyFont="1" applyFill="1" applyBorder="1" applyAlignment="1">
      <alignment horizontal="right"/>
    </xf>
    <xf numFmtId="0" fontId="0" fillId="7" borderId="0" xfId="0" applyFill="1" applyAlignment="1">
      <alignment horizontal="center"/>
    </xf>
    <xf numFmtId="0" fontId="34" fillId="7" borderId="0" xfId="0" applyFont="1" applyFill="1" applyProtection="1"/>
    <xf numFmtId="0" fontId="56" fillId="7" borderId="0" xfId="2" applyFill="1" applyAlignment="1" applyProtection="1">
      <alignment horizontal="center"/>
    </xf>
    <xf numFmtId="0" fontId="0" fillId="7" borderId="8" xfId="0" applyFill="1" applyBorder="1"/>
    <xf numFmtId="0" fontId="0" fillId="7" borderId="9" xfId="0" applyFill="1" applyBorder="1"/>
    <xf numFmtId="0" fontId="0" fillId="7" borderId="9" xfId="0" applyFill="1" applyBorder="1" applyAlignment="1">
      <alignment horizontal="center"/>
    </xf>
    <xf numFmtId="0" fontId="0" fillId="7" borderId="10" xfId="0" applyFill="1" applyBorder="1"/>
    <xf numFmtId="0" fontId="0" fillId="7" borderId="2" xfId="0" applyFill="1" applyBorder="1"/>
    <xf numFmtId="0" fontId="0" fillId="7" borderId="0" xfId="0" applyFill="1" applyBorder="1" applyAlignment="1">
      <alignment horizontal="center"/>
    </xf>
    <xf numFmtId="0" fontId="57" fillId="7" borderId="0" xfId="0" applyFont="1" applyFill="1" applyBorder="1" applyAlignment="1">
      <alignment horizontal="left"/>
    </xf>
    <xf numFmtId="0" fontId="0" fillId="7" borderId="14" xfId="0" applyFill="1" applyBorder="1"/>
    <xf numFmtId="0" fontId="34" fillId="7" borderId="0" xfId="0" applyFont="1" applyFill="1" applyBorder="1" applyProtection="1"/>
    <xf numFmtId="0" fontId="0" fillId="7" borderId="5" xfId="0" applyFill="1" applyBorder="1"/>
    <xf numFmtId="0" fontId="0" fillId="7" borderId="4" xfId="0" applyFill="1" applyBorder="1" applyAlignment="1">
      <alignment horizontal="center"/>
    </xf>
    <xf numFmtId="0" fontId="57" fillId="7" borderId="4" xfId="0" applyFont="1" applyFill="1" applyBorder="1"/>
    <xf numFmtId="0" fontId="0" fillId="7" borderId="4" xfId="0" applyFill="1" applyBorder="1"/>
    <xf numFmtId="0" fontId="0" fillId="7" borderId="15" xfId="0" applyFill="1" applyBorder="1"/>
    <xf numFmtId="0" fontId="0" fillId="7" borderId="2" xfId="0" applyFill="1" applyBorder="1" applyAlignment="1">
      <alignment horizontal="center"/>
    </xf>
    <xf numFmtId="0" fontId="57" fillId="7" borderId="0" xfId="0" applyFont="1" applyFill="1" applyBorder="1"/>
    <xf numFmtId="0" fontId="0" fillId="7" borderId="5" xfId="0" applyFill="1" applyBorder="1" applyAlignment="1">
      <alignment horizontal="center"/>
    </xf>
    <xf numFmtId="0" fontId="0" fillId="7" borderId="12" xfId="0" applyFill="1" applyBorder="1"/>
    <xf numFmtId="0" fontId="0" fillId="7" borderId="16" xfId="0" applyFill="1" applyBorder="1"/>
    <xf numFmtId="0" fontId="0" fillId="7" borderId="13" xfId="0" applyFill="1" applyBorder="1"/>
    <xf numFmtId="0" fontId="57" fillId="7" borderId="2" xfId="0" applyFont="1" applyFill="1" applyBorder="1"/>
    <xf numFmtId="0" fontId="57" fillId="7" borderId="5" xfId="0" applyFont="1" applyFill="1" applyBorder="1"/>
    <xf numFmtId="0" fontId="0" fillId="7" borderId="27" xfId="0" applyFill="1" applyBorder="1"/>
    <xf numFmtId="0" fontId="0" fillId="7" borderId="4" xfId="0" applyFill="1" applyBorder="1" applyAlignment="1">
      <alignment horizontal="right"/>
    </xf>
    <xf numFmtId="0" fontId="53" fillId="7" borderId="2" xfId="0" applyFont="1" applyFill="1" applyBorder="1"/>
    <xf numFmtId="0" fontId="53" fillId="7" borderId="5" xfId="0" applyFont="1" applyFill="1" applyBorder="1"/>
    <xf numFmtId="0" fontId="0" fillId="7" borderId="3" xfId="0" applyFill="1" applyBorder="1"/>
    <xf numFmtId="0" fontId="0" fillId="7" borderId="7" xfId="0" applyFill="1" applyBorder="1"/>
    <xf numFmtId="0" fontId="33" fillId="7" borderId="0" xfId="0" applyFont="1" applyFill="1" applyProtection="1"/>
    <xf numFmtId="0" fontId="35" fillId="7" borderId="0" xfId="0" applyFont="1" applyFill="1" applyProtection="1"/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35" fillId="7" borderId="0" xfId="0" applyFont="1" applyFill="1" applyAlignment="1" applyProtection="1">
      <alignment horizontal="left" vertical="center"/>
    </xf>
    <xf numFmtId="0" fontId="14" fillId="7" borderId="0" xfId="0" applyFont="1" applyFill="1" applyAlignment="1">
      <alignment horizontal="left"/>
    </xf>
    <xf numFmtId="0" fontId="35" fillId="7" borderId="0" xfId="0" applyFont="1" applyFill="1" applyAlignment="1" applyProtection="1">
      <alignment horizontal="left" vertical="center" wrapText="1"/>
    </xf>
    <xf numFmtId="0" fontId="35" fillId="7" borderId="0" xfId="0" applyFont="1" applyFill="1" applyAlignment="1" applyProtection="1">
      <alignment horizontal="center" vertical="center"/>
    </xf>
    <xf numFmtId="0" fontId="35" fillId="7" borderId="0" xfId="0" applyFont="1" applyFill="1" applyAlignment="1" applyProtection="1">
      <alignment horizontal="left" vertical="top" wrapText="1"/>
    </xf>
    <xf numFmtId="0" fontId="19" fillId="7" borderId="0" xfId="0" applyFont="1" applyFill="1" applyAlignment="1">
      <alignment horizontal="left"/>
    </xf>
    <xf numFmtId="0" fontId="14" fillId="7" borderId="0" xfId="0" applyNumberFormat="1" applyFont="1" applyFill="1" applyAlignment="1">
      <alignment horizontal="left"/>
    </xf>
    <xf numFmtId="0" fontId="36" fillId="7" borderId="0" xfId="0" applyFont="1" applyFill="1" applyAlignment="1" applyProtection="1">
      <alignment horizontal="center" vertical="center" wrapText="1"/>
    </xf>
    <xf numFmtId="0" fontId="35" fillId="7" borderId="0" xfId="0" applyFont="1" applyFill="1" applyAlignment="1" applyProtection="1">
      <alignment horizontal="center" vertical="center" wrapText="1"/>
    </xf>
    <xf numFmtId="0" fontId="20" fillId="7" borderId="0" xfId="0" applyFont="1" applyFill="1" applyAlignment="1">
      <alignment horizontal="center"/>
    </xf>
    <xf numFmtId="0" fontId="14" fillId="7" borderId="0" xfId="0" applyFont="1" applyFill="1" applyAlignment="1">
      <alignment horizontal="right"/>
    </xf>
    <xf numFmtId="0" fontId="35" fillId="7" borderId="0" xfId="0" applyFont="1" applyFill="1" applyAlignment="1" applyProtection="1">
      <alignment horizontal="left" vertical="top"/>
    </xf>
    <xf numFmtId="0" fontId="23" fillId="7" borderId="0" xfId="0" applyFont="1" applyFill="1" applyAlignment="1" applyProtection="1">
      <alignment horizontal="left"/>
      <protection locked="0"/>
    </xf>
    <xf numFmtId="0" fontId="34" fillId="7" borderId="0" xfId="0" applyFont="1" applyFill="1"/>
    <xf numFmtId="0" fontId="10" fillId="7" borderId="0" xfId="0" applyFont="1" applyFill="1" applyAlignment="1">
      <alignment horizontal="left"/>
    </xf>
    <xf numFmtId="0" fontId="35" fillId="7" borderId="0" xfId="0" applyFont="1" applyFill="1"/>
    <xf numFmtId="0" fontId="13" fillId="7" borderId="0" xfId="0" applyFont="1" applyFill="1"/>
    <xf numFmtId="0" fontId="13" fillId="7" borderId="0" xfId="0" applyFont="1" applyFill="1" applyAlignment="1">
      <alignment horizontal="left"/>
    </xf>
    <xf numFmtId="0" fontId="13" fillId="7" borderId="0" xfId="0" applyFont="1" applyFill="1" applyAlignment="1">
      <alignment horizontal="center"/>
    </xf>
    <xf numFmtId="0" fontId="35" fillId="7" borderId="0" xfId="0" applyFont="1" applyFill="1" applyBorder="1" applyAlignment="1" applyProtection="1">
      <alignment horizontal="left" vertical="top" wrapText="1"/>
    </xf>
    <xf numFmtId="0" fontId="0" fillId="7" borderId="0" xfId="0" applyFill="1" applyBorder="1" applyAlignment="1">
      <alignment horizontal="left"/>
    </xf>
    <xf numFmtId="0" fontId="15" fillId="7" borderId="0" xfId="0" applyFont="1" applyFill="1" applyBorder="1"/>
    <xf numFmtId="0" fontId="15" fillId="7" borderId="0" xfId="0" applyFont="1" applyFill="1" applyBorder="1" applyAlignment="1">
      <alignment horizontal="left"/>
    </xf>
    <xf numFmtId="0" fontId="15" fillId="7" borderId="0" xfId="0" applyFont="1" applyFill="1" applyBorder="1" applyAlignment="1">
      <alignment horizontal="center"/>
    </xf>
    <xf numFmtId="0" fontId="15" fillId="7" borderId="0" xfId="0" applyFont="1" applyFill="1"/>
    <xf numFmtId="0" fontId="0" fillId="7" borderId="0" xfId="0" applyFill="1" applyProtection="1"/>
    <xf numFmtId="180" fontId="0" fillId="7" borderId="0" xfId="3" applyNumberFormat="1" applyFont="1" applyFill="1" applyBorder="1"/>
    <xf numFmtId="0" fontId="0" fillId="7" borderId="0" xfId="0" applyFill="1" applyBorder="1" applyAlignment="1">
      <alignment horizontal="right"/>
    </xf>
    <xf numFmtId="0" fontId="53" fillId="7" borderId="0" xfId="2" applyFont="1" applyFill="1" applyAlignment="1" applyProtection="1">
      <alignment horizontal="right"/>
    </xf>
    <xf numFmtId="0" fontId="53" fillId="7" borderId="0" xfId="0" applyFont="1" applyFill="1"/>
    <xf numFmtId="0" fontId="19" fillId="7" borderId="0" xfId="0" applyFont="1" applyFill="1"/>
    <xf numFmtId="0" fontId="56" fillId="7" borderId="0" xfId="2" applyFont="1" applyFill="1" applyAlignment="1" applyProtection="1">
      <alignment horizontal="center" vertical="top"/>
    </xf>
    <xf numFmtId="0" fontId="64" fillId="7" borderId="18" xfId="0" applyFont="1" applyFill="1" applyBorder="1"/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86" fontId="0" fillId="7" borderId="33" xfId="0" applyNumberFormat="1" applyFill="1" applyBorder="1" applyAlignment="1">
      <alignment horizontal="center"/>
    </xf>
    <xf numFmtId="0" fontId="0" fillId="7" borderId="0" xfId="0" quotePrefix="1" applyFill="1" applyBorder="1" applyAlignment="1">
      <alignment horizontal="right"/>
    </xf>
    <xf numFmtId="180" fontId="0" fillId="7" borderId="33" xfId="0" applyNumberFormat="1" applyFill="1" applyBorder="1" applyAlignment="1" applyProtection="1">
      <alignment horizontal="center"/>
      <protection locked="0"/>
    </xf>
    <xf numFmtId="0" fontId="64" fillId="7" borderId="22" xfId="0" applyFont="1" applyFill="1" applyBorder="1"/>
    <xf numFmtId="186" fontId="0" fillId="7" borderId="33" xfId="0" applyNumberFormat="1" applyFill="1" applyBorder="1" applyAlignment="1" applyProtection="1">
      <alignment horizontal="center"/>
      <protection locked="0"/>
    </xf>
    <xf numFmtId="190" fontId="0" fillId="7" borderId="33" xfId="0" applyNumberFormat="1" applyFill="1" applyBorder="1" applyProtection="1">
      <protection locked="0"/>
    </xf>
    <xf numFmtId="1" fontId="0" fillId="7" borderId="0" xfId="0" applyNumberFormat="1" applyFill="1" applyBorder="1"/>
    <xf numFmtId="0" fontId="7" fillId="7" borderId="0" xfId="0" applyFont="1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168" fontId="0" fillId="7" borderId="0" xfId="0" applyNumberFormat="1" applyFill="1"/>
    <xf numFmtId="0" fontId="0" fillId="7" borderId="0" xfId="0" applyFill="1" applyProtection="1">
      <protection locked="0"/>
    </xf>
    <xf numFmtId="0" fontId="0" fillId="7" borderId="0" xfId="0" applyFill="1" applyBorder="1" applyProtection="1">
      <protection locked="0"/>
    </xf>
    <xf numFmtId="0" fontId="22" fillId="7" borderId="0" xfId="0" applyFont="1" applyFill="1" applyProtection="1">
      <protection locked="0"/>
    </xf>
    <xf numFmtId="0" fontId="14" fillId="7" borderId="0" xfId="0" applyFont="1" applyFill="1" applyAlignment="1" applyProtection="1">
      <alignment horizontal="left"/>
      <protection locked="0"/>
    </xf>
    <xf numFmtId="0" fontId="19" fillId="7" borderId="0" xfId="0" applyFont="1" applyFill="1" applyAlignment="1" applyProtection="1">
      <alignment horizontal="left"/>
      <protection locked="0"/>
    </xf>
    <xf numFmtId="0" fontId="13" fillId="7" borderId="0" xfId="0" applyFont="1" applyFill="1" applyProtection="1">
      <protection locked="0"/>
    </xf>
    <xf numFmtId="0" fontId="72" fillId="0" borderId="0" xfId="0" applyFont="1" applyFill="1" applyBorder="1" applyProtection="1">
      <protection locked="0"/>
    </xf>
    <xf numFmtId="187" fontId="15" fillId="0" borderId="0" xfId="0" applyNumberFormat="1" applyFont="1" applyFill="1" applyBorder="1" applyAlignment="1" applyProtection="1">
      <alignment horizontal="left"/>
      <protection locked="0"/>
    </xf>
    <xf numFmtId="0" fontId="15" fillId="0" borderId="0" xfId="0" applyFont="1" applyFill="1" applyProtection="1">
      <protection locked="0"/>
    </xf>
    <xf numFmtId="0" fontId="15" fillId="0" borderId="0" xfId="0" applyFont="1" applyFill="1"/>
    <xf numFmtId="0" fontId="0" fillId="8" borderId="0" xfId="0" applyFill="1"/>
    <xf numFmtId="0" fontId="0" fillId="9" borderId="0" xfId="0" applyFill="1"/>
    <xf numFmtId="0" fontId="34" fillId="0" borderId="0" xfId="0" applyFont="1"/>
    <xf numFmtId="0" fontId="34" fillId="0" borderId="0" xfId="0" applyFont="1" applyFill="1"/>
    <xf numFmtId="0" fontId="53" fillId="7" borderId="18" xfId="0" applyFont="1" applyFill="1" applyBorder="1"/>
    <xf numFmtId="0" fontId="0" fillId="7" borderId="20" xfId="0" applyFill="1" applyBorder="1"/>
    <xf numFmtId="0" fontId="9" fillId="0" borderId="0" xfId="0" applyFont="1"/>
    <xf numFmtId="1" fontId="4" fillId="0" borderId="0" xfId="0" applyNumberFormat="1" applyFont="1" applyBorder="1" applyAlignment="1">
      <alignment horizontal="left"/>
    </xf>
    <xf numFmtId="1" fontId="0" fillId="0" borderId="0" xfId="0" applyNumberFormat="1"/>
    <xf numFmtId="1" fontId="34" fillId="0" borderId="0" xfId="0" applyNumberFormat="1" applyFont="1"/>
    <xf numFmtId="0" fontId="19" fillId="2" borderId="0" xfId="0" applyFont="1" applyFill="1"/>
    <xf numFmtId="0" fontId="0" fillId="2" borderId="0" xfId="0" applyFill="1" applyAlignment="1">
      <alignment horizontal="center"/>
    </xf>
    <xf numFmtId="0" fontId="37" fillId="2" borderId="0" xfId="0" applyFont="1" applyFill="1" applyBorder="1"/>
    <xf numFmtId="0" fontId="0" fillId="2" borderId="0" xfId="0" applyFill="1" applyBorder="1" applyAlignment="1">
      <alignment horizontal="center"/>
    </xf>
    <xf numFmtId="0" fontId="37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 applyAlignment="1">
      <alignment horizontal="center"/>
    </xf>
    <xf numFmtId="0" fontId="56" fillId="2" borderId="0" xfId="2" applyFill="1" applyBorder="1" applyAlignment="1" applyProtection="1"/>
    <xf numFmtId="0" fontId="0" fillId="2" borderId="25" xfId="0" applyFill="1" applyBorder="1"/>
    <xf numFmtId="0" fontId="56" fillId="2" borderId="1" xfId="2" applyFill="1" applyBorder="1" applyAlignment="1" applyProtection="1"/>
    <xf numFmtId="0" fontId="0" fillId="2" borderId="26" xfId="0" applyFill="1" applyBorder="1" applyAlignment="1">
      <alignment horizontal="center"/>
    </xf>
    <xf numFmtId="0" fontId="37" fillId="2" borderId="0" xfId="0" applyFont="1" applyFill="1"/>
    <xf numFmtId="0" fontId="0" fillId="10" borderId="33" xfId="0" applyFill="1" applyBorder="1"/>
    <xf numFmtId="0" fontId="0" fillId="2" borderId="0" xfId="0" applyFill="1" applyAlignment="1">
      <alignment vertical="top"/>
    </xf>
    <xf numFmtId="0" fontId="64" fillId="2" borderId="0" xfId="0" applyFont="1" applyFill="1" applyBorder="1"/>
    <xf numFmtId="0" fontId="9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19" fillId="2" borderId="19" xfId="0" applyFont="1" applyFill="1" applyBorder="1"/>
    <xf numFmtId="0" fontId="0" fillId="2" borderId="0" xfId="0" applyFill="1" applyAlignment="1">
      <alignment horizontal="center" vertical="top"/>
    </xf>
    <xf numFmtId="0" fontId="56" fillId="2" borderId="0" xfId="2" applyFont="1" applyFill="1" applyAlignment="1" applyProtection="1">
      <alignment horizontal="center" vertical="top"/>
    </xf>
    <xf numFmtId="0" fontId="31" fillId="2" borderId="18" xfId="0" applyFont="1" applyFill="1" applyBorder="1" applyAlignment="1">
      <alignment horizontal="center" vertical="top"/>
    </xf>
    <xf numFmtId="0" fontId="31" fillId="2" borderId="19" xfId="0" applyFont="1" applyFill="1" applyBorder="1" applyAlignment="1">
      <alignment horizontal="center" vertical="top"/>
    </xf>
    <xf numFmtId="0" fontId="31" fillId="2" borderId="19" xfId="0" applyFont="1" applyFill="1" applyBorder="1" applyAlignment="1">
      <alignment vertical="top"/>
    </xf>
    <xf numFmtId="0" fontId="31" fillId="2" borderId="22" xfId="0" applyFont="1" applyFill="1" applyBorder="1" applyAlignment="1">
      <alignment horizontal="center" vertical="top"/>
    </xf>
    <xf numFmtId="0" fontId="31" fillId="2" borderId="0" xfId="0" applyFont="1" applyFill="1" applyBorder="1" applyAlignment="1">
      <alignment horizontal="center" vertical="top"/>
    </xf>
    <xf numFmtId="0" fontId="31" fillId="2" borderId="0" xfId="0" applyFont="1" applyFill="1" applyBorder="1" applyAlignment="1">
      <alignment vertical="top"/>
    </xf>
    <xf numFmtId="0" fontId="15" fillId="2" borderId="0" xfId="0" applyFont="1" applyFill="1" applyBorder="1" applyAlignment="1">
      <alignment horizontal="center" vertical="top"/>
    </xf>
    <xf numFmtId="0" fontId="31" fillId="2" borderId="23" xfId="0" applyFont="1" applyFill="1" applyBorder="1" applyAlignment="1">
      <alignment horizontal="center" vertical="top"/>
    </xf>
    <xf numFmtId="0" fontId="31" fillId="2" borderId="25" xfId="0" applyFont="1" applyFill="1" applyBorder="1" applyAlignment="1">
      <alignment horizontal="center" vertical="top"/>
    </xf>
    <xf numFmtId="0" fontId="31" fillId="2" borderId="1" xfId="0" applyFont="1" applyFill="1" applyBorder="1" applyAlignment="1">
      <alignment horizontal="center" vertical="top"/>
    </xf>
    <xf numFmtId="0" fontId="31" fillId="2" borderId="1" xfId="0" applyFont="1" applyFill="1" applyBorder="1" applyAlignment="1">
      <alignment vertical="top"/>
    </xf>
    <xf numFmtId="0" fontId="31" fillId="2" borderId="26" xfId="0" applyFont="1" applyFill="1" applyBorder="1" applyAlignment="1">
      <alignment horizontal="center" vertical="top"/>
    </xf>
    <xf numFmtId="0" fontId="19" fillId="2" borderId="63" xfId="0" applyFont="1" applyFill="1" applyBorder="1" applyAlignment="1">
      <alignment horizontal="center" vertical="top"/>
    </xf>
    <xf numFmtId="0" fontId="9" fillId="2" borderId="64" xfId="0" applyFont="1" applyFill="1" applyBorder="1" applyAlignment="1">
      <alignment horizontal="center" vertical="top"/>
    </xf>
    <xf numFmtId="0" fontId="9" fillId="2" borderId="64" xfId="0" applyFont="1" applyFill="1" applyBorder="1" applyAlignment="1">
      <alignment vertical="top" wrapText="1"/>
    </xf>
    <xf numFmtId="0" fontId="19" fillId="2" borderId="65" xfId="0" applyFont="1" applyFill="1" applyBorder="1" applyAlignment="1">
      <alignment horizontal="center" vertical="top"/>
    </xf>
    <xf numFmtId="0" fontId="9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/>
    </xf>
    <xf numFmtId="0" fontId="9" fillId="2" borderId="9" xfId="0" applyFont="1" applyFill="1" applyBorder="1" applyAlignment="1">
      <alignment vertical="top" wrapText="1"/>
    </xf>
    <xf numFmtId="0" fontId="19" fillId="2" borderId="66" xfId="0" applyFont="1" applyFill="1" applyBorder="1" applyAlignment="1">
      <alignment horizontal="center" vertical="top"/>
    </xf>
    <xf numFmtId="0" fontId="9" fillId="2" borderId="67" xfId="0" applyFont="1" applyFill="1" applyBorder="1" applyAlignment="1">
      <alignment horizontal="center" vertical="top" wrapText="1"/>
    </xf>
    <xf numFmtId="0" fontId="9" fillId="2" borderId="67" xfId="0" applyFont="1" applyFill="1" applyBorder="1" applyAlignment="1">
      <alignment horizontal="center" vertical="top"/>
    </xf>
    <xf numFmtId="0" fontId="9" fillId="2" borderId="67" xfId="0" applyFont="1" applyFill="1" applyBorder="1" applyAlignment="1">
      <alignment vertical="top" wrapText="1"/>
    </xf>
    <xf numFmtId="0" fontId="34" fillId="2" borderId="68" xfId="0" applyFont="1" applyFill="1" applyBorder="1" applyAlignment="1">
      <alignment horizontal="center" vertical="top"/>
    </xf>
    <xf numFmtId="0" fontId="34" fillId="2" borderId="4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/>
    </xf>
    <xf numFmtId="0" fontId="34" fillId="2" borderId="4" xfId="0" applyFont="1" applyFill="1" applyBorder="1" applyAlignment="1">
      <alignment vertical="top" wrapText="1"/>
    </xf>
    <xf numFmtId="0" fontId="34" fillId="2" borderId="69" xfId="0" applyFont="1" applyFill="1" applyBorder="1" applyAlignment="1">
      <alignment horizontal="center" vertical="top"/>
    </xf>
    <xf numFmtId="0" fontId="34" fillId="2" borderId="25" xfId="0" applyFont="1" applyFill="1" applyBorder="1" applyAlignment="1">
      <alignment horizontal="center" vertical="top"/>
    </xf>
    <xf numFmtId="0" fontId="34" fillId="2" borderId="1" xfId="0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horizontal="center" vertical="top"/>
    </xf>
    <xf numFmtId="0" fontId="34" fillId="2" borderId="1" xfId="0" applyFont="1" applyFill="1" applyBorder="1" applyAlignment="1">
      <alignment vertical="top" wrapText="1"/>
    </xf>
    <xf numFmtId="0" fontId="34" fillId="2" borderId="26" xfId="0" applyFont="1" applyFill="1" applyBorder="1" applyAlignment="1">
      <alignment horizontal="center" vertical="top"/>
    </xf>
    <xf numFmtId="0" fontId="20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56" fillId="2" borderId="0" xfId="2" applyFont="1" applyFill="1" applyBorder="1" applyAlignment="1" applyProtection="1">
      <alignment horizontal="center" vertical="top"/>
    </xf>
    <xf numFmtId="0" fontId="0" fillId="2" borderId="0" xfId="0" applyFill="1" applyProtection="1">
      <protection hidden="1"/>
    </xf>
    <xf numFmtId="0" fontId="0" fillId="11" borderId="0" xfId="0" applyFill="1"/>
    <xf numFmtId="0" fontId="0" fillId="11" borderId="0" xfId="0" applyFill="1" applyProtection="1">
      <protection hidden="1"/>
    </xf>
    <xf numFmtId="0" fontId="0" fillId="11" borderId="0" xfId="0" applyFill="1" applyBorder="1"/>
    <xf numFmtId="0" fontId="0" fillId="11" borderId="0" xfId="0" applyFill="1" applyBorder="1" applyProtection="1">
      <protection hidden="1"/>
    </xf>
    <xf numFmtId="0" fontId="66" fillId="11" borderId="0" xfId="0" applyFont="1" applyFill="1" applyBorder="1"/>
    <xf numFmtId="0" fontId="19" fillId="11" borderId="0" xfId="0" applyFont="1" applyFill="1" applyBorder="1" applyAlignment="1" applyProtection="1">
      <alignment horizontal="center"/>
      <protection hidden="1"/>
    </xf>
    <xf numFmtId="0" fontId="19" fillId="11" borderId="0" xfId="0" applyFont="1" applyFill="1" applyBorder="1"/>
    <xf numFmtId="0" fontId="11" fillId="11" borderId="0" xfId="0" applyFont="1" applyFill="1" applyBorder="1" applyAlignment="1" applyProtection="1">
      <alignment horizontal="center"/>
      <protection hidden="1"/>
    </xf>
    <xf numFmtId="0" fontId="0" fillId="11" borderId="2" xfId="0" applyFill="1" applyBorder="1"/>
    <xf numFmtId="0" fontId="0" fillId="11" borderId="0" xfId="0" applyFill="1" applyProtection="1">
      <protection locked="0"/>
    </xf>
    <xf numFmtId="0" fontId="0" fillId="2" borderId="0" xfId="0" applyFill="1" applyProtection="1">
      <protection locked="0"/>
    </xf>
    <xf numFmtId="0" fontId="22" fillId="2" borderId="0" xfId="0" applyFont="1" applyFill="1" applyProtection="1">
      <protection locked="0"/>
    </xf>
    <xf numFmtId="14" fontId="10" fillId="2" borderId="0" xfId="0" applyNumberFormat="1" applyFont="1" applyFill="1" applyAlignment="1" applyProtection="1">
      <alignment horizontal="left"/>
      <protection locked="0"/>
    </xf>
    <xf numFmtId="0" fontId="10" fillId="2" borderId="0" xfId="0" applyFont="1" applyFill="1" applyProtection="1">
      <protection locked="0"/>
    </xf>
    <xf numFmtId="0" fontId="13" fillId="2" borderId="0" xfId="0" applyFont="1" applyFill="1"/>
    <xf numFmtId="0" fontId="13" fillId="2" borderId="0" xfId="0" applyFont="1" applyFill="1" applyProtection="1">
      <protection locked="0"/>
    </xf>
    <xf numFmtId="0" fontId="0" fillId="2" borderId="0" xfId="0" applyFill="1" applyBorder="1" applyProtection="1">
      <protection locked="0"/>
    </xf>
    <xf numFmtId="0" fontId="11" fillId="2" borderId="0" xfId="0" applyFont="1" applyFill="1" applyAlignment="1" applyProtection="1">
      <alignment horizontal="center"/>
      <protection hidden="1"/>
    </xf>
    <xf numFmtId="0" fontId="19" fillId="2" borderId="0" xfId="0" applyFont="1" applyFill="1" applyAlignment="1" applyProtection="1">
      <alignment horizontal="center"/>
      <protection hidden="1"/>
    </xf>
    <xf numFmtId="0" fontId="32" fillId="2" borderId="0" xfId="0" applyFont="1" applyFill="1" applyProtection="1">
      <protection hidden="1"/>
    </xf>
    <xf numFmtId="0" fontId="0" fillId="2" borderId="0" xfId="0" applyFill="1" applyBorder="1" applyAlignment="1">
      <alignment horizontal="right"/>
    </xf>
    <xf numFmtId="0" fontId="0" fillId="2" borderId="4" xfId="0" applyFill="1" applyBorder="1" applyAlignment="1">
      <alignment horizontal="right"/>
    </xf>
    <xf numFmtId="0" fontId="32" fillId="2" borderId="0" xfId="0" applyFont="1" applyFill="1"/>
    <xf numFmtId="0" fontId="0" fillId="2" borderId="12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9" fillId="2" borderId="16" xfId="0" applyNumberFormat="1" applyFont="1" applyFill="1" applyBorder="1"/>
    <xf numFmtId="178" fontId="0" fillId="2" borderId="0" xfId="0" applyNumberFormat="1" applyFill="1" applyBorder="1" applyAlignment="1" applyProtection="1">
      <alignment horizontal="right"/>
      <protection locked="0"/>
    </xf>
    <xf numFmtId="0" fontId="9" fillId="2" borderId="12" xfId="0" applyFont="1" applyFill="1" applyBorder="1"/>
    <xf numFmtId="0" fontId="7" fillId="2" borderId="2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15" fillId="2" borderId="2" xfId="0" applyFont="1" applyFill="1" applyBorder="1"/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Border="1" applyAlignment="1">
      <alignment horizontal="right"/>
    </xf>
    <xf numFmtId="14" fontId="15" fillId="2" borderId="0" xfId="0" applyNumberFormat="1" applyFont="1" applyFill="1" applyBorder="1" applyAlignment="1">
      <alignment horizontal="left"/>
    </xf>
    <xf numFmtId="0" fontId="11" fillId="2" borderId="0" xfId="0" applyFont="1" applyFill="1" applyAlignment="1">
      <alignment horizontal="center"/>
    </xf>
    <xf numFmtId="0" fontId="0" fillId="2" borderId="0" xfId="0" applyFill="1" applyProtection="1"/>
    <xf numFmtId="49" fontId="0" fillId="2" borderId="0" xfId="0" applyNumberFormat="1" applyFill="1" applyProtection="1">
      <protection locked="0"/>
    </xf>
    <xf numFmtId="0" fontId="1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9" fillId="2" borderId="12" xfId="0" applyFont="1" applyFill="1" applyBorder="1" applyProtection="1">
      <protection locked="0" hidden="1"/>
    </xf>
    <xf numFmtId="174" fontId="0" fillId="2" borderId="31" xfId="0" applyNumberFormat="1" applyFill="1" applyBorder="1" applyAlignment="1" applyProtection="1">
      <alignment horizontal="left"/>
      <protection hidden="1"/>
    </xf>
    <xf numFmtId="0" fontId="0" fillId="2" borderId="31" xfId="0" applyFill="1" applyBorder="1" applyProtection="1">
      <protection locked="0" hidden="1"/>
    </xf>
    <xf numFmtId="0" fontId="0" fillId="2" borderId="32" xfId="0" applyFill="1" applyBorder="1" applyProtection="1">
      <protection locked="0" hidden="1"/>
    </xf>
    <xf numFmtId="0" fontId="2" fillId="2" borderId="31" xfId="0" applyFont="1" applyFill="1" applyBorder="1" applyAlignment="1" applyProtection="1">
      <alignment horizontal="right"/>
      <protection locked="0" hidden="1"/>
    </xf>
    <xf numFmtId="0" fontId="2" fillId="2" borderId="5" xfId="0" applyFont="1" applyFill="1" applyBorder="1" applyProtection="1">
      <protection locked="0" hidden="1"/>
    </xf>
    <xf numFmtId="174" fontId="0" fillId="2" borderId="4" xfId="0" applyNumberFormat="1" applyFill="1" applyBorder="1" applyAlignment="1" applyProtection="1">
      <alignment horizontal="left"/>
      <protection hidden="1"/>
    </xf>
    <xf numFmtId="0" fontId="0" fillId="2" borderId="4" xfId="0" applyFill="1" applyBorder="1" applyProtection="1">
      <protection locked="0" hidden="1"/>
    </xf>
    <xf numFmtId="0" fontId="0" fillId="2" borderId="15" xfId="0" applyFill="1" applyBorder="1" applyProtection="1">
      <protection locked="0" hidden="1"/>
    </xf>
    <xf numFmtId="0" fontId="9" fillId="2" borderId="5" xfId="0" applyFont="1" applyFill="1" applyBorder="1" applyProtection="1">
      <protection locked="0" hidden="1"/>
    </xf>
    <xf numFmtId="14" fontId="0" fillId="2" borderId="4" xfId="0" applyNumberFormat="1" applyFill="1" applyBorder="1" applyAlignment="1" applyProtection="1">
      <alignment horizontal="left"/>
      <protection hidden="1"/>
    </xf>
    <xf numFmtId="0" fontId="9" fillId="2" borderId="4" xfId="0" applyFont="1" applyFill="1" applyBorder="1" applyAlignment="1" applyProtection="1">
      <alignment horizontal="right"/>
      <protection locked="0"/>
    </xf>
    <xf numFmtId="0" fontId="2" fillId="2" borderId="0" xfId="0" applyFont="1" applyFill="1" applyBorder="1" applyProtection="1"/>
    <xf numFmtId="0" fontId="2" fillId="2" borderId="0" xfId="0" applyFont="1" applyFill="1" applyBorder="1" applyAlignment="1">
      <alignment horizontal="left"/>
    </xf>
    <xf numFmtId="0" fontId="10" fillId="2" borderId="0" xfId="0" quotePrefix="1" applyFont="1" applyFill="1" applyAlignment="1">
      <alignment horizontal="left"/>
    </xf>
    <xf numFmtId="0" fontId="2" fillId="2" borderId="0" xfId="0" applyFont="1" applyFill="1" applyBorder="1" applyAlignment="1">
      <alignment horizontal="right"/>
    </xf>
    <xf numFmtId="0" fontId="15" fillId="2" borderId="11" xfId="0" applyFont="1" applyFill="1" applyBorder="1" applyAlignment="1">
      <alignment horizontal="center"/>
    </xf>
    <xf numFmtId="0" fontId="54" fillId="2" borderId="70" xfId="0" applyFont="1" applyFill="1" applyBorder="1" applyAlignment="1">
      <alignment horizontal="center"/>
    </xf>
    <xf numFmtId="0" fontId="54" fillId="2" borderId="71" xfId="0" applyFont="1" applyFill="1" applyBorder="1" applyAlignment="1">
      <alignment horizontal="center"/>
    </xf>
    <xf numFmtId="0" fontId="0" fillId="2" borderId="0" xfId="0" applyFill="1" applyAlignment="1" applyProtection="1">
      <alignment horizontal="right"/>
    </xf>
    <xf numFmtId="0" fontId="0" fillId="2" borderId="72" xfId="0" applyFill="1" applyBorder="1" applyAlignment="1">
      <alignment horizontal="center" vertical="center" wrapText="1"/>
    </xf>
    <xf numFmtId="0" fontId="54" fillId="2" borderId="73" xfId="0" applyFont="1" applyFill="1" applyBorder="1" applyAlignment="1">
      <alignment horizontal="center"/>
    </xf>
    <xf numFmtId="0" fontId="0" fillId="2" borderId="74" xfId="0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/>
    </xf>
    <xf numFmtId="0" fontId="5" fillId="2" borderId="51" xfId="0" applyFont="1" applyFill="1" applyBorder="1" applyAlignment="1">
      <alignment horizontal="center"/>
    </xf>
    <xf numFmtId="0" fontId="5" fillId="2" borderId="55" xfId="0" applyFont="1" applyFill="1" applyBorder="1" applyAlignment="1">
      <alignment horizontal="center"/>
    </xf>
    <xf numFmtId="0" fontId="48" fillId="2" borderId="75" xfId="0" applyFont="1" applyFill="1" applyBorder="1" applyAlignment="1">
      <alignment horizontal="center" vertical="center" wrapText="1"/>
    </xf>
    <xf numFmtId="168" fontId="0" fillId="2" borderId="50" xfId="0" applyNumberFormat="1" applyFill="1" applyBorder="1" applyAlignment="1">
      <alignment horizontal="center"/>
    </xf>
    <xf numFmtId="1" fontId="0" fillId="2" borderId="50" xfId="0" applyNumberFormat="1" applyFill="1" applyBorder="1" applyAlignment="1">
      <alignment horizontal="center"/>
    </xf>
    <xf numFmtId="2" fontId="0" fillId="2" borderId="76" xfId="0" applyNumberFormat="1" applyFill="1" applyBorder="1" applyAlignment="1">
      <alignment horizontal="center"/>
    </xf>
    <xf numFmtId="1" fontId="0" fillId="2" borderId="49" xfId="0" applyNumberFormat="1" applyFill="1" applyBorder="1" applyAlignment="1" applyProtection="1">
      <alignment horizontal="center"/>
      <protection hidden="1"/>
    </xf>
    <xf numFmtId="2" fontId="0" fillId="2" borderId="77" xfId="0" applyNumberFormat="1" applyFill="1" applyBorder="1" applyAlignment="1" applyProtection="1">
      <alignment horizontal="center"/>
      <protection hidden="1"/>
    </xf>
    <xf numFmtId="1" fontId="0" fillId="2" borderId="51" xfId="0" applyNumberFormat="1" applyFill="1" applyBorder="1" applyAlignment="1">
      <alignment horizontal="center"/>
    </xf>
    <xf numFmtId="2" fontId="0" fillId="2" borderId="55" xfId="0" applyNumberFormat="1" applyFill="1" applyBorder="1" applyAlignment="1">
      <alignment horizontal="center"/>
    </xf>
    <xf numFmtId="0" fontId="48" fillId="2" borderId="52" xfId="0" applyFont="1" applyFill="1" applyBorder="1" applyAlignment="1">
      <alignment horizontal="center" vertical="center" wrapText="1"/>
    </xf>
    <xf numFmtId="168" fontId="0" fillId="2" borderId="51" xfId="0" applyNumberFormat="1" applyFill="1" applyBorder="1" applyAlignment="1">
      <alignment horizontal="center"/>
    </xf>
    <xf numFmtId="0" fontId="6" fillId="2" borderId="0" xfId="0" applyFont="1" applyFill="1"/>
    <xf numFmtId="0" fontId="17" fillId="2" borderId="0" xfId="0" quotePrefix="1" applyFont="1" applyFill="1" applyAlignment="1">
      <alignment horizontal="left"/>
    </xf>
    <xf numFmtId="0" fontId="15" fillId="2" borderId="0" xfId="0" applyFont="1" applyFill="1"/>
    <xf numFmtId="0" fontId="7" fillId="2" borderId="0" xfId="0" applyFont="1" applyFill="1" applyAlignment="1">
      <alignment horizontal="center"/>
    </xf>
    <xf numFmtId="0" fontId="37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left"/>
    </xf>
    <xf numFmtId="0" fontId="0" fillId="2" borderId="0" xfId="0" applyFill="1" applyBorder="1" applyProtection="1">
      <protection locked="0" hidden="1"/>
    </xf>
    <xf numFmtId="0" fontId="30" fillId="2" borderId="0" xfId="0" applyFont="1" applyFill="1" applyBorder="1" applyProtection="1">
      <protection locked="0"/>
    </xf>
    <xf numFmtId="0" fontId="0" fillId="2" borderId="0" xfId="0" applyFill="1" applyAlignment="1" applyProtection="1"/>
    <xf numFmtId="0" fontId="11" fillId="2" borderId="0" xfId="0" applyFont="1" applyFill="1" applyAlignment="1" applyProtection="1">
      <alignment horizontal="center"/>
    </xf>
    <xf numFmtId="174" fontId="11" fillId="2" borderId="0" xfId="0" applyNumberFormat="1" applyFont="1" applyFill="1" applyAlignment="1" applyProtection="1">
      <alignment horizontal="center"/>
    </xf>
    <xf numFmtId="0" fontId="19" fillId="2" borderId="0" xfId="0" applyFont="1" applyFill="1" applyAlignment="1" applyProtection="1">
      <alignment horizontal="center"/>
    </xf>
    <xf numFmtId="174" fontId="0" fillId="2" borderId="0" xfId="0" applyNumberFormat="1" applyFill="1" applyAlignment="1" applyProtection="1">
      <alignment horizontal="left"/>
    </xf>
    <xf numFmtId="0" fontId="19" fillId="2" borderId="0" xfId="0" applyFont="1" applyFill="1" applyBorder="1" applyAlignment="1" applyProtection="1">
      <alignment horizontal="center"/>
    </xf>
    <xf numFmtId="0" fontId="0" fillId="2" borderId="0" xfId="0" applyFill="1" applyAlignment="1" applyProtection="1">
      <alignment horizontal="left"/>
      <protection locked="0" hidden="1"/>
    </xf>
    <xf numFmtId="0" fontId="0" fillId="2" borderId="11" xfId="0" applyFill="1" applyBorder="1" applyAlignment="1" applyProtection="1">
      <alignment wrapText="1"/>
      <protection hidden="1"/>
    </xf>
    <xf numFmtId="0" fontId="47" fillId="2" borderId="0" xfId="0" applyFont="1" applyFill="1" applyBorder="1" applyProtection="1"/>
    <xf numFmtId="174" fontId="9" fillId="2" borderId="11" xfId="0" applyNumberFormat="1" applyFont="1" applyFill="1" applyBorder="1" applyAlignment="1" applyProtection="1">
      <alignment horizontal="left"/>
      <protection hidden="1"/>
    </xf>
    <xf numFmtId="174" fontId="0" fillId="2" borderId="7" xfId="0" applyNumberFormat="1" applyFill="1" applyBorder="1" applyAlignment="1" applyProtection="1">
      <alignment wrapText="1"/>
      <protection hidden="1"/>
    </xf>
    <xf numFmtId="187" fontId="9" fillId="2" borderId="7" xfId="0" applyNumberFormat="1" applyFont="1" applyFill="1" applyBorder="1" applyAlignment="1" applyProtection="1">
      <alignment horizontal="left"/>
      <protection hidden="1"/>
    </xf>
    <xf numFmtId="0" fontId="0" fillId="2" borderId="12" xfId="0" applyFill="1" applyBorder="1" applyProtection="1">
      <protection locked="0" hidden="1"/>
    </xf>
    <xf numFmtId="174" fontId="9" fillId="2" borderId="31" xfId="0" applyNumberFormat="1" applyFont="1" applyFill="1" applyBorder="1" applyAlignment="1" applyProtection="1">
      <alignment horizontal="left"/>
      <protection hidden="1"/>
    </xf>
    <xf numFmtId="0" fontId="0" fillId="2" borderId="5" xfId="0" applyFill="1" applyBorder="1" applyProtection="1">
      <protection locked="0" hidden="1"/>
    </xf>
    <xf numFmtId="0" fontId="9" fillId="2" borderId="4" xfId="0" applyFont="1" applyFill="1" applyBorder="1" applyAlignment="1" applyProtection="1">
      <alignment horizontal="right"/>
      <protection locked="0" hidden="1"/>
    </xf>
    <xf numFmtId="0" fontId="31" fillId="2" borderId="5" xfId="0" applyFont="1" applyFill="1" applyBorder="1" applyAlignment="1">
      <alignment horizontal="left"/>
    </xf>
    <xf numFmtId="0" fontId="49" fillId="2" borderId="4" xfId="0" applyFont="1" applyFill="1" applyBorder="1" applyAlignment="1">
      <alignment horizontal="center"/>
    </xf>
    <xf numFmtId="0" fontId="31" fillId="2" borderId="78" xfId="0" applyFont="1" applyFill="1" applyBorder="1" applyAlignment="1">
      <alignment horizontal="left"/>
    </xf>
    <xf numFmtId="0" fontId="49" fillId="2" borderId="15" xfId="0" applyFont="1" applyFill="1" applyBorder="1" applyAlignment="1">
      <alignment horizontal="center"/>
    </xf>
    <xf numFmtId="0" fontId="9" fillId="2" borderId="79" xfId="0" applyFont="1" applyFill="1" applyBorder="1" applyAlignment="1" applyProtection="1">
      <alignment horizontal="center"/>
      <protection locked="0"/>
    </xf>
    <xf numFmtId="0" fontId="9" fillId="2" borderId="80" xfId="0" applyFont="1" applyFill="1" applyBorder="1" applyAlignment="1" applyProtection="1">
      <alignment horizontal="center"/>
      <protection locked="0"/>
    </xf>
    <xf numFmtId="0" fontId="9" fillId="2" borderId="81" xfId="0" applyFont="1" applyFill="1" applyBorder="1" applyAlignment="1" applyProtection="1">
      <alignment horizontal="center"/>
      <protection locked="0"/>
    </xf>
    <xf numFmtId="0" fontId="9" fillId="2" borderId="82" xfId="0" applyFont="1" applyFill="1" applyBorder="1" applyAlignment="1" applyProtection="1">
      <alignment horizontal="center"/>
      <protection locked="0"/>
    </xf>
    <xf numFmtId="0" fontId="9" fillId="2" borderId="16" xfId="0" applyFont="1" applyFill="1" applyBorder="1" applyAlignment="1" applyProtection="1">
      <alignment horizontal="center"/>
      <protection locked="0"/>
    </xf>
    <xf numFmtId="168" fontId="0" fillId="2" borderId="16" xfId="0" applyNumberFormat="1" applyFill="1" applyBorder="1" applyAlignment="1" applyProtection="1">
      <alignment horizontal="righ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32" fillId="2" borderId="0" xfId="0" applyFont="1" applyFill="1" applyBorder="1" applyAlignment="1" applyProtection="1">
      <alignment horizontal="left"/>
      <protection locked="0"/>
    </xf>
    <xf numFmtId="168" fontId="0" fillId="2" borderId="0" xfId="0" applyNumberFormat="1" applyFill="1" applyBorder="1" applyAlignment="1" applyProtection="1">
      <alignment horizontal="right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49" fillId="2" borderId="83" xfId="0" applyFont="1" applyFill="1" applyBorder="1" applyAlignment="1">
      <alignment horizontal="center"/>
    </xf>
    <xf numFmtId="0" fontId="49" fillId="2" borderId="84" xfId="0" applyFont="1" applyFill="1" applyBorder="1" applyAlignment="1">
      <alignment horizontal="center"/>
    </xf>
    <xf numFmtId="0" fontId="49" fillId="2" borderId="85" xfId="0" applyFont="1" applyFill="1" applyBorder="1" applyAlignment="1">
      <alignment horizontal="center"/>
    </xf>
    <xf numFmtId="0" fontId="49" fillId="2" borderId="86" xfId="0" applyFont="1" applyFill="1" applyBorder="1" applyAlignment="1">
      <alignment horizontal="center"/>
    </xf>
    <xf numFmtId="0" fontId="0" fillId="2" borderId="0" xfId="0" applyFill="1" applyBorder="1" applyProtection="1"/>
    <xf numFmtId="0" fontId="31" fillId="2" borderId="0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/>
    </xf>
    <xf numFmtId="0" fontId="15" fillId="2" borderId="7" xfId="0" applyFont="1" applyFill="1" applyBorder="1" applyAlignment="1" applyProtection="1">
      <alignment horizontal="center"/>
    </xf>
    <xf numFmtId="0" fontId="32" fillId="2" borderId="0" xfId="0" applyFont="1" applyFill="1" applyProtection="1"/>
    <xf numFmtId="0" fontId="0" fillId="12" borderId="0" xfId="0" applyFill="1"/>
    <xf numFmtId="0" fontId="26" fillId="2" borderId="0" xfId="0" applyFont="1" applyFill="1" applyAlignment="1" applyProtection="1">
      <alignment horizontal="center"/>
      <protection locked="0"/>
    </xf>
    <xf numFmtId="0" fontId="19" fillId="2" borderId="0" xfId="0" applyFont="1" applyFill="1" applyAlignment="1" applyProtection="1">
      <alignment horizontal="left"/>
      <protection locked="0"/>
    </xf>
    <xf numFmtId="168" fontId="19" fillId="2" borderId="0" xfId="0" applyNumberFormat="1" applyFont="1" applyFill="1" applyBorder="1" applyProtection="1"/>
    <xf numFmtId="0" fontId="21" fillId="2" borderId="0" xfId="0" quotePrefix="1" applyFont="1" applyFill="1" applyAlignment="1" applyProtection="1">
      <alignment horizontal="center"/>
      <protection locked="0"/>
    </xf>
    <xf numFmtId="175" fontId="0" fillId="2" borderId="34" xfId="0" applyNumberFormat="1" applyFill="1" applyBorder="1" applyProtection="1">
      <protection locked="0" hidden="1"/>
    </xf>
    <xf numFmtId="176" fontId="0" fillId="2" borderId="34" xfId="0" applyNumberFormat="1" applyFill="1" applyBorder="1" applyProtection="1">
      <protection locked="0" hidden="1"/>
    </xf>
    <xf numFmtId="0" fontId="15" fillId="2" borderId="7" xfId="0" applyFont="1" applyFill="1" applyBorder="1" applyAlignment="1" applyProtection="1">
      <alignment horizontal="center" wrapText="1"/>
    </xf>
    <xf numFmtId="0" fontId="21" fillId="2" borderId="0" xfId="0" quotePrefix="1" applyFont="1" applyFill="1" applyAlignment="1" applyProtection="1">
      <alignment horizontal="left"/>
      <protection locked="0"/>
    </xf>
    <xf numFmtId="0" fontId="15" fillId="2" borderId="0" xfId="0" applyFont="1" applyFill="1" applyBorder="1" applyAlignment="1">
      <alignment horizontal="left" vertical="top"/>
    </xf>
    <xf numFmtId="49" fontId="15" fillId="0" borderId="0" xfId="0" applyNumberFormat="1" applyFont="1" applyFill="1" applyBorder="1" applyAlignment="1" applyProtection="1">
      <alignment wrapText="1"/>
      <protection locked="0"/>
    </xf>
    <xf numFmtId="49" fontId="31" fillId="0" borderId="0" xfId="0" applyNumberFormat="1" applyFont="1" applyFill="1" applyBorder="1" applyAlignment="1" applyProtection="1">
      <alignment horizontal="left" wrapText="1"/>
      <protection locked="0"/>
    </xf>
    <xf numFmtId="49" fontId="15" fillId="0" borderId="0" xfId="0" applyNumberFormat="1" applyFont="1" applyFill="1" applyAlignment="1" applyProtection="1">
      <alignment horizontal="left"/>
      <protection locked="0"/>
    </xf>
    <xf numFmtId="49" fontId="15" fillId="0" borderId="0" xfId="0" applyNumberFormat="1" applyFont="1" applyFill="1" applyProtection="1">
      <protection locked="0"/>
    </xf>
    <xf numFmtId="49" fontId="15" fillId="0" borderId="0" xfId="0" applyNumberFormat="1" applyFont="1" applyFill="1" applyAlignment="1">
      <alignment horizontal="left"/>
    </xf>
    <xf numFmtId="188" fontId="7" fillId="2" borderId="0" xfId="0" applyNumberFormat="1" applyFont="1" applyFill="1" applyBorder="1" applyAlignment="1" applyProtection="1">
      <alignment horizontal="center" wrapText="1"/>
      <protection hidden="1"/>
    </xf>
    <xf numFmtId="189" fontId="7" fillId="2" borderId="0" xfId="0" applyNumberFormat="1" applyFont="1" applyFill="1" applyBorder="1" applyAlignment="1" applyProtection="1">
      <alignment horizontal="center"/>
      <protection hidden="1"/>
    </xf>
    <xf numFmtId="0" fontId="24" fillId="2" borderId="0" xfId="0" applyFont="1" applyFill="1" applyBorder="1"/>
    <xf numFmtId="167" fontId="24" fillId="2" borderId="0" xfId="0" applyNumberFormat="1" applyFont="1" applyFill="1" applyBorder="1" applyAlignment="1">
      <alignment horizontal="center"/>
    </xf>
    <xf numFmtId="49" fontId="7" fillId="0" borderId="10" xfId="0" quotePrefix="1" applyNumberFormat="1" applyFont="1" applyBorder="1" applyAlignment="1">
      <alignment horizontal="right"/>
    </xf>
    <xf numFmtId="0" fontId="32" fillId="9" borderId="0" xfId="0" applyFont="1" applyFill="1" applyAlignment="1">
      <alignment horizontal="right"/>
    </xf>
    <xf numFmtId="0" fontId="45" fillId="3" borderId="0" xfId="0" applyFont="1" applyFill="1" applyBorder="1" applyAlignment="1">
      <alignment horizontal="center"/>
    </xf>
    <xf numFmtId="168" fontId="0" fillId="0" borderId="19" xfId="0" applyNumberFormat="1" applyBorder="1"/>
    <xf numFmtId="167" fontId="0" fillId="0" borderId="1" xfId="0" applyNumberFormat="1" applyBorder="1"/>
    <xf numFmtId="168" fontId="0" fillId="0" borderId="0" xfId="0" applyNumberFormat="1" applyBorder="1"/>
    <xf numFmtId="167" fontId="0" fillId="0" borderId="0" xfId="0" applyNumberFormat="1" applyBorder="1"/>
    <xf numFmtId="167" fontId="0" fillId="0" borderId="0" xfId="0" applyNumberFormat="1" applyBorder="1" applyAlignment="1">
      <alignment horizontal="right"/>
    </xf>
    <xf numFmtId="166" fontId="0" fillId="6" borderId="0" xfId="0" applyNumberFormat="1" applyFill="1" applyBorder="1" applyAlignment="1">
      <alignment horizontal="right"/>
    </xf>
    <xf numFmtId="167" fontId="0" fillId="6" borderId="0" xfId="0" applyNumberFormat="1" applyFill="1" applyBorder="1" applyAlignment="1">
      <alignment horizontal="right"/>
    </xf>
    <xf numFmtId="0" fontId="32" fillId="0" borderId="0" xfId="0" applyFont="1" applyFill="1" applyBorder="1" applyAlignment="1">
      <alignment horizontal="right"/>
    </xf>
    <xf numFmtId="192" fontId="0" fillId="10" borderId="0" xfId="0" applyNumberFormat="1" applyFill="1"/>
    <xf numFmtId="166" fontId="0" fillId="12" borderId="0" xfId="0" applyNumberFormat="1" applyFill="1"/>
    <xf numFmtId="167" fontId="0" fillId="12" borderId="0" xfId="0" applyNumberFormat="1" applyFill="1"/>
    <xf numFmtId="0" fontId="6" fillId="0" borderId="0" xfId="0" applyFont="1" applyBorder="1"/>
    <xf numFmtId="0" fontId="9" fillId="6" borderId="0" xfId="0" applyFont="1" applyFill="1" applyBorder="1" applyAlignment="1">
      <alignment horizontal="center"/>
    </xf>
    <xf numFmtId="0" fontId="45" fillId="0" borderId="0" xfId="0" applyFont="1" applyBorder="1" applyAlignment="1">
      <alignment horizontal="right"/>
    </xf>
    <xf numFmtId="0" fontId="53" fillId="7" borderId="16" xfId="0" applyFont="1" applyFill="1" applyBorder="1"/>
    <xf numFmtId="165" fontId="53" fillId="7" borderId="0" xfId="0" applyNumberFormat="1" applyFont="1" applyFill="1" applyBorder="1"/>
    <xf numFmtId="0" fontId="53" fillId="7" borderId="12" xfId="0" applyFont="1" applyFill="1" applyBorder="1"/>
    <xf numFmtId="0" fontId="79" fillId="7" borderId="0" xfId="0" applyFont="1" applyFill="1"/>
    <xf numFmtId="0" fontId="79" fillId="7" borderId="16" xfId="0" applyFont="1" applyFill="1" applyBorder="1"/>
    <xf numFmtId="0" fontId="79" fillId="7" borderId="2" xfId="0" applyFont="1" applyFill="1" applyBorder="1"/>
    <xf numFmtId="165" fontId="79" fillId="7" borderId="0" xfId="0" applyNumberFormat="1" applyFont="1" applyFill="1" applyBorder="1"/>
    <xf numFmtId="0" fontId="79" fillId="7" borderId="0" xfId="0" applyFont="1" applyFill="1" applyBorder="1"/>
    <xf numFmtId="0" fontId="79" fillId="7" borderId="5" xfId="0" applyFont="1" applyFill="1" applyBorder="1"/>
    <xf numFmtId="0" fontId="79" fillId="7" borderId="4" xfId="0" applyFont="1" applyFill="1" applyBorder="1"/>
    <xf numFmtId="0" fontId="34" fillId="7" borderId="0" xfId="0" applyFont="1" applyFill="1" applyBorder="1"/>
    <xf numFmtId="0" fontId="34" fillId="7" borderId="4" xfId="0" applyFont="1" applyFill="1" applyBorder="1"/>
    <xf numFmtId="0" fontId="32" fillId="2" borderId="4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32" fillId="2" borderId="5" xfId="0" applyFont="1" applyFill="1" applyBorder="1" applyAlignment="1">
      <alignment horizontal="right" vertical="center"/>
    </xf>
    <xf numFmtId="0" fontId="34" fillId="7" borderId="0" xfId="0" applyFont="1" applyFill="1" applyAlignment="1" applyProtection="1">
      <alignment horizontal="left" vertical="center" wrapText="1"/>
    </xf>
    <xf numFmtId="0" fontId="9" fillId="7" borderId="0" xfId="0" applyFont="1" applyFill="1" applyAlignment="1">
      <alignment horizontal="left" vertical="center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vertical="center"/>
    </xf>
    <xf numFmtId="0" fontId="9" fillId="2" borderId="12" xfId="0" applyFont="1" applyFill="1" applyBorder="1" applyAlignment="1">
      <alignment horizontal="right" vertical="center"/>
    </xf>
    <xf numFmtId="168" fontId="9" fillId="2" borderId="16" xfId="0" applyNumberFormat="1" applyFont="1" applyFill="1" applyBorder="1" applyAlignment="1" applyProtection="1">
      <alignment horizontal="center" vertical="center"/>
      <protection hidden="1"/>
    </xf>
    <xf numFmtId="0" fontId="9" fillId="2" borderId="16" xfId="0" applyFont="1" applyFill="1" applyBorder="1" applyAlignment="1">
      <alignment vertical="center"/>
    </xf>
    <xf numFmtId="0" fontId="34" fillId="7" borderId="0" xfId="0" applyFont="1" applyFill="1" applyAlignment="1" applyProtection="1">
      <alignment horizontal="left" vertical="center"/>
    </xf>
    <xf numFmtId="0" fontId="9" fillId="2" borderId="2" xfId="0" applyFont="1" applyFill="1" applyBorder="1" applyAlignment="1">
      <alignment horizontal="right" vertical="center"/>
    </xf>
    <xf numFmtId="168" fontId="9" fillId="2" borderId="0" xfId="0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>
      <alignment vertical="center"/>
    </xf>
    <xf numFmtId="0" fontId="9" fillId="2" borderId="87" xfId="0" applyFont="1" applyFill="1" applyBorder="1" applyAlignment="1">
      <alignment horizontal="right" vertical="center"/>
    </xf>
    <xf numFmtId="2" fontId="9" fillId="2" borderId="30" xfId="0" applyNumberFormat="1" applyFont="1" applyFill="1" applyBorder="1" applyAlignment="1" applyProtection="1">
      <alignment horizontal="center" vertical="center"/>
      <protection hidden="1"/>
    </xf>
    <xf numFmtId="0" fontId="9" fillId="2" borderId="30" xfId="0" applyFont="1" applyFill="1" applyBorder="1" applyAlignment="1">
      <alignment vertical="center"/>
    </xf>
    <xf numFmtId="0" fontId="80" fillId="7" borderId="0" xfId="0" applyFont="1" applyFill="1" applyAlignment="1" applyProtection="1">
      <alignment horizontal="left" vertical="center"/>
      <protection locked="0"/>
    </xf>
    <xf numFmtId="0" fontId="9" fillId="2" borderId="88" xfId="0" applyFont="1" applyFill="1" applyBorder="1" applyAlignment="1">
      <alignment vertical="center"/>
    </xf>
    <xf numFmtId="0" fontId="9" fillId="2" borderId="34" xfId="0" applyFont="1" applyFill="1" applyBorder="1" applyAlignment="1">
      <alignment vertical="center"/>
    </xf>
    <xf numFmtId="0" fontId="9" fillId="2" borderId="89" xfId="0" applyFont="1" applyFill="1" applyBorder="1" applyAlignment="1">
      <alignment vertical="center"/>
    </xf>
    <xf numFmtId="0" fontId="9" fillId="2" borderId="90" xfId="0" applyFont="1" applyFill="1" applyBorder="1" applyAlignment="1">
      <alignment vertical="center"/>
    </xf>
    <xf numFmtId="0" fontId="32" fillId="2" borderId="2" xfId="0" applyFont="1" applyFill="1" applyBorder="1" applyAlignment="1">
      <alignment horizontal="right" vertical="center"/>
    </xf>
    <xf numFmtId="0" fontId="32" fillId="2" borderId="0" xfId="0" applyFont="1" applyFill="1" applyBorder="1" applyAlignment="1">
      <alignment vertical="center"/>
    </xf>
    <xf numFmtId="0" fontId="32" fillId="2" borderId="87" xfId="0" applyFont="1" applyFill="1" applyBorder="1" applyAlignment="1">
      <alignment horizontal="right" vertical="center"/>
    </xf>
    <xf numFmtId="0" fontId="32" fillId="2" borderId="30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91" xfId="0" applyFont="1" applyFill="1" applyBorder="1" applyAlignment="1">
      <alignment vertical="center"/>
    </xf>
    <xf numFmtId="0" fontId="9" fillId="2" borderId="14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9" fillId="2" borderId="92" xfId="0" applyFont="1" applyFill="1" applyBorder="1" applyAlignment="1">
      <alignment horizontal="center" vertical="center" wrapText="1"/>
    </xf>
    <xf numFmtId="0" fontId="0" fillId="2" borderId="92" xfId="0" quotePrefix="1" applyFill="1" applyBorder="1" applyAlignment="1">
      <alignment horizontal="center" vertical="center" wrapText="1"/>
    </xf>
    <xf numFmtId="0" fontId="0" fillId="2" borderId="92" xfId="0" applyFill="1" applyBorder="1" applyAlignment="1">
      <alignment horizontal="center" vertical="center" wrapText="1"/>
    </xf>
    <xf numFmtId="0" fontId="35" fillId="7" borderId="0" xfId="0" applyFont="1" applyFill="1" applyAlignment="1" applyProtection="1">
      <alignment vertical="center"/>
    </xf>
    <xf numFmtId="0" fontId="0" fillId="7" borderId="0" xfId="0" applyFill="1" applyAlignment="1">
      <alignment vertical="center"/>
    </xf>
    <xf numFmtId="0" fontId="32" fillId="2" borderId="34" xfId="0" applyFont="1" applyFill="1" applyBorder="1" applyAlignment="1">
      <alignment vertical="center"/>
    </xf>
    <xf numFmtId="0" fontId="37" fillId="2" borderId="0" xfId="0" applyFont="1" applyFill="1" applyBorder="1" applyAlignment="1">
      <alignment horizontal="left"/>
    </xf>
    <xf numFmtId="0" fontId="0" fillId="2" borderId="0" xfId="0" applyFill="1" applyBorder="1" applyAlignment="1" applyProtection="1">
      <alignment horizontal="right"/>
    </xf>
    <xf numFmtId="0" fontId="31" fillId="2" borderId="0" xfId="0" applyFont="1" applyFill="1" applyBorder="1" applyAlignment="1">
      <alignment horizontal="center"/>
    </xf>
    <xf numFmtId="180" fontId="0" fillId="2" borderId="0" xfId="0" applyNumberFormat="1" applyFill="1" applyBorder="1" applyAlignment="1">
      <alignment horizontal="center"/>
    </xf>
    <xf numFmtId="0" fontId="9" fillId="2" borderId="0" xfId="0" applyFont="1" applyFill="1" applyBorder="1" applyProtection="1">
      <protection locked="0"/>
    </xf>
    <xf numFmtId="0" fontId="34" fillId="2" borderId="0" xfId="0" applyFont="1" applyFill="1" applyBorder="1" applyProtection="1">
      <protection locked="0"/>
    </xf>
    <xf numFmtId="177" fontId="0" fillId="2" borderId="0" xfId="3" applyNumberFormat="1" applyFont="1" applyFill="1" applyBorder="1" applyAlignment="1" applyProtection="1">
      <alignment horizontal="center"/>
      <protection locked="0"/>
    </xf>
    <xf numFmtId="183" fontId="0" fillId="2" borderId="0" xfId="0" applyNumberFormat="1" applyFill="1" applyBorder="1" applyAlignment="1" applyProtection="1">
      <alignment horizontal="center"/>
      <protection locked="0"/>
    </xf>
    <xf numFmtId="177" fontId="0" fillId="2" borderId="0" xfId="0" applyNumberFormat="1" applyFill="1" applyBorder="1" applyAlignment="1" applyProtection="1">
      <alignment horizontal="center"/>
      <protection locked="0"/>
    </xf>
    <xf numFmtId="0" fontId="31" fillId="2" borderId="0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/>
    </xf>
    <xf numFmtId="0" fontId="34" fillId="2" borderId="0" xfId="0" applyFont="1" applyFill="1" applyBorder="1" applyAlignment="1">
      <alignment horizontal="center" vertical="top"/>
    </xf>
    <xf numFmtId="0" fontId="31" fillId="2" borderId="20" xfId="0" applyFont="1" applyFill="1" applyBorder="1" applyAlignment="1">
      <alignment vertical="top"/>
    </xf>
    <xf numFmtId="0" fontId="15" fillId="2" borderId="23" xfId="0" applyFont="1" applyFill="1" applyBorder="1" applyAlignment="1">
      <alignment vertical="top"/>
    </xf>
    <xf numFmtId="0" fontId="19" fillId="2" borderId="93" xfId="0" applyFont="1" applyFill="1" applyBorder="1" applyAlignment="1">
      <alignment horizontal="center" vertical="top"/>
    </xf>
    <xf numFmtId="0" fontId="19" fillId="2" borderId="94" xfId="0" applyFont="1" applyFill="1" applyBorder="1" applyAlignment="1">
      <alignment horizontal="center" vertical="top"/>
    </xf>
    <xf numFmtId="0" fontId="19" fillId="2" borderId="95" xfId="0" applyFont="1" applyFill="1" applyBorder="1" applyAlignment="1">
      <alignment horizontal="center" vertical="top"/>
    </xf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34" fillId="7" borderId="0" xfId="0" applyFont="1" applyFill="1" applyAlignment="1" applyProtection="1">
      <alignment vertical="center"/>
    </xf>
    <xf numFmtId="0" fontId="78" fillId="2" borderId="96" xfId="0" applyFont="1" applyFill="1" applyBorder="1" applyAlignment="1">
      <alignment horizontal="left"/>
    </xf>
    <xf numFmtId="0" fontId="78" fillId="2" borderId="43" xfId="0" applyFont="1" applyFill="1" applyBorder="1"/>
    <xf numFmtId="0" fontId="15" fillId="2" borderId="43" xfId="0" applyFont="1" applyFill="1" applyBorder="1"/>
    <xf numFmtId="0" fontId="81" fillId="2" borderId="4" xfId="0" applyFont="1" applyFill="1" applyBorder="1" applyAlignment="1">
      <alignment horizontal="center" vertical="center"/>
    </xf>
    <xf numFmtId="0" fontId="83" fillId="7" borderId="12" xfId="0" applyFont="1" applyFill="1" applyBorder="1" applyAlignment="1">
      <alignment horizontal="right" vertical="center"/>
    </xf>
    <xf numFmtId="0" fontId="84" fillId="7" borderId="16" xfId="0" applyFont="1" applyFill="1" applyBorder="1" applyAlignment="1">
      <alignment vertical="center"/>
    </xf>
    <xf numFmtId="0" fontId="84" fillId="7" borderId="0" xfId="0" applyFont="1" applyFill="1" applyBorder="1" applyAlignment="1">
      <alignment vertical="center"/>
    </xf>
    <xf numFmtId="0" fontId="53" fillId="7" borderId="4" xfId="0" applyFont="1" applyFill="1" applyBorder="1"/>
    <xf numFmtId="0" fontId="81" fillId="2" borderId="16" xfId="0" applyFont="1" applyFill="1" applyBorder="1" applyAlignment="1">
      <alignment horizontal="center" vertical="center"/>
    </xf>
    <xf numFmtId="0" fontId="81" fillId="2" borderId="0" xfId="0" applyFont="1" applyFill="1" applyBorder="1" applyAlignment="1">
      <alignment horizontal="center" vertical="center"/>
    </xf>
    <xf numFmtId="0" fontId="17" fillId="2" borderId="2" xfId="0" quotePrefix="1" applyFont="1" applyFill="1" applyBorder="1" applyAlignment="1">
      <alignment horizontal="left" vertical="center"/>
    </xf>
    <xf numFmtId="0" fontId="0" fillId="2" borderId="14" xfId="0" applyFill="1" applyBorder="1" applyAlignment="1">
      <alignment vertical="center"/>
    </xf>
    <xf numFmtId="2" fontId="37" fillId="0" borderId="0" xfId="0" applyNumberFormat="1" applyFont="1" applyFill="1" applyBorder="1" applyAlignment="1" applyProtection="1">
      <alignment horizontal="center"/>
      <protection locked="0" hidden="1"/>
    </xf>
    <xf numFmtId="0" fontId="19" fillId="2" borderId="0" xfId="0" applyNumberFormat="1" applyFont="1" applyFill="1" applyBorder="1" applyAlignment="1" applyProtection="1">
      <alignment horizontal="center"/>
      <protection locked="0" hidden="1"/>
    </xf>
    <xf numFmtId="0" fontId="0" fillId="2" borderId="14" xfId="0" applyFill="1" applyBorder="1" applyAlignment="1">
      <alignment horizontal="center"/>
    </xf>
    <xf numFmtId="0" fontId="57" fillId="7" borderId="5" xfId="0" applyFont="1" applyFill="1" applyBorder="1" applyAlignment="1">
      <alignment horizontal="right"/>
    </xf>
    <xf numFmtId="0" fontId="53" fillId="7" borderId="5" xfId="0" applyFont="1" applyFill="1" applyBorder="1" applyAlignment="1">
      <alignment horizontal="right"/>
    </xf>
    <xf numFmtId="0" fontId="57" fillId="7" borderId="12" xfId="0" applyFont="1" applyFill="1" applyBorder="1"/>
    <xf numFmtId="0" fontId="57" fillId="7" borderId="2" xfId="0" applyFont="1" applyFill="1" applyBorder="1" applyAlignment="1">
      <alignment horizontal="right"/>
    </xf>
    <xf numFmtId="0" fontId="53" fillId="7" borderId="2" xfId="0" applyFont="1" applyFill="1" applyBorder="1" applyAlignment="1">
      <alignment horizontal="right"/>
    </xf>
    <xf numFmtId="0" fontId="53" fillId="7" borderId="14" xfId="0" applyFont="1" applyFill="1" applyBorder="1" applyAlignment="1">
      <alignment horizontal="right"/>
    </xf>
    <xf numFmtId="0" fontId="53" fillId="7" borderId="4" xfId="0" applyFont="1" applyFill="1" applyBorder="1" applyAlignment="1">
      <alignment horizontal="right"/>
    </xf>
    <xf numFmtId="0" fontId="53" fillId="7" borderId="15" xfId="0" applyFon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84" fontId="0" fillId="0" borderId="32" xfId="0" applyNumberFormat="1" applyFill="1" applyBorder="1" applyAlignment="1" applyProtection="1">
      <alignment horizontal="right" vertical="center"/>
      <protection locked="0" hidden="1"/>
    </xf>
    <xf numFmtId="0" fontId="7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9" fillId="2" borderId="0" xfId="0" applyFont="1" applyFill="1" applyBorder="1" applyAlignment="1">
      <alignment horizontal="right" vertical="center"/>
    </xf>
    <xf numFmtId="184" fontId="0" fillId="0" borderId="45" xfId="0" applyNumberFormat="1" applyFill="1" applyBorder="1" applyAlignment="1" applyProtection="1">
      <alignment horizontal="right" vertical="center"/>
      <protection locked="0" hidden="1"/>
    </xf>
    <xf numFmtId="186" fontId="15" fillId="2" borderId="46" xfId="0" applyNumberFormat="1" applyFont="1" applyFill="1" applyBorder="1" applyAlignment="1" applyProtection="1">
      <alignment horizontal="right" vertical="center"/>
      <protection hidden="1"/>
    </xf>
    <xf numFmtId="0" fontId="0" fillId="2" borderId="4" xfId="0" applyFill="1" applyBorder="1" applyAlignment="1">
      <alignment vertical="center"/>
    </xf>
    <xf numFmtId="0" fontId="9" fillId="2" borderId="4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53" fillId="7" borderId="12" xfId="0" applyFont="1" applyFill="1" applyBorder="1" applyProtection="1"/>
    <xf numFmtId="0" fontId="53" fillId="7" borderId="13" xfId="0" applyFont="1" applyFill="1" applyBorder="1"/>
    <xf numFmtId="0" fontId="53" fillId="7" borderId="2" xfId="0" applyFont="1" applyFill="1" applyBorder="1" applyProtection="1"/>
    <xf numFmtId="0" fontId="53" fillId="7" borderId="14" xfId="0" applyFont="1" applyFill="1" applyBorder="1"/>
    <xf numFmtId="0" fontId="53" fillId="7" borderId="5" xfId="0" applyFont="1" applyFill="1" applyBorder="1" applyAlignment="1">
      <alignment horizontal="left"/>
    </xf>
    <xf numFmtId="0" fontId="53" fillId="7" borderId="15" xfId="0" applyFont="1" applyFill="1" applyBorder="1"/>
    <xf numFmtId="0" fontId="13" fillId="2" borderId="0" xfId="0" applyFont="1" applyFill="1" applyBorder="1" applyAlignment="1">
      <alignment horizontal="left"/>
    </xf>
    <xf numFmtId="0" fontId="0" fillId="0" borderId="15" xfId="0" applyFill="1" applyBorder="1" applyAlignment="1" applyProtection="1">
      <alignment horizontal="center" vertical="center"/>
      <protection locked="0" hidden="1"/>
    </xf>
    <xf numFmtId="0" fontId="0" fillId="2" borderId="2" xfId="0" applyFill="1" applyBorder="1" applyAlignment="1">
      <alignment horizontal="right" vertical="center"/>
    </xf>
    <xf numFmtId="0" fontId="0" fillId="0" borderId="0" xfId="0" applyNumberFormat="1" applyFill="1" applyBorder="1" applyAlignment="1" applyProtection="1">
      <alignment horizontal="center" vertical="center"/>
      <protection locked="0" hidden="1"/>
    </xf>
    <xf numFmtId="1" fontId="0" fillId="0" borderId="16" xfId="0" applyNumberFormat="1" applyFill="1" applyBorder="1" applyAlignment="1" applyProtection="1">
      <alignment horizontal="center" vertical="center"/>
      <protection locked="0"/>
    </xf>
    <xf numFmtId="0" fontId="19" fillId="2" borderId="16" xfId="0" applyFont="1" applyFill="1" applyBorder="1" applyAlignment="1">
      <alignment horizontal="right" vertical="center"/>
    </xf>
    <xf numFmtId="0" fontId="10" fillId="2" borderId="16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right" vertical="center"/>
    </xf>
    <xf numFmtId="0" fontId="10" fillId="2" borderId="4" xfId="0" applyFont="1" applyFill="1" applyBorder="1" applyAlignment="1">
      <alignment vertical="center"/>
    </xf>
    <xf numFmtId="1" fontId="37" fillId="2" borderId="0" xfId="0" applyNumberFormat="1" applyFont="1" applyFill="1" applyBorder="1" applyAlignment="1">
      <alignment horizontal="center" vertical="center"/>
    </xf>
    <xf numFmtId="165" fontId="37" fillId="2" borderId="3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1" fontId="37" fillId="2" borderId="0" xfId="0" applyNumberFormat="1" applyFont="1" applyFill="1" applyBorder="1" applyAlignment="1" applyProtection="1">
      <alignment horizontal="center" vertical="center"/>
      <protection locked="0"/>
    </xf>
    <xf numFmtId="165" fontId="37" fillId="2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34" xfId="0" applyFont="1" applyFill="1" applyBorder="1" applyAlignment="1">
      <alignment vertical="center"/>
    </xf>
    <xf numFmtId="0" fontId="9" fillId="2" borderId="16" xfId="0" applyFont="1" applyFill="1" applyBorder="1"/>
    <xf numFmtId="0" fontId="13" fillId="2" borderId="16" xfId="0" applyFont="1" applyFill="1" applyBorder="1" applyAlignment="1">
      <alignment horizontal="right"/>
    </xf>
    <xf numFmtId="0" fontId="9" fillId="2" borderId="2" xfId="0" applyFont="1" applyFill="1" applyBorder="1"/>
    <xf numFmtId="0" fontId="13" fillId="2" borderId="0" xfId="0" applyFont="1" applyFill="1" applyBorder="1" applyAlignment="1">
      <alignment horizontal="right"/>
    </xf>
    <xf numFmtId="0" fontId="19" fillId="2" borderId="0" xfId="0" applyFont="1" applyFill="1" applyAlignment="1" applyProtection="1">
      <alignment horizontal="center"/>
      <protection locked="0"/>
    </xf>
    <xf numFmtId="0" fontId="4" fillId="2" borderId="0" xfId="0" quotePrefix="1" applyFont="1" applyFill="1" applyAlignment="1" applyProtection="1">
      <alignment horizontal="left"/>
      <protection locked="0"/>
    </xf>
    <xf numFmtId="168" fontId="21" fillId="2" borderId="0" xfId="0" applyNumberFormat="1" applyFont="1" applyFill="1" applyBorder="1" applyAlignment="1" applyProtection="1">
      <alignment horizontal="center"/>
    </xf>
    <xf numFmtId="2" fontId="37" fillId="2" borderId="0" xfId="0" applyNumberFormat="1" applyFont="1" applyFill="1" applyAlignment="1" applyProtection="1">
      <alignment horizontal="right"/>
      <protection locked="0"/>
    </xf>
    <xf numFmtId="0" fontId="0" fillId="2" borderId="0" xfId="0" applyFill="1" applyAlignment="1" applyProtection="1">
      <alignment horizontal="right"/>
      <protection locked="0"/>
    </xf>
    <xf numFmtId="2" fontId="21" fillId="0" borderId="0" xfId="0" applyNumberFormat="1" applyFont="1" applyFill="1" applyBorder="1" applyAlignment="1" applyProtection="1">
      <alignment horizontal="center"/>
    </xf>
    <xf numFmtId="165" fontId="21" fillId="0" borderId="0" xfId="0" applyNumberFormat="1" applyFont="1" applyFill="1" applyBorder="1" applyAlignment="1" applyProtection="1">
      <alignment horizontal="center"/>
    </xf>
    <xf numFmtId="1" fontId="21" fillId="0" borderId="0" xfId="0" applyNumberFormat="1" applyFont="1" applyFill="1" applyBorder="1" applyAlignment="1" applyProtection="1">
      <alignment horizontal="center"/>
    </xf>
    <xf numFmtId="0" fontId="10" fillId="2" borderId="0" xfId="0" quotePrefix="1" applyFont="1" applyFill="1" applyBorder="1" applyAlignment="1" applyProtection="1">
      <alignment horizontal="left"/>
      <protection locked="0"/>
    </xf>
    <xf numFmtId="0" fontId="0" fillId="2" borderId="0" xfId="0" applyFill="1" applyAlignment="1" applyProtection="1">
      <protection locked="0"/>
    </xf>
    <xf numFmtId="0" fontId="10" fillId="2" borderId="0" xfId="0" applyFont="1" applyFill="1" applyAlignment="1" applyProtection="1">
      <protection locked="0"/>
    </xf>
    <xf numFmtId="0" fontId="0" fillId="2" borderId="0" xfId="0" applyFill="1" applyAlignment="1"/>
    <xf numFmtId="0" fontId="13" fillId="2" borderId="0" xfId="0" applyFont="1" applyFill="1" applyAlignment="1" applyProtection="1">
      <alignment horizontal="left"/>
      <protection locked="0"/>
    </xf>
    <xf numFmtId="0" fontId="62" fillId="7" borderId="0" xfId="0" applyFont="1" applyFill="1" applyProtection="1">
      <protection locked="0"/>
    </xf>
    <xf numFmtId="0" fontId="0" fillId="7" borderId="0" xfId="0" applyFill="1" applyAlignment="1" applyProtection="1">
      <protection locked="0"/>
    </xf>
    <xf numFmtId="0" fontId="0" fillId="7" borderId="0" xfId="0" applyFill="1" applyAlignment="1"/>
    <xf numFmtId="0" fontId="10" fillId="7" borderId="0" xfId="0" applyFont="1" applyFill="1" applyAlignment="1" applyProtection="1">
      <protection locked="0"/>
    </xf>
    <xf numFmtId="0" fontId="10" fillId="7" borderId="0" xfId="0" applyFont="1" applyFill="1" applyAlignment="1"/>
    <xf numFmtId="2" fontId="19" fillId="2" borderId="0" xfId="0" applyNumberFormat="1" applyFont="1" applyFill="1" applyAlignment="1" applyProtection="1">
      <alignment horizontal="right"/>
      <protection locked="0"/>
    </xf>
    <xf numFmtId="0" fontId="10" fillId="2" borderId="0" xfId="0" applyFont="1" applyFill="1" applyAlignment="1"/>
    <xf numFmtId="0" fontId="10" fillId="2" borderId="0" xfId="0" applyFont="1" applyFill="1"/>
    <xf numFmtId="14" fontId="10" fillId="0" borderId="0" xfId="0" applyNumberFormat="1" applyFont="1" applyFill="1" applyAlignment="1" applyProtection="1">
      <alignment horizontal="left"/>
      <protection locked="0"/>
    </xf>
    <xf numFmtId="0" fontId="21" fillId="2" borderId="0" xfId="0" applyFont="1" applyFill="1" applyAlignment="1" applyProtection="1">
      <alignment horizontal="left"/>
      <protection locked="0"/>
    </xf>
    <xf numFmtId="0" fontId="17" fillId="2" borderId="0" xfId="0" applyFont="1" applyFill="1" applyAlignment="1" applyProtection="1">
      <alignment horizontal="right"/>
      <protection locked="0"/>
    </xf>
    <xf numFmtId="195" fontId="0" fillId="0" borderId="30" xfId="0" applyNumberFormat="1" applyFill="1" applyBorder="1" applyProtection="1">
      <protection locked="0" hidden="1"/>
    </xf>
    <xf numFmtId="0" fontId="0" fillId="0" borderId="27" xfId="0" applyFill="1" applyBorder="1" applyAlignment="1" applyProtection="1">
      <alignment horizontal="center"/>
      <protection locked="0"/>
    </xf>
    <xf numFmtId="0" fontId="53" fillId="7" borderId="59" xfId="0" applyFont="1" applyFill="1" applyBorder="1"/>
    <xf numFmtId="0" fontId="53" fillId="7" borderId="20" xfId="0" applyFont="1" applyFill="1" applyBorder="1"/>
    <xf numFmtId="0" fontId="9" fillId="0" borderId="31" xfId="0" applyFont="1" applyFill="1" applyBorder="1" applyAlignment="1" applyProtection="1">
      <alignment horizontal="left"/>
      <protection locked="0" hidden="1"/>
    </xf>
    <xf numFmtId="1" fontId="19" fillId="2" borderId="16" xfId="0" applyNumberFormat="1" applyFont="1" applyFill="1" applyBorder="1" applyAlignment="1" applyProtection="1">
      <alignment horizontal="center" vertical="center"/>
      <protection hidden="1"/>
    </xf>
    <xf numFmtId="165" fontId="19" fillId="2" borderId="0" xfId="0" applyNumberFormat="1" applyFont="1" applyFill="1" applyBorder="1" applyAlignment="1" applyProtection="1">
      <alignment horizontal="center" vertical="center"/>
      <protection hidden="1"/>
    </xf>
    <xf numFmtId="2" fontId="19" fillId="2" borderId="4" xfId="0" applyNumberFormat="1" applyFont="1" applyFill="1" applyBorder="1" applyAlignment="1" applyProtection="1">
      <alignment horizontal="center" vertical="center"/>
      <protection hidden="1"/>
    </xf>
    <xf numFmtId="168" fontId="0" fillId="2" borderId="97" xfId="0" applyNumberFormat="1" applyFill="1" applyBorder="1" applyAlignment="1" applyProtection="1">
      <alignment horizontal="center"/>
      <protection locked="0"/>
    </xf>
    <xf numFmtId="168" fontId="0" fillId="2" borderId="98" xfId="0" applyNumberFormat="1" applyFill="1" applyBorder="1" applyAlignment="1" applyProtection="1">
      <alignment horizontal="center"/>
      <protection locked="0"/>
    </xf>
    <xf numFmtId="168" fontId="0" fillId="2" borderId="99" xfId="0" applyNumberFormat="1" applyFill="1" applyBorder="1" applyAlignment="1" applyProtection="1">
      <alignment horizontal="center"/>
      <protection locked="0"/>
    </xf>
    <xf numFmtId="168" fontId="0" fillId="0" borderId="83" xfId="0" applyNumberFormat="1" applyFill="1" applyBorder="1" applyAlignment="1" applyProtection="1">
      <alignment horizontal="center"/>
      <protection locked="0"/>
    </xf>
    <xf numFmtId="168" fontId="0" fillId="0" borderId="48" xfId="0" applyNumberFormat="1" applyFill="1" applyBorder="1" applyAlignment="1" applyProtection="1">
      <alignment horizontal="center"/>
      <protection locked="0"/>
    </xf>
    <xf numFmtId="168" fontId="0" fillId="0" borderId="52" xfId="0" applyNumberFormat="1" applyFill="1" applyBorder="1" applyAlignment="1" applyProtection="1">
      <alignment horizontal="center"/>
      <protection locked="0"/>
    </xf>
    <xf numFmtId="168" fontId="0" fillId="0" borderId="85" xfId="0" applyNumberFormat="1" applyFill="1" applyBorder="1" applyAlignment="1" applyProtection="1">
      <alignment horizontal="center"/>
      <protection locked="0"/>
    </xf>
    <xf numFmtId="168" fontId="0" fillId="0" borderId="100" xfId="0" applyNumberFormat="1" applyFill="1" applyBorder="1" applyAlignment="1" applyProtection="1">
      <alignment horizontal="center"/>
      <protection locked="0"/>
    </xf>
    <xf numFmtId="168" fontId="0" fillId="0" borderId="101" xfId="0" applyNumberFormat="1" applyFill="1" applyBorder="1" applyAlignment="1" applyProtection="1">
      <alignment horizontal="center"/>
      <protection locked="0"/>
    </xf>
    <xf numFmtId="168" fontId="0" fillId="2" borderId="74" xfId="0" applyNumberFormat="1" applyFill="1" applyBorder="1" applyAlignment="1" applyProtection="1">
      <alignment horizontal="center"/>
      <protection locked="0"/>
    </xf>
    <xf numFmtId="168" fontId="0" fillId="2" borderId="102" xfId="0" applyNumberFormat="1" applyFill="1" applyBorder="1" applyAlignment="1" applyProtection="1">
      <alignment horizontal="center"/>
      <protection locked="0"/>
    </xf>
    <xf numFmtId="168" fontId="0" fillId="2" borderId="58" xfId="0" applyNumberFormat="1" applyFill="1" applyBorder="1" applyAlignment="1" applyProtection="1">
      <alignment horizontal="center"/>
      <protection locked="0"/>
    </xf>
    <xf numFmtId="0" fontId="9" fillId="7" borderId="0" xfId="0" applyFont="1" applyFill="1" applyBorder="1" applyAlignment="1">
      <alignment horizontal="center"/>
    </xf>
    <xf numFmtId="0" fontId="9" fillId="7" borderId="0" xfId="0" applyFont="1" applyFill="1" applyBorder="1" applyProtection="1">
      <protection locked="0"/>
    </xf>
    <xf numFmtId="177" fontId="0" fillId="7" borderId="0" xfId="3" applyNumberFormat="1" applyFont="1" applyFill="1" applyBorder="1" applyAlignment="1" applyProtection="1">
      <alignment horizontal="center"/>
      <protection locked="0"/>
    </xf>
    <xf numFmtId="180" fontId="0" fillId="7" borderId="0" xfId="0" applyNumberFormat="1" applyFill="1" applyBorder="1" applyAlignment="1">
      <alignment horizontal="center"/>
    </xf>
    <xf numFmtId="0" fontId="70" fillId="11" borderId="0" xfId="0" applyFont="1" applyFill="1" applyAlignment="1" applyProtection="1">
      <alignment horizontal="center"/>
      <protection hidden="1"/>
    </xf>
    <xf numFmtId="0" fontId="71" fillId="11" borderId="0" xfId="0" applyFont="1" applyFill="1" applyAlignment="1" applyProtection="1">
      <alignment horizontal="center"/>
      <protection hidden="1"/>
    </xf>
    <xf numFmtId="0" fontId="73" fillId="11" borderId="0" xfId="0" applyFont="1" applyFill="1" applyAlignment="1" applyProtection="1">
      <alignment horizontal="center"/>
      <protection hidden="1"/>
    </xf>
    <xf numFmtId="0" fontId="9" fillId="2" borderId="2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0" borderId="16" xfId="0" applyFill="1" applyBorder="1" applyAlignment="1" applyProtection="1">
      <alignment horizontal="left"/>
      <protection locked="0" hidden="1"/>
    </xf>
    <xf numFmtId="0" fontId="0" fillId="0" borderId="13" xfId="0" applyFill="1" applyBorder="1" applyAlignment="1" applyProtection="1">
      <alignment horizontal="left"/>
      <protection locked="0" hidden="1"/>
    </xf>
    <xf numFmtId="0" fontId="0" fillId="2" borderId="2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174" fontId="0" fillId="0" borderId="47" xfId="0" applyNumberFormat="1" applyFill="1" applyBorder="1" applyAlignment="1" applyProtection="1">
      <alignment horizontal="left"/>
      <protection locked="0" hidden="1"/>
    </xf>
    <xf numFmtId="174" fontId="0" fillId="0" borderId="46" xfId="0" applyNumberFormat="1" applyFill="1" applyBorder="1" applyAlignment="1" applyProtection="1">
      <alignment horizontal="left"/>
      <protection locked="0" hidden="1"/>
    </xf>
    <xf numFmtId="49" fontId="0" fillId="0" borderId="43" xfId="0" applyNumberFormat="1" applyFill="1" applyBorder="1" applyAlignment="1" applyProtection="1">
      <alignment horizontal="left"/>
      <protection locked="0" hidden="1"/>
    </xf>
    <xf numFmtId="49" fontId="0" fillId="0" borderId="44" xfId="0" applyNumberFormat="1" applyFill="1" applyBorder="1" applyAlignment="1" applyProtection="1">
      <alignment horizontal="left"/>
      <protection locked="0" hidden="1"/>
    </xf>
    <xf numFmtId="0" fontId="0" fillId="0" borderId="30" xfId="0" applyFill="1" applyBorder="1" applyAlignment="1" applyProtection="1">
      <alignment horizontal="left"/>
      <protection locked="0" hidden="1"/>
    </xf>
    <xf numFmtId="0" fontId="61" fillId="7" borderId="0" xfId="2" applyFont="1" applyFill="1" applyAlignment="1" applyProtection="1">
      <alignment horizontal="center"/>
    </xf>
    <xf numFmtId="49" fontId="0" fillId="0" borderId="47" xfId="0" applyNumberFormat="1" applyFill="1" applyBorder="1" applyAlignment="1" applyProtection="1">
      <alignment horizontal="left"/>
      <protection locked="0" hidden="1"/>
    </xf>
    <xf numFmtId="49" fontId="0" fillId="0" borderId="46" xfId="0" applyNumberFormat="1" applyFill="1" applyBorder="1" applyAlignment="1" applyProtection="1">
      <alignment horizontal="left"/>
      <protection locked="0" hidden="1"/>
    </xf>
    <xf numFmtId="174" fontId="0" fillId="0" borderId="31" xfId="0" applyNumberFormat="1" applyFill="1" applyBorder="1" applyAlignment="1" applyProtection="1">
      <alignment horizontal="left"/>
      <protection locked="0" hidden="1"/>
    </xf>
    <xf numFmtId="174" fontId="0" fillId="0" borderId="32" xfId="0" applyNumberFormat="1" applyFill="1" applyBorder="1" applyAlignment="1" applyProtection="1">
      <alignment horizontal="left"/>
      <protection locked="0" hidden="1"/>
    </xf>
    <xf numFmtId="0" fontId="56" fillId="7" borderId="0" xfId="2" applyFont="1" applyFill="1" applyAlignment="1" applyProtection="1">
      <alignment horizontal="center"/>
    </xf>
    <xf numFmtId="0" fontId="53" fillId="7" borderId="0" xfId="0" applyFont="1" applyFill="1" applyAlignment="1">
      <alignment horizontal="center"/>
    </xf>
    <xf numFmtId="0" fontId="0" fillId="0" borderId="43" xfId="0" applyFill="1" applyBorder="1" applyAlignment="1" applyProtection="1">
      <alignment horizontal="left"/>
      <protection locked="0" hidden="1"/>
    </xf>
    <xf numFmtId="188" fontId="9" fillId="2" borderId="104" xfId="0" applyNumberFormat="1" applyFont="1" applyFill="1" applyBorder="1" applyAlignment="1" applyProtection="1">
      <alignment horizontal="center" vertical="center" wrapText="1"/>
      <protection hidden="1"/>
    </xf>
    <xf numFmtId="188" fontId="9" fillId="2" borderId="45" xfId="0" applyNumberFormat="1" applyFont="1" applyFill="1" applyBorder="1" applyAlignment="1" applyProtection="1">
      <alignment horizontal="center" vertical="center" wrapText="1"/>
      <protection hidden="1"/>
    </xf>
    <xf numFmtId="0" fontId="37" fillId="2" borderId="5" xfId="0" applyFont="1" applyFill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/>
    </xf>
    <xf numFmtId="0" fontId="56" fillId="7" borderId="0" xfId="2" applyFill="1" applyAlignment="1" applyProtection="1">
      <alignment horizontal="center"/>
    </xf>
    <xf numFmtId="0" fontId="9" fillId="2" borderId="10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174" fontId="0" fillId="2" borderId="47" xfId="0" applyNumberFormat="1" applyFill="1" applyBorder="1" applyAlignment="1" applyProtection="1">
      <protection hidden="1"/>
    </xf>
    <xf numFmtId="174" fontId="0" fillId="2" borderId="46" xfId="0" applyNumberFormat="1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locked="0"/>
    </xf>
    <xf numFmtId="0" fontId="9" fillId="0" borderId="4" xfId="0" applyFont="1" applyFill="1" applyBorder="1" applyAlignment="1" applyProtection="1">
      <alignment horizontal="center"/>
      <protection locked="0"/>
    </xf>
    <xf numFmtId="0" fontId="9" fillId="0" borderId="15" xfId="0" applyFont="1" applyFill="1" applyBorder="1" applyAlignment="1" applyProtection="1">
      <alignment horizontal="center"/>
      <protection locked="0"/>
    </xf>
    <xf numFmtId="0" fontId="37" fillId="0" borderId="2" xfId="0" applyFont="1" applyFill="1" applyBorder="1" applyAlignment="1" applyProtection="1">
      <alignment horizontal="center"/>
      <protection locked="0"/>
    </xf>
    <xf numFmtId="0" fontId="37" fillId="0" borderId="0" xfId="0" applyFont="1" applyFill="1" applyBorder="1" applyAlignment="1" applyProtection="1">
      <alignment horizontal="center"/>
      <protection locked="0"/>
    </xf>
    <xf numFmtId="0" fontId="37" fillId="0" borderId="14" xfId="0" applyFont="1" applyFill="1" applyBorder="1" applyAlignment="1" applyProtection="1">
      <alignment horizontal="center"/>
      <protection locked="0"/>
    </xf>
    <xf numFmtId="0" fontId="13" fillId="0" borderId="16" xfId="0" applyFont="1" applyFill="1" applyBorder="1" applyAlignment="1" applyProtection="1">
      <alignment horizontal="left"/>
      <protection locked="0"/>
    </xf>
    <xf numFmtId="0" fontId="13" fillId="0" borderId="13" xfId="0" applyFont="1" applyFill="1" applyBorder="1" applyAlignment="1" applyProtection="1">
      <alignment horizontal="left"/>
      <protection locked="0"/>
    </xf>
    <xf numFmtId="1" fontId="9" fillId="2" borderId="91" xfId="0" applyNumberFormat="1" applyFont="1" applyFill="1" applyBorder="1" applyAlignment="1">
      <alignment horizontal="center" vertical="center"/>
    </xf>
    <xf numFmtId="1" fontId="9" fillId="2" borderId="14" xfId="0" applyNumberFormat="1" applyFont="1" applyFill="1" applyBorder="1" applyAlignment="1">
      <alignment horizontal="center" vertical="center"/>
    </xf>
    <xf numFmtId="0" fontId="9" fillId="2" borderId="91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 vertical="center"/>
    </xf>
    <xf numFmtId="194" fontId="32" fillId="2" borderId="4" xfId="0" applyNumberFormat="1" applyFont="1" applyFill="1" applyBorder="1" applyAlignment="1" applyProtection="1">
      <alignment horizontal="center" vertical="center"/>
      <protection hidden="1"/>
    </xf>
    <xf numFmtId="194" fontId="32" fillId="2" borderId="15" xfId="0" applyNumberFormat="1" applyFont="1" applyFill="1" applyBorder="1" applyAlignment="1" applyProtection="1">
      <alignment horizontal="center" vertical="center"/>
      <protection hidden="1"/>
    </xf>
    <xf numFmtId="193" fontId="37" fillId="2" borderId="4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37" fillId="0" borderId="0" xfId="0" applyNumberFormat="1" applyFont="1" applyFill="1" applyBorder="1" applyAlignment="1" applyProtection="1">
      <alignment horizontal="right"/>
      <protection locked="0" hidden="1"/>
    </xf>
    <xf numFmtId="185" fontId="9" fillId="2" borderId="106" xfId="0" applyNumberFormat="1" applyFont="1" applyFill="1" applyBorder="1" applyAlignment="1" applyProtection="1">
      <alignment horizontal="center" vertical="center"/>
      <protection hidden="1"/>
    </xf>
    <xf numFmtId="185" fontId="9" fillId="2" borderId="13" xfId="0" applyNumberFormat="1" applyFont="1" applyFill="1" applyBorder="1" applyAlignment="1" applyProtection="1">
      <alignment horizontal="center" vertical="center"/>
      <protection hidden="1"/>
    </xf>
    <xf numFmtId="185" fontId="9" fillId="2" borderId="91" xfId="0" applyNumberFormat="1" applyFont="1" applyFill="1" applyBorder="1" applyAlignment="1" applyProtection="1">
      <alignment horizontal="center" vertical="center"/>
      <protection hidden="1"/>
    </xf>
    <xf numFmtId="193" fontId="37" fillId="2" borderId="0" xfId="0" applyNumberFormat="1" applyFont="1" applyFill="1" applyBorder="1" applyAlignment="1">
      <alignment horizontal="center" vertical="center"/>
    </xf>
    <xf numFmtId="194" fontId="32" fillId="2" borderId="0" xfId="0" applyNumberFormat="1" applyFont="1" applyFill="1" applyBorder="1" applyAlignment="1" applyProtection="1">
      <alignment horizontal="center" vertical="center"/>
      <protection hidden="1"/>
    </xf>
    <xf numFmtId="194" fontId="32" fillId="2" borderId="14" xfId="0" applyNumberFormat="1" applyFont="1" applyFill="1" applyBorder="1" applyAlignment="1" applyProtection="1">
      <alignment horizontal="center" vertical="center"/>
      <protection hidden="1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169" fontId="78" fillId="2" borderId="43" xfId="0" applyNumberFormat="1" applyFont="1" applyFill="1" applyBorder="1" applyAlignment="1">
      <alignment horizontal="left"/>
    </xf>
    <xf numFmtId="169" fontId="78" fillId="2" borderId="103" xfId="0" applyNumberFormat="1" applyFont="1" applyFill="1" applyBorder="1" applyAlignment="1">
      <alignment horizontal="left"/>
    </xf>
    <xf numFmtId="1" fontId="9" fillId="2" borderId="104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94" fontId="32" fillId="2" borderId="16" xfId="0" applyNumberFormat="1" applyFont="1" applyFill="1" applyBorder="1" applyAlignment="1" applyProtection="1">
      <alignment horizontal="center" vertical="center"/>
      <protection hidden="1"/>
    </xf>
    <xf numFmtId="194" fontId="32" fillId="2" borderId="13" xfId="0" applyNumberFormat="1" applyFont="1" applyFill="1" applyBorder="1" applyAlignment="1" applyProtection="1">
      <alignment horizontal="center" vertical="center"/>
      <protection hidden="1"/>
    </xf>
    <xf numFmtId="0" fontId="9" fillId="2" borderId="104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168" fontId="0" fillId="0" borderId="111" xfId="0" applyNumberFormat="1" applyFill="1" applyBorder="1" applyAlignment="1" applyProtection="1">
      <alignment horizontal="center"/>
      <protection locked="0"/>
    </xf>
    <xf numFmtId="168" fontId="0" fillId="0" borderId="112" xfId="0" applyNumberFormat="1" applyFill="1" applyBorder="1" applyAlignment="1" applyProtection="1">
      <alignment horizontal="center"/>
      <protection locked="0"/>
    </xf>
    <xf numFmtId="168" fontId="0" fillId="0" borderId="107" xfId="0" applyNumberFormat="1" applyFill="1" applyBorder="1" applyAlignment="1" applyProtection="1">
      <alignment horizontal="center"/>
      <protection locked="0"/>
    </xf>
    <xf numFmtId="168" fontId="0" fillId="0" borderId="46" xfId="0" applyNumberFormat="1" applyFill="1" applyBorder="1" applyAlignment="1" applyProtection="1">
      <alignment horizontal="center"/>
      <protection locked="0"/>
    </xf>
    <xf numFmtId="0" fontId="31" fillId="2" borderId="0" xfId="0" applyFont="1" applyFill="1" applyBorder="1" applyAlignment="1">
      <alignment horizontal="center"/>
    </xf>
    <xf numFmtId="0" fontId="31" fillId="2" borderId="12" xfId="0" applyFont="1" applyFill="1" applyBorder="1" applyAlignment="1">
      <alignment horizontal="center"/>
    </xf>
    <xf numFmtId="0" fontId="31" fillId="2" borderId="16" xfId="0" applyFont="1" applyFill="1" applyBorder="1" applyAlignment="1">
      <alignment horizontal="center"/>
    </xf>
    <xf numFmtId="0" fontId="31" fillId="2" borderId="13" xfId="0" applyFont="1" applyFill="1" applyBorder="1" applyAlignment="1">
      <alignment horizontal="center"/>
    </xf>
    <xf numFmtId="0" fontId="15" fillId="2" borderId="11" xfId="0" applyFont="1" applyFill="1" applyBorder="1" applyAlignment="1">
      <alignment horizontal="center" wrapText="1"/>
    </xf>
    <xf numFmtId="0" fontId="15" fillId="2" borderId="7" xfId="0" applyFont="1" applyFill="1" applyBorder="1" applyAlignment="1">
      <alignment horizontal="center" wrapText="1"/>
    </xf>
    <xf numFmtId="0" fontId="54" fillId="2" borderId="108" xfId="0" applyFont="1" applyFill="1" applyBorder="1" applyAlignment="1">
      <alignment horizontal="center"/>
    </xf>
    <xf numFmtId="0" fontId="54" fillId="2" borderId="32" xfId="0" applyFont="1" applyFill="1" applyBorder="1" applyAlignment="1">
      <alignment horizontal="center"/>
    </xf>
    <xf numFmtId="0" fontId="54" fillId="2" borderId="109" xfId="0" applyFont="1" applyFill="1" applyBorder="1" applyAlignment="1">
      <alignment horizontal="center"/>
    </xf>
    <xf numFmtId="0" fontId="54" fillId="2" borderId="110" xfId="0" applyFont="1" applyFill="1" applyBorder="1" applyAlignment="1">
      <alignment horizontal="center"/>
    </xf>
    <xf numFmtId="174" fontId="9" fillId="2" borderId="47" xfId="0" applyNumberFormat="1" applyFont="1" applyFill="1" applyBorder="1" applyAlignment="1" applyProtection="1">
      <alignment horizontal="left"/>
      <protection hidden="1"/>
    </xf>
    <xf numFmtId="174" fontId="9" fillId="2" borderId="46" xfId="0" applyNumberFormat="1" applyFont="1" applyFill="1" applyBorder="1" applyAlignment="1" applyProtection="1">
      <alignment horizontal="left"/>
      <protection hidden="1"/>
    </xf>
    <xf numFmtId="0" fontId="25" fillId="2" borderId="0" xfId="0" applyFont="1" applyFill="1" applyAlignment="1" applyProtection="1">
      <alignment horizontal="center"/>
      <protection locked="0"/>
    </xf>
    <xf numFmtId="0" fontId="26" fillId="2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191" fontId="13" fillId="0" borderId="0" xfId="0" applyNumberFormat="1" applyFont="1" applyFill="1" applyAlignment="1" applyProtection="1">
      <alignment horizontal="left"/>
      <protection locked="0"/>
    </xf>
  </cellXfs>
  <cellStyles count="7">
    <cellStyle name="Lien hypertexte" xfId="2" builtinId="8"/>
    <cellStyle name="Milliers" xfId="1" builtinId="3"/>
    <cellStyle name="Normal" xfId="0" builtinId="0"/>
    <cellStyle name="Normal 2" xfId="4" xr:uid="{00000000-0005-0000-0000-000003000000}"/>
    <cellStyle name="Normal 2 2" xfId="6" xr:uid="{9459506B-D286-46C7-86FE-56D8438E78DA}"/>
    <cellStyle name="Normal 3" xfId="5" xr:uid="{00000000-0005-0000-0000-000004000000}"/>
    <cellStyle name="Pourcentage" xfId="3" builtinId="5"/>
  </cellStyles>
  <dxfs count="19"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26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ont>
        <b val="0"/>
        <i val="0"/>
        <condense val="0"/>
        <extend val="0"/>
      </font>
      <fill>
        <patternFill>
          <bgColor indexed="10"/>
        </patternFill>
      </fill>
    </dxf>
    <dxf>
      <font>
        <b val="0"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26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chartsheet" Target="chartsheets/sheet1.xml"/><Relationship Id="rId15" Type="http://schemas.openxmlformats.org/officeDocument/2006/relationships/styles" Target="styles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DS!$B$39</c:f>
          <c:strCache>
            <c:ptCount val="1"/>
            <c:pt idx="0">
              <c:v>Graphe des fuites d'air </c:v>
            </c:pt>
          </c:strCache>
        </c:strRef>
      </c:tx>
      <c:layout>
        <c:manualLayout>
          <c:xMode val="edge"/>
          <c:yMode val="edge"/>
          <c:x val="0.35551948051948051"/>
          <c:y val="4.491978609625668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4155844155844159E-2"/>
          <c:y val="0.1304812834224599"/>
          <c:w val="0.88636363636363635"/>
          <c:h val="0.64919786096256682"/>
        </c:manualLayout>
      </c:layout>
      <c:scatterChart>
        <c:scatterStyle val="lineMarker"/>
        <c:varyColors val="0"/>
        <c:ser>
          <c:idx val="0"/>
          <c:order val="0"/>
          <c:tx>
            <c:strRef>
              <c:f>DS!$C$1:$C$3</c:f>
              <c:strCache>
                <c:ptCount val="3"/>
                <c:pt idx="0">
                  <c:v>(Flux d'air)</c:v>
                </c:pt>
                <c:pt idx="1">
                  <c:v>Dépressurisation</c:v>
                </c:pt>
                <c:pt idx="2">
                  <c:v>[m³/h]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DS!$B$4:$B$34</c:f>
              <c:numCache>
                <c:formatCode>0</c:formatCode>
                <c:ptCount val="31"/>
                <c:pt idx="0">
                  <c:v>100</c:v>
                </c:pt>
                <c:pt idx="1">
                  <c:v>60.125</c:v>
                </c:pt>
                <c:pt idx="2">
                  <c:v>55.125</c:v>
                </c:pt>
                <c:pt idx="3">
                  <c:v>50.125</c:v>
                </c:pt>
                <c:pt idx="4">
                  <c:v>45.125</c:v>
                </c:pt>
                <c:pt idx="5">
                  <c:v>40.125</c:v>
                </c:pt>
                <c:pt idx="6">
                  <c:v>30.125</c:v>
                </c:pt>
                <c:pt idx="7">
                  <c:v>20.125</c:v>
                </c:pt>
                <c:pt idx="8">
                  <c:v>10.125</c:v>
                </c:pt>
                <c:pt idx="9">
                  <c:v>1</c:v>
                </c:pt>
                <c:pt idx="10">
                  <c:v>50</c:v>
                </c:pt>
                <c:pt idx="11" formatCode="0.00">
                  <c:v>1</c:v>
                </c:pt>
                <c:pt idx="12" formatCode="0.00">
                  <c:v>1</c:v>
                </c:pt>
                <c:pt idx="13" formatCode="0.00">
                  <c:v>1</c:v>
                </c:pt>
                <c:pt idx="14" formatCode="0.00">
                  <c:v>1</c:v>
                </c:pt>
                <c:pt idx="15" formatCode="0.00">
                  <c:v>1</c:v>
                </c:pt>
                <c:pt idx="16" formatCode="0.00">
                  <c:v>1</c:v>
                </c:pt>
                <c:pt idx="17" formatCode="0.00">
                  <c:v>1</c:v>
                </c:pt>
                <c:pt idx="18" formatCode="0.00">
                  <c:v>1</c:v>
                </c:pt>
                <c:pt idx="19" formatCode="0.00">
                  <c:v>1</c:v>
                </c:pt>
                <c:pt idx="20" formatCode="0.00">
                  <c:v>1</c:v>
                </c:pt>
                <c:pt idx="21" formatCode="0.00">
                  <c:v>1</c:v>
                </c:pt>
                <c:pt idx="22" formatCode="0.00">
                  <c:v>1</c:v>
                </c:pt>
                <c:pt idx="23" formatCode="0.00">
                  <c:v>1</c:v>
                </c:pt>
                <c:pt idx="24" formatCode="0.00">
                  <c:v>1</c:v>
                </c:pt>
                <c:pt idx="25" formatCode="0.00">
                  <c:v>1</c:v>
                </c:pt>
                <c:pt idx="26" formatCode="0.00">
                  <c:v>1</c:v>
                </c:pt>
                <c:pt idx="27" formatCode="0.00">
                  <c:v>1</c:v>
                </c:pt>
                <c:pt idx="28" formatCode="0.00">
                  <c:v>1</c:v>
                </c:pt>
                <c:pt idx="29" formatCode="0.00">
                  <c:v>1</c:v>
                </c:pt>
                <c:pt idx="30" formatCode="0.00">
                  <c:v>1</c:v>
                </c:pt>
              </c:numCache>
            </c:numRef>
          </c:xVal>
          <c:yVal>
            <c:numRef>
              <c:f>DS!$C$4:$C$34</c:f>
              <c:numCache>
                <c:formatCode>0</c:formatCode>
                <c:ptCount val="31"/>
                <c:pt idx="11" formatCode="0.00">
                  <c:v>1</c:v>
                </c:pt>
                <c:pt idx="12" formatCode="0.00">
                  <c:v>1</c:v>
                </c:pt>
                <c:pt idx="13" formatCode="0.00">
                  <c:v>1</c:v>
                </c:pt>
                <c:pt idx="14" formatCode="0.00">
                  <c:v>1</c:v>
                </c:pt>
                <c:pt idx="15" formatCode="0.00">
                  <c:v>1</c:v>
                </c:pt>
                <c:pt idx="16" formatCode="0.00">
                  <c:v>1</c:v>
                </c:pt>
                <c:pt idx="17" formatCode="0.00">
                  <c:v>1</c:v>
                </c:pt>
                <c:pt idx="18" formatCode="0.00">
                  <c:v>1</c:v>
                </c:pt>
                <c:pt idx="19" formatCode="0.00">
                  <c:v>1</c:v>
                </c:pt>
                <c:pt idx="20" formatCode="0.0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97-4081-A907-DBD6C90E8A06}"/>
            </c:ext>
          </c:extLst>
        </c:ser>
        <c:ser>
          <c:idx val="1"/>
          <c:order val="1"/>
          <c:tx>
            <c:strRef>
              <c:f>DS!$D$1:$D$3</c:f>
              <c:strCache>
                <c:ptCount val="3"/>
                <c:pt idx="0">
                  <c:v>(Flux d'air)</c:v>
                </c:pt>
                <c:pt idx="1">
                  <c:v>Pressurisation</c:v>
                </c:pt>
                <c:pt idx="2">
                  <c:v>[m³/h]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DS!$B$4:$B$34</c:f>
              <c:numCache>
                <c:formatCode>0</c:formatCode>
                <c:ptCount val="31"/>
                <c:pt idx="0">
                  <c:v>100</c:v>
                </c:pt>
                <c:pt idx="1">
                  <c:v>60.125</c:v>
                </c:pt>
                <c:pt idx="2">
                  <c:v>55.125</c:v>
                </c:pt>
                <c:pt idx="3">
                  <c:v>50.125</c:v>
                </c:pt>
                <c:pt idx="4">
                  <c:v>45.125</c:v>
                </c:pt>
                <c:pt idx="5">
                  <c:v>40.125</c:v>
                </c:pt>
                <c:pt idx="6">
                  <c:v>30.125</c:v>
                </c:pt>
                <c:pt idx="7">
                  <c:v>20.125</c:v>
                </c:pt>
                <c:pt idx="8">
                  <c:v>10.125</c:v>
                </c:pt>
                <c:pt idx="9">
                  <c:v>1</c:v>
                </c:pt>
                <c:pt idx="10">
                  <c:v>50</c:v>
                </c:pt>
                <c:pt idx="11" formatCode="0.00">
                  <c:v>1</c:v>
                </c:pt>
                <c:pt idx="12" formatCode="0.00">
                  <c:v>1</c:v>
                </c:pt>
                <c:pt idx="13" formatCode="0.00">
                  <c:v>1</c:v>
                </c:pt>
                <c:pt idx="14" formatCode="0.00">
                  <c:v>1</c:v>
                </c:pt>
                <c:pt idx="15" formatCode="0.00">
                  <c:v>1</c:v>
                </c:pt>
                <c:pt idx="16" formatCode="0.00">
                  <c:v>1</c:v>
                </c:pt>
                <c:pt idx="17" formatCode="0.00">
                  <c:v>1</c:v>
                </c:pt>
                <c:pt idx="18" formatCode="0.00">
                  <c:v>1</c:v>
                </c:pt>
                <c:pt idx="19" formatCode="0.00">
                  <c:v>1</c:v>
                </c:pt>
                <c:pt idx="20" formatCode="0.00">
                  <c:v>1</c:v>
                </c:pt>
                <c:pt idx="21" formatCode="0.00">
                  <c:v>1</c:v>
                </c:pt>
                <c:pt idx="22" formatCode="0.00">
                  <c:v>1</c:v>
                </c:pt>
                <c:pt idx="23" formatCode="0.00">
                  <c:v>1</c:v>
                </c:pt>
                <c:pt idx="24" formatCode="0.00">
                  <c:v>1</c:v>
                </c:pt>
                <c:pt idx="25" formatCode="0.00">
                  <c:v>1</c:v>
                </c:pt>
                <c:pt idx="26" formatCode="0.00">
                  <c:v>1</c:v>
                </c:pt>
                <c:pt idx="27" formatCode="0.00">
                  <c:v>1</c:v>
                </c:pt>
                <c:pt idx="28" formatCode="0.00">
                  <c:v>1</c:v>
                </c:pt>
                <c:pt idx="29" formatCode="0.00">
                  <c:v>1</c:v>
                </c:pt>
                <c:pt idx="30" formatCode="0.00">
                  <c:v>1</c:v>
                </c:pt>
              </c:numCache>
            </c:numRef>
          </c:xVal>
          <c:yVal>
            <c:numRef>
              <c:f>DS!$D$4:$D$34</c:f>
              <c:numCache>
                <c:formatCode>0</c:formatCode>
                <c:ptCount val="31"/>
                <c:pt idx="21" formatCode="0.00">
                  <c:v>1</c:v>
                </c:pt>
                <c:pt idx="22" formatCode="0.00">
                  <c:v>1</c:v>
                </c:pt>
                <c:pt idx="23" formatCode="0.00">
                  <c:v>1</c:v>
                </c:pt>
                <c:pt idx="24" formatCode="0.00">
                  <c:v>1</c:v>
                </c:pt>
                <c:pt idx="25" formatCode="0.00">
                  <c:v>1</c:v>
                </c:pt>
                <c:pt idx="26" formatCode="0.00">
                  <c:v>1</c:v>
                </c:pt>
                <c:pt idx="27" formatCode="0.00">
                  <c:v>1</c:v>
                </c:pt>
                <c:pt idx="28" formatCode="0.00">
                  <c:v>1</c:v>
                </c:pt>
                <c:pt idx="29" formatCode="0.00">
                  <c:v>1</c:v>
                </c:pt>
                <c:pt idx="30" formatCode="0.0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97-4081-A907-DBD6C90E8A06}"/>
            </c:ext>
          </c:extLst>
        </c:ser>
        <c:ser>
          <c:idx val="2"/>
          <c:order val="2"/>
          <c:tx>
            <c:strRef>
              <c:f>DS!$E$1:$E$3</c:f>
              <c:strCache>
                <c:ptCount val="3"/>
                <c:pt idx="0">
                  <c:v>Droite de régression</c:v>
                </c:pt>
                <c:pt idx="1">
                  <c:v>Dépressurisation</c:v>
                </c:pt>
                <c:pt idx="2">
                  <c:v>[m³/h]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DS!$B$4:$B$13</c:f>
              <c:numCache>
                <c:formatCode>0</c:formatCode>
                <c:ptCount val="10"/>
                <c:pt idx="0">
                  <c:v>100</c:v>
                </c:pt>
                <c:pt idx="1">
                  <c:v>60.125</c:v>
                </c:pt>
                <c:pt idx="2">
                  <c:v>55.125</c:v>
                </c:pt>
                <c:pt idx="3">
                  <c:v>50.125</c:v>
                </c:pt>
                <c:pt idx="4">
                  <c:v>45.125</c:v>
                </c:pt>
                <c:pt idx="5">
                  <c:v>40.125</c:v>
                </c:pt>
                <c:pt idx="6">
                  <c:v>30.125</c:v>
                </c:pt>
                <c:pt idx="7">
                  <c:v>20.125</c:v>
                </c:pt>
                <c:pt idx="8">
                  <c:v>10.125</c:v>
                </c:pt>
                <c:pt idx="9">
                  <c:v>1</c:v>
                </c:pt>
              </c:numCache>
            </c:numRef>
          </c:xVal>
          <c:yVal>
            <c:numRef>
              <c:f>DS!$E$4:$E$13</c:f>
              <c:numCache>
                <c:formatCode>0;[Red]0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97-4081-A907-DBD6C90E8A06}"/>
            </c:ext>
          </c:extLst>
        </c:ser>
        <c:ser>
          <c:idx val="3"/>
          <c:order val="3"/>
          <c:tx>
            <c:strRef>
              <c:f>DS!$F$1:$F$3</c:f>
              <c:strCache>
                <c:ptCount val="3"/>
                <c:pt idx="0">
                  <c:v>Droite de régression</c:v>
                </c:pt>
                <c:pt idx="1">
                  <c:v>Pressurisation</c:v>
                </c:pt>
                <c:pt idx="2">
                  <c:v>[m³/h]</c:v>
                </c:pt>
              </c:strCache>
            </c:strRef>
          </c:tx>
          <c:spPr>
            <a:ln w="12700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DS!$B$4:$B$13</c:f>
              <c:numCache>
                <c:formatCode>0</c:formatCode>
                <c:ptCount val="10"/>
                <c:pt idx="0">
                  <c:v>100</c:v>
                </c:pt>
                <c:pt idx="1">
                  <c:v>60.125</c:v>
                </c:pt>
                <c:pt idx="2">
                  <c:v>55.125</c:v>
                </c:pt>
                <c:pt idx="3">
                  <c:v>50.125</c:v>
                </c:pt>
                <c:pt idx="4">
                  <c:v>45.125</c:v>
                </c:pt>
                <c:pt idx="5">
                  <c:v>40.125</c:v>
                </c:pt>
                <c:pt idx="6">
                  <c:v>30.125</c:v>
                </c:pt>
                <c:pt idx="7">
                  <c:v>20.125</c:v>
                </c:pt>
                <c:pt idx="8">
                  <c:v>10.125</c:v>
                </c:pt>
                <c:pt idx="9">
                  <c:v>1</c:v>
                </c:pt>
              </c:numCache>
            </c:numRef>
          </c:xVal>
          <c:yVal>
            <c:numRef>
              <c:f>DS!$F$4:$F$13</c:f>
              <c:numCache>
                <c:formatCode>0;[Red]0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497-4081-A907-DBD6C90E8A06}"/>
            </c:ext>
          </c:extLst>
        </c:ser>
        <c:ser>
          <c:idx val="4"/>
          <c:order val="4"/>
          <c:tx>
            <c:strRef>
              <c:f>DS!$G$1:$G$3</c:f>
              <c:strCache>
                <c:ptCount val="3"/>
                <c:pt idx="0">
                  <c:v>Débit d'air à 50 Pa</c:v>
                </c:pt>
                <c:pt idx="2">
                  <c:v>[m³/h]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DS!$B$4:$B$34</c:f>
              <c:numCache>
                <c:formatCode>0</c:formatCode>
                <c:ptCount val="31"/>
                <c:pt idx="0">
                  <c:v>100</c:v>
                </c:pt>
                <c:pt idx="1">
                  <c:v>60.125</c:v>
                </c:pt>
                <c:pt idx="2">
                  <c:v>55.125</c:v>
                </c:pt>
                <c:pt idx="3">
                  <c:v>50.125</c:v>
                </c:pt>
                <c:pt idx="4">
                  <c:v>45.125</c:v>
                </c:pt>
                <c:pt idx="5">
                  <c:v>40.125</c:v>
                </c:pt>
                <c:pt idx="6">
                  <c:v>30.125</c:v>
                </c:pt>
                <c:pt idx="7">
                  <c:v>20.125</c:v>
                </c:pt>
                <c:pt idx="8">
                  <c:v>10.125</c:v>
                </c:pt>
                <c:pt idx="9">
                  <c:v>1</c:v>
                </c:pt>
                <c:pt idx="10">
                  <c:v>50</c:v>
                </c:pt>
                <c:pt idx="11" formatCode="0.00">
                  <c:v>1</c:v>
                </c:pt>
                <c:pt idx="12" formatCode="0.00">
                  <c:v>1</c:v>
                </c:pt>
                <c:pt idx="13" formatCode="0.00">
                  <c:v>1</c:v>
                </c:pt>
                <c:pt idx="14" formatCode="0.00">
                  <c:v>1</c:v>
                </c:pt>
                <c:pt idx="15" formatCode="0.00">
                  <c:v>1</c:v>
                </c:pt>
                <c:pt idx="16" formatCode="0.00">
                  <c:v>1</c:v>
                </c:pt>
                <c:pt idx="17" formatCode="0.00">
                  <c:v>1</c:v>
                </c:pt>
                <c:pt idx="18" formatCode="0.00">
                  <c:v>1</c:v>
                </c:pt>
                <c:pt idx="19" formatCode="0.00">
                  <c:v>1</c:v>
                </c:pt>
                <c:pt idx="20" formatCode="0.00">
                  <c:v>1</c:v>
                </c:pt>
                <c:pt idx="21" formatCode="0.00">
                  <c:v>1</c:v>
                </c:pt>
                <c:pt idx="22" formatCode="0.00">
                  <c:v>1</c:v>
                </c:pt>
                <c:pt idx="23" formatCode="0.00">
                  <c:v>1</c:v>
                </c:pt>
                <c:pt idx="24" formatCode="0.00">
                  <c:v>1</c:v>
                </c:pt>
                <c:pt idx="25" formatCode="0.00">
                  <c:v>1</c:v>
                </c:pt>
                <c:pt idx="26" formatCode="0.00">
                  <c:v>1</c:v>
                </c:pt>
                <c:pt idx="27" formatCode="0.00">
                  <c:v>1</c:v>
                </c:pt>
                <c:pt idx="28" formatCode="0.00">
                  <c:v>1</c:v>
                </c:pt>
                <c:pt idx="29" formatCode="0.00">
                  <c:v>1</c:v>
                </c:pt>
                <c:pt idx="30" formatCode="0.00">
                  <c:v>1</c:v>
                </c:pt>
              </c:numCache>
            </c:numRef>
          </c:xVal>
          <c:yVal>
            <c:numRef>
              <c:f>DS!$G$4:$G$34</c:f>
              <c:numCache>
                <c:formatCode>0</c:formatCode>
                <c:ptCount val="31"/>
                <c:pt idx="10" formatCode="0.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497-4081-A907-DBD6C90E8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579648"/>
        <c:axId val="368847624"/>
      </c:scatterChart>
      <c:valAx>
        <c:axId val="398579648"/>
        <c:scaling>
          <c:logBase val="10"/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strRef>
              <c:f>DS!$B$43:$B$44</c:f>
              <c:strCache>
                <c:ptCount val="2"/>
                <c:pt idx="0">
                  <c:v>Différence de pression du bâtiment</c:v>
                </c:pt>
                <c:pt idx="1">
                  <c:v>[Pa]</c:v>
                </c:pt>
              </c:strCache>
            </c:strRef>
          </c:tx>
          <c:layout>
            <c:manualLayout>
              <c:xMode val="edge"/>
              <c:yMode val="edge"/>
              <c:x val="0.33603896103896103"/>
              <c:y val="0.80641711229946522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1000" b="1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8847624"/>
        <c:crosses val="autoZero"/>
        <c:crossBetween val="midCat"/>
      </c:valAx>
      <c:valAx>
        <c:axId val="368847624"/>
        <c:scaling>
          <c:logBase val="10"/>
          <c:orientation val="minMax"/>
          <c:min val="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strRef>
              <c:f>DS!$B$40:$B$41</c:f>
              <c:strCache>
                <c:ptCount val="2"/>
                <c:pt idx="0">
                  <c:v>Fuite d'air par l'enveloppe Venv</c:v>
                </c:pt>
                <c:pt idx="1">
                  <c:v>  [m³/h]</c:v>
                </c:pt>
              </c:strCache>
            </c:strRef>
          </c:tx>
          <c:layout>
            <c:manualLayout>
              <c:xMode val="edge"/>
              <c:yMode val="edge"/>
              <c:x val="3.246753246753247E-3"/>
              <c:y val="0.32406417112299463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1000" b="1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defRPr>
              </a:pPr>
              <a:endParaRPr lang="fr-FR"/>
            </a:p>
          </c:tx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857964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"/>
          <c:y val="0.86203208556149735"/>
          <c:w val="0.48701298701298701"/>
          <c:h val="0.1390374331550802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0FDE38C-BD0A-4EB0-9991-3590B441AE41}">
  <sheetPr codeName="Diagramm1"/>
  <sheetViews>
    <sheetView workbookViewId="0"/>
  </sheetViews>
  <pageMargins left="0.78740157480314965" right="0.78740157480314965" top="0.78740157480314965" bottom="1.0236220472440944" header="0.9055118110236221" footer="0.51181102362204722"/>
  <pageSetup paperSize="9" orientation="portrait" horizontalDpi="360" verticalDpi="360" r:id="rId1"/>
  <headerFooter alignWithMargins="0">
    <oddFooter>&amp;L&amp;8&amp;F&amp;C&amp;8 08-2010fr TTE 3.6&amp;R3</oddFooter>
  </headerFooter>
  <drawing r:id="rId2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0</xdr:rowOff>
        </xdr:from>
        <xdr:to>
          <xdr:col>5</xdr:col>
          <xdr:colOff>171450</xdr:colOff>
          <xdr:row>11</xdr:row>
          <xdr:rowOff>123825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"bld"-Fichier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29</xdr:row>
          <xdr:rowOff>9525</xdr:rowOff>
        </xdr:from>
        <xdr:to>
          <xdr:col>6</xdr:col>
          <xdr:colOff>552450</xdr:colOff>
          <xdr:row>30</xdr:row>
          <xdr:rowOff>95250</xdr:rowOff>
        </xdr:to>
        <xdr:sp macro="" textlink="">
          <xdr:nvSpPr>
            <xdr:cNvPr id="17436" name="Button 28" hidden="1">
              <a:extLst>
                <a:ext uri="{63B3BB69-23CF-44E3-9099-C40C66FF867C}">
                  <a14:compatExt spid="_x0000_s17436"/>
                </a:ext>
                <a:ext uri="{FF2B5EF4-FFF2-40B4-BE49-F238E27FC236}">
                  <a16:creationId xmlns:a16="http://schemas.microsoft.com/office/drawing/2014/main" id="{00000000-0008-0000-0000-00001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Batiment 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36</xdr:row>
          <xdr:rowOff>19050</xdr:rowOff>
        </xdr:from>
        <xdr:to>
          <xdr:col>5</xdr:col>
          <xdr:colOff>95250</xdr:colOff>
          <xdr:row>38</xdr:row>
          <xdr:rowOff>0</xdr:rowOff>
        </xdr:to>
        <xdr:sp macro="" textlink="">
          <xdr:nvSpPr>
            <xdr:cNvPr id="17444" name="Button 36" hidden="1">
              <a:extLst>
                <a:ext uri="{63B3BB69-23CF-44E3-9099-C40C66FF867C}">
                  <a14:compatExt spid="_x0000_s17444"/>
                </a:ext>
                <a:ext uri="{FF2B5EF4-FFF2-40B4-BE49-F238E27FC236}">
                  <a16:creationId xmlns:a16="http://schemas.microsoft.com/office/drawing/2014/main" id="{00000000-0008-0000-0000-00002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Entrer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0</xdr:rowOff>
        </xdr:from>
        <xdr:to>
          <xdr:col>13</xdr:col>
          <xdr:colOff>400050</xdr:colOff>
          <xdr:row>9</xdr:row>
          <xdr:rowOff>9525</xdr:rowOff>
        </xdr:to>
        <xdr:sp macro="" textlink="">
          <xdr:nvSpPr>
            <xdr:cNvPr id="17445" name="Button 37" hidden="1">
              <a:extLst>
                <a:ext uri="{63B3BB69-23CF-44E3-9099-C40C66FF867C}">
                  <a14:compatExt spid="_x0000_s17445"/>
                </a:ext>
                <a:ext uri="{FF2B5EF4-FFF2-40B4-BE49-F238E27FC236}">
                  <a16:creationId xmlns:a16="http://schemas.microsoft.com/office/drawing/2014/main" id="{00000000-0008-0000-0000-00002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66675</xdr:rowOff>
        </xdr:from>
        <xdr:to>
          <xdr:col>5</xdr:col>
          <xdr:colOff>152400</xdr:colOff>
          <xdr:row>20</xdr:row>
          <xdr:rowOff>104775</xdr:rowOff>
        </xdr:to>
        <xdr:sp macro="" textlink="">
          <xdr:nvSpPr>
            <xdr:cNvPr id="17446" name="Button 38" hidden="1">
              <a:extLst>
                <a:ext uri="{63B3BB69-23CF-44E3-9099-C40C66FF867C}">
                  <a14:compatExt spid="_x0000_s17446"/>
                </a:ext>
                <a:ext uri="{FF2B5EF4-FFF2-40B4-BE49-F238E27FC236}">
                  <a16:creationId xmlns:a16="http://schemas.microsoft.com/office/drawing/2014/main" id="{00000000-0008-0000-0000-00002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"bld"-Fichier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0</xdr:colOff>
          <xdr:row>63</xdr:row>
          <xdr:rowOff>0</xdr:rowOff>
        </xdr:from>
        <xdr:ext cx="514350" cy="200025"/>
        <xdr:sp macro="" textlink="">
          <xdr:nvSpPr>
            <xdr:cNvPr id="6325" name="Button 181" hidden="1">
              <a:extLst>
                <a:ext uri="{63B3BB69-23CF-44E3-9099-C40C66FF867C}">
                  <a14:compatExt spid="_x0000_s6325"/>
                </a:ext>
                <a:ext uri="{FF2B5EF4-FFF2-40B4-BE49-F238E27FC236}">
                  <a16:creationId xmlns:a16="http://schemas.microsoft.com/office/drawing/2014/main" id="{00000000-0008-0000-0300-0000B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Baseline</a:t>
              </a:r>
            </a:p>
          </xdr:txBody>
        </xdr:sp>
        <xdr:clientData fPrintsWithSheet="0"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22</xdr:row>
      <xdr:rowOff>133350</xdr:rowOff>
    </xdr:from>
    <xdr:to>
      <xdr:col>3</xdr:col>
      <xdr:colOff>476250</xdr:colOff>
      <xdr:row>22</xdr:row>
      <xdr:rowOff>133350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id="{00000000-0008-0000-0400-000008040000}"/>
            </a:ext>
          </a:extLst>
        </xdr:cNvPr>
        <xdr:cNvSpPr>
          <a:spLocks noChangeShapeType="1"/>
        </xdr:cNvSpPr>
      </xdr:nvSpPr>
      <xdr:spPr bwMode="auto">
        <a:xfrm>
          <a:off x="1628775" y="387667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104775</xdr:colOff>
      <xdr:row>22</xdr:row>
      <xdr:rowOff>133350</xdr:rowOff>
    </xdr:from>
    <xdr:to>
      <xdr:col>5</xdr:col>
      <xdr:colOff>457200</xdr:colOff>
      <xdr:row>22</xdr:row>
      <xdr:rowOff>133350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00000000-0008-0000-0400-000009040000}"/>
            </a:ext>
          </a:extLst>
        </xdr:cNvPr>
        <xdr:cNvSpPr>
          <a:spLocks noChangeShapeType="1"/>
        </xdr:cNvSpPr>
      </xdr:nvSpPr>
      <xdr:spPr bwMode="auto">
        <a:xfrm>
          <a:off x="2905125" y="387667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22</xdr:row>
      <xdr:rowOff>133350</xdr:rowOff>
    </xdr:from>
    <xdr:to>
      <xdr:col>4</xdr:col>
      <xdr:colOff>466725</xdr:colOff>
      <xdr:row>22</xdr:row>
      <xdr:rowOff>133350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00000000-0008-0000-0400-00000A040000}"/>
            </a:ext>
          </a:extLst>
        </xdr:cNvPr>
        <xdr:cNvSpPr>
          <a:spLocks noChangeShapeType="1"/>
        </xdr:cNvSpPr>
      </xdr:nvSpPr>
      <xdr:spPr bwMode="auto">
        <a:xfrm>
          <a:off x="2257425" y="387667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123825</xdr:rowOff>
    </xdr:from>
    <xdr:to>
      <xdr:col>3</xdr:col>
      <xdr:colOff>485775</xdr:colOff>
      <xdr:row>33</xdr:row>
      <xdr:rowOff>123825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00000000-0008-0000-0400-00000B040000}"/>
            </a:ext>
          </a:extLst>
        </xdr:cNvPr>
        <xdr:cNvSpPr>
          <a:spLocks noChangeShapeType="1"/>
        </xdr:cNvSpPr>
      </xdr:nvSpPr>
      <xdr:spPr bwMode="auto">
        <a:xfrm>
          <a:off x="1638300" y="606742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33</xdr:row>
      <xdr:rowOff>123825</xdr:rowOff>
    </xdr:from>
    <xdr:to>
      <xdr:col>5</xdr:col>
      <xdr:colOff>466725</xdr:colOff>
      <xdr:row>33</xdr:row>
      <xdr:rowOff>123825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id="{00000000-0008-0000-0400-00000C040000}"/>
            </a:ext>
          </a:extLst>
        </xdr:cNvPr>
        <xdr:cNvSpPr>
          <a:spLocks noChangeShapeType="1"/>
        </xdr:cNvSpPr>
      </xdr:nvSpPr>
      <xdr:spPr bwMode="auto">
        <a:xfrm>
          <a:off x="2914650" y="606742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123825</xdr:colOff>
      <xdr:row>33</xdr:row>
      <xdr:rowOff>123825</xdr:rowOff>
    </xdr:from>
    <xdr:to>
      <xdr:col>4</xdr:col>
      <xdr:colOff>476250</xdr:colOff>
      <xdr:row>33</xdr:row>
      <xdr:rowOff>123825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00000000-0008-0000-0400-00000D040000}"/>
            </a:ext>
          </a:extLst>
        </xdr:cNvPr>
        <xdr:cNvSpPr>
          <a:spLocks noChangeShapeType="1"/>
        </xdr:cNvSpPr>
      </xdr:nvSpPr>
      <xdr:spPr bwMode="auto">
        <a:xfrm>
          <a:off x="2266950" y="6067425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22</xdr:row>
      <xdr:rowOff>123825</xdr:rowOff>
    </xdr:from>
    <xdr:to>
      <xdr:col>9</xdr:col>
      <xdr:colOff>466725</xdr:colOff>
      <xdr:row>22</xdr:row>
      <xdr:rowOff>123825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00000000-0008-0000-0400-00000E040000}"/>
            </a:ext>
          </a:extLst>
        </xdr:cNvPr>
        <xdr:cNvSpPr>
          <a:spLocks noChangeShapeType="1"/>
        </xdr:cNvSpPr>
      </xdr:nvSpPr>
      <xdr:spPr bwMode="auto">
        <a:xfrm>
          <a:off x="4972050" y="386715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95250</xdr:colOff>
      <xdr:row>22</xdr:row>
      <xdr:rowOff>123825</xdr:rowOff>
    </xdr:from>
    <xdr:to>
      <xdr:col>11</xdr:col>
      <xdr:colOff>447675</xdr:colOff>
      <xdr:row>22</xdr:row>
      <xdr:rowOff>123825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00000000-0008-0000-0400-00000F040000}"/>
            </a:ext>
          </a:extLst>
        </xdr:cNvPr>
        <xdr:cNvSpPr>
          <a:spLocks noChangeShapeType="1"/>
        </xdr:cNvSpPr>
      </xdr:nvSpPr>
      <xdr:spPr bwMode="auto">
        <a:xfrm>
          <a:off x="6229350" y="386715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104775</xdr:colOff>
      <xdr:row>22</xdr:row>
      <xdr:rowOff>123825</xdr:rowOff>
    </xdr:from>
    <xdr:to>
      <xdr:col>10</xdr:col>
      <xdr:colOff>457200</xdr:colOff>
      <xdr:row>22</xdr:row>
      <xdr:rowOff>123825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id="{00000000-0008-0000-0400-000010040000}"/>
            </a:ext>
          </a:extLst>
        </xdr:cNvPr>
        <xdr:cNvSpPr>
          <a:spLocks noChangeShapeType="1"/>
        </xdr:cNvSpPr>
      </xdr:nvSpPr>
      <xdr:spPr bwMode="auto">
        <a:xfrm>
          <a:off x="5629275" y="386715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33</xdr:row>
      <xdr:rowOff>114300</xdr:rowOff>
    </xdr:from>
    <xdr:to>
      <xdr:col>9</xdr:col>
      <xdr:colOff>476250</xdr:colOff>
      <xdr:row>33</xdr:row>
      <xdr:rowOff>114300</xdr:rowOff>
    </xdr:to>
    <xdr:sp macro="" textlink="">
      <xdr:nvSpPr>
        <xdr:cNvPr id="1041" name="Line 17">
          <a:extLst>
            <a:ext uri="{FF2B5EF4-FFF2-40B4-BE49-F238E27FC236}">
              <a16:creationId xmlns:a16="http://schemas.microsoft.com/office/drawing/2014/main" id="{00000000-0008-0000-0400-000011040000}"/>
            </a:ext>
          </a:extLst>
        </xdr:cNvPr>
        <xdr:cNvSpPr>
          <a:spLocks noChangeShapeType="1"/>
        </xdr:cNvSpPr>
      </xdr:nvSpPr>
      <xdr:spPr bwMode="auto">
        <a:xfrm>
          <a:off x="4981575" y="605790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104775</xdr:colOff>
      <xdr:row>33</xdr:row>
      <xdr:rowOff>114300</xdr:rowOff>
    </xdr:from>
    <xdr:to>
      <xdr:col>11</xdr:col>
      <xdr:colOff>457200</xdr:colOff>
      <xdr:row>33</xdr:row>
      <xdr:rowOff>114300</xdr:rowOff>
    </xdr:to>
    <xdr:sp macro="" textlink="">
      <xdr:nvSpPr>
        <xdr:cNvPr id="1042" name="Line 18">
          <a:extLst>
            <a:ext uri="{FF2B5EF4-FFF2-40B4-BE49-F238E27FC236}">
              <a16:creationId xmlns:a16="http://schemas.microsoft.com/office/drawing/2014/main" id="{00000000-0008-0000-0400-000012040000}"/>
            </a:ext>
          </a:extLst>
        </xdr:cNvPr>
        <xdr:cNvSpPr>
          <a:spLocks noChangeShapeType="1"/>
        </xdr:cNvSpPr>
      </xdr:nvSpPr>
      <xdr:spPr bwMode="auto">
        <a:xfrm>
          <a:off x="6238875" y="605790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114300</xdr:colOff>
      <xdr:row>33</xdr:row>
      <xdr:rowOff>114300</xdr:rowOff>
    </xdr:from>
    <xdr:to>
      <xdr:col>10</xdr:col>
      <xdr:colOff>466725</xdr:colOff>
      <xdr:row>33</xdr:row>
      <xdr:rowOff>114300</xdr:rowOff>
    </xdr:to>
    <xdr:sp macro="" textlink="">
      <xdr:nvSpPr>
        <xdr:cNvPr id="1043" name="Line 19">
          <a:extLst>
            <a:ext uri="{FF2B5EF4-FFF2-40B4-BE49-F238E27FC236}">
              <a16:creationId xmlns:a16="http://schemas.microsoft.com/office/drawing/2014/main" id="{00000000-0008-0000-0400-000013040000}"/>
            </a:ext>
          </a:extLst>
        </xdr:cNvPr>
        <xdr:cNvSpPr>
          <a:spLocks noChangeShapeType="1"/>
        </xdr:cNvSpPr>
      </xdr:nvSpPr>
      <xdr:spPr bwMode="auto">
        <a:xfrm>
          <a:off x="5638800" y="6057900"/>
          <a:ext cx="352425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104775</xdr:rowOff>
    </xdr:from>
    <xdr:to>
      <xdr:col>13</xdr:col>
      <xdr:colOff>0</xdr:colOff>
      <xdr:row>13</xdr:row>
      <xdr:rowOff>38100</xdr:rowOff>
    </xdr:to>
    <xdr:sp macro="" textlink="" fLocksText="0">
      <xdr:nvSpPr>
        <xdr:cNvPr id="1078" name="Text 54">
          <a:extLst>
            <a:ext uri="{FF2B5EF4-FFF2-40B4-BE49-F238E27FC236}">
              <a16:creationId xmlns:a16="http://schemas.microsoft.com/office/drawing/2014/main" id="{00000000-0008-0000-0400-000036040000}"/>
            </a:ext>
          </a:extLst>
        </xdr:cNvPr>
        <xdr:cNvSpPr txBox="1">
          <a:spLocks noChangeArrowheads="1"/>
        </xdr:cNvSpPr>
      </xdr:nvSpPr>
      <xdr:spPr bwMode="auto">
        <a:xfrm>
          <a:off x="6800850" y="1609725"/>
          <a:ext cx="0" cy="542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64008" tIns="54864" rIns="0" bIns="0" anchor="t" upright="1"/>
        <a:lstStyle/>
        <a:p>
          <a:pPr algn="l" rtl="0">
            <a:defRPr sz="1000"/>
          </a:pPr>
          <a:r>
            <a:rPr lang="fr-FR" sz="3200" b="1" i="1" u="none" strike="noStrike" baseline="0">
              <a:solidFill>
                <a:srgbClr val="000000"/>
              </a:solidFill>
              <a:latin typeface="Arial"/>
              <a:cs typeface="Arial"/>
            </a:rPr>
            <a:t>Zertifikat</a:t>
          </a: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171450</xdr:rowOff>
        </xdr:from>
        <xdr:to>
          <xdr:col>3</xdr:col>
          <xdr:colOff>447675</xdr:colOff>
          <xdr:row>12</xdr:row>
          <xdr:rowOff>9525</xdr:rowOff>
        </xdr:to>
        <xdr:sp macro="" textlink="">
          <xdr:nvSpPr>
            <xdr:cNvPr id="1283" name="But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4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Pression barométrique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15</xdr:row>
          <xdr:rowOff>38100</xdr:rowOff>
        </xdr:from>
        <xdr:to>
          <xdr:col>1</xdr:col>
          <xdr:colOff>676275</xdr:colOff>
          <xdr:row>16</xdr:row>
          <xdr:rowOff>161925</xdr:rowOff>
        </xdr:to>
        <xdr:sp macro="" textlink="">
          <xdr:nvSpPr>
            <xdr:cNvPr id="1286" name="Button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4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Baseline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15</xdr:row>
          <xdr:rowOff>28575</xdr:rowOff>
        </xdr:from>
        <xdr:to>
          <xdr:col>7</xdr:col>
          <xdr:colOff>647700</xdr:colOff>
          <xdr:row>16</xdr:row>
          <xdr:rowOff>152400</xdr:rowOff>
        </xdr:to>
        <xdr:sp macro="" textlink="">
          <xdr:nvSpPr>
            <xdr:cNvPr id="1287" name="Button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4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Baseline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67</xdr:row>
          <xdr:rowOff>0</xdr:rowOff>
        </xdr:from>
        <xdr:ext cx="838200" cy="200025"/>
        <xdr:sp macro="" textlink="">
          <xdr:nvSpPr>
            <xdr:cNvPr id="1288" name="Button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4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Commentaires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381000</xdr:colOff>
          <xdr:row>67</xdr:row>
          <xdr:rowOff>0</xdr:rowOff>
        </xdr:from>
        <xdr:ext cx="514350" cy="200025"/>
        <xdr:sp macro="" textlink="">
          <xdr:nvSpPr>
            <xdr:cNvPr id="1289" name="Button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4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Baseline</a:t>
              </a:r>
            </a:p>
          </xdr:txBody>
        </xdr:sp>
        <xdr:clientData fPrintsWithSheet="0"/>
      </xdr:one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6</xdr:row>
      <xdr:rowOff>0</xdr:rowOff>
    </xdr:from>
    <xdr:to>
      <xdr:col>13</xdr:col>
      <xdr:colOff>0</xdr:colOff>
      <xdr:row>8</xdr:row>
      <xdr:rowOff>0</xdr:rowOff>
    </xdr:to>
    <xdr:sp macro="" textlink="" fLocksText="0">
      <xdr:nvSpPr>
        <xdr:cNvPr id="8224" name="Text 54">
          <a:extLst>
            <a:ext uri="{FF2B5EF4-FFF2-40B4-BE49-F238E27FC236}">
              <a16:creationId xmlns:a16="http://schemas.microsoft.com/office/drawing/2014/main" id="{00000000-0008-0000-0500-000020200000}"/>
            </a:ext>
          </a:extLst>
        </xdr:cNvPr>
        <xdr:cNvSpPr txBox="1">
          <a:spLocks noChangeArrowheads="1"/>
        </xdr:cNvSpPr>
      </xdr:nvSpPr>
      <xdr:spPr bwMode="auto">
        <a:xfrm>
          <a:off x="6667500" y="1181100"/>
          <a:ext cx="0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64008" tIns="54864" rIns="0" bIns="0" anchor="t" upright="1"/>
        <a:lstStyle/>
        <a:p>
          <a:pPr algn="l" rtl="0">
            <a:defRPr sz="1000"/>
          </a:pPr>
          <a:r>
            <a:rPr lang="fr-FR" sz="3200" b="1" i="1" u="none" strike="noStrike" baseline="0">
              <a:solidFill>
                <a:srgbClr val="000000"/>
              </a:solidFill>
              <a:latin typeface="Arial"/>
              <a:cs typeface="Arial"/>
            </a:rPr>
            <a:t>Zertifikat</a:t>
          </a: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590550</xdr:colOff>
          <xdr:row>105</xdr:row>
          <xdr:rowOff>28575</xdr:rowOff>
        </xdr:from>
        <xdr:ext cx="828675" cy="200025"/>
        <xdr:sp macro="" textlink="">
          <xdr:nvSpPr>
            <xdr:cNvPr id="8380" name="Button 188" hidden="1">
              <a:extLst>
                <a:ext uri="{63B3BB69-23CF-44E3-9099-C40C66FF867C}">
                  <a14:compatExt spid="_x0000_s8380"/>
                </a:ext>
                <a:ext uri="{FF2B5EF4-FFF2-40B4-BE49-F238E27FC236}">
                  <a16:creationId xmlns:a16="http://schemas.microsoft.com/office/drawing/2014/main" id="{00000000-0008-0000-0500-0000B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Donnees_Test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285750</xdr:colOff>
          <xdr:row>65</xdr:row>
          <xdr:rowOff>47625</xdr:rowOff>
        </xdr:from>
        <xdr:ext cx="828675" cy="200025"/>
        <xdr:sp macro="" textlink="">
          <xdr:nvSpPr>
            <xdr:cNvPr id="8381" name="Button 189" hidden="1">
              <a:extLst>
                <a:ext uri="{63B3BB69-23CF-44E3-9099-C40C66FF867C}">
                  <a14:compatExt spid="_x0000_s8381"/>
                </a:ext>
                <a:ext uri="{FF2B5EF4-FFF2-40B4-BE49-F238E27FC236}">
                  <a16:creationId xmlns:a16="http://schemas.microsoft.com/office/drawing/2014/main" id="{00000000-0008-0000-0500-0000B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Donnees_Test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65</xdr:row>
          <xdr:rowOff>47625</xdr:rowOff>
        </xdr:from>
        <xdr:ext cx="790575" cy="200025"/>
        <xdr:sp macro="" textlink="">
          <xdr:nvSpPr>
            <xdr:cNvPr id="8382" name="Button 190" hidden="1">
              <a:extLst>
                <a:ext uri="{63B3BB69-23CF-44E3-9099-C40C66FF867C}">
                  <a14:compatExt spid="_x0000_s8382"/>
                </a:ext>
                <a:ext uri="{FF2B5EF4-FFF2-40B4-BE49-F238E27FC236}">
                  <a16:creationId xmlns:a16="http://schemas.microsoft.com/office/drawing/2014/main" id="{00000000-0008-0000-0500-0000B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Batiment_Info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400050</xdr:colOff>
          <xdr:row>7</xdr:row>
          <xdr:rowOff>19050</xdr:rowOff>
        </xdr:from>
        <xdr:ext cx="828675" cy="200025"/>
        <xdr:sp macro="" textlink="">
          <xdr:nvSpPr>
            <xdr:cNvPr id="8383" name="Button 191" hidden="1">
              <a:extLst>
                <a:ext uri="{63B3BB69-23CF-44E3-9099-C40C66FF867C}">
                  <a14:compatExt spid="_x0000_s8383"/>
                </a:ext>
                <a:ext uri="{FF2B5EF4-FFF2-40B4-BE49-F238E27FC236}">
                  <a16:creationId xmlns:a16="http://schemas.microsoft.com/office/drawing/2014/main" id="{00000000-0008-0000-0500-0000B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Donnees_Test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381000</xdr:colOff>
          <xdr:row>7</xdr:row>
          <xdr:rowOff>19050</xdr:rowOff>
        </xdr:from>
        <xdr:ext cx="828675" cy="200025"/>
        <xdr:sp macro="" textlink="">
          <xdr:nvSpPr>
            <xdr:cNvPr id="8384" name="Button 192" hidden="1">
              <a:extLst>
                <a:ext uri="{63B3BB69-23CF-44E3-9099-C40C66FF867C}">
                  <a14:compatExt spid="_x0000_s8384"/>
                </a:ext>
                <a:ext uri="{FF2B5EF4-FFF2-40B4-BE49-F238E27FC236}">
                  <a16:creationId xmlns:a16="http://schemas.microsoft.com/office/drawing/2014/main" id="{00000000-0008-0000-0500-0000C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Donnees_Test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117</xdr:row>
          <xdr:rowOff>76200</xdr:rowOff>
        </xdr:from>
        <xdr:ext cx="514350" cy="200025"/>
        <xdr:sp macro="" textlink="">
          <xdr:nvSpPr>
            <xdr:cNvPr id="8386" name="Button 194" hidden="1">
              <a:extLst>
                <a:ext uri="{63B3BB69-23CF-44E3-9099-C40C66FF867C}">
                  <a14:compatExt spid="_x0000_s8386"/>
                </a:ext>
                <a:ext uri="{FF2B5EF4-FFF2-40B4-BE49-F238E27FC236}">
                  <a16:creationId xmlns:a16="http://schemas.microsoft.com/office/drawing/2014/main" id="{00000000-0008-0000-0500-0000C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Baseline        </a:t>
              </a:r>
            </a:p>
          </xdr:txBody>
        </xdr:sp>
        <xdr:clientData fPrintsWithSheet="0"/>
      </xdr:one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5991225" cy="890587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0.40975</cdr:x>
      <cdr:y>0.7855</cdr:y>
    </cdr:from>
    <cdr:to>
      <cdr:x>0.4665</cdr:x>
      <cdr:y>0.81</cdr:y>
    </cdr:to>
    <cdr:sp macro="" textlink="">
      <cdr:nvSpPr>
        <cdr:cNvPr id="2049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404167" y="6995565"/>
          <a:ext cx="332975" cy="21819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6</a:t>
          </a:r>
        </a:p>
      </cdr:txBody>
    </cdr:sp>
  </cdr:relSizeAnchor>
  <cdr:relSizeAnchor xmlns:cdr="http://schemas.openxmlformats.org/drawingml/2006/chartDrawing">
    <cdr:from>
      <cdr:x>0.338</cdr:x>
      <cdr:y>0.7855</cdr:y>
    </cdr:from>
    <cdr:to>
      <cdr:x>0.39475</cdr:x>
      <cdr:y>0.81</cdr:y>
    </cdr:to>
    <cdr:sp macro="" textlink="">
      <cdr:nvSpPr>
        <cdr:cNvPr id="2050" name="Text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3181" y="6995565"/>
          <a:ext cx="332975" cy="21819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</a:t>
          </a:r>
        </a:p>
      </cdr:txBody>
    </cdr:sp>
  </cdr:relSizeAnchor>
  <cdr:relSizeAnchor xmlns:cdr="http://schemas.openxmlformats.org/drawingml/2006/chartDrawing">
    <cdr:from>
      <cdr:x>0.821</cdr:x>
      <cdr:y>0.786</cdr:y>
    </cdr:from>
    <cdr:to>
      <cdr:x>0.87775</cdr:x>
      <cdr:y>0.8105</cdr:y>
    </cdr:to>
    <cdr:sp macro="" textlink="">
      <cdr:nvSpPr>
        <cdr:cNvPr id="2052" name="Text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17135" y="7000018"/>
          <a:ext cx="332975" cy="21819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50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34</xdr:row>
      <xdr:rowOff>0</xdr:rowOff>
    </xdr:from>
    <xdr:to>
      <xdr:col>2</xdr:col>
      <xdr:colOff>161925</xdr:colOff>
      <xdr:row>35</xdr:row>
      <xdr:rowOff>9525</xdr:rowOff>
    </xdr:to>
    <xdr:grpSp>
      <xdr:nvGrpSpPr>
        <xdr:cNvPr id="9222" name="Group 6">
          <a:extLst>
            <a:ext uri="{FF2B5EF4-FFF2-40B4-BE49-F238E27FC236}">
              <a16:creationId xmlns:a16="http://schemas.microsoft.com/office/drawing/2014/main" id="{00000000-0008-0000-0C00-000006240000}"/>
            </a:ext>
          </a:extLst>
        </xdr:cNvPr>
        <xdr:cNvGrpSpPr>
          <a:grpSpLocks/>
        </xdr:cNvGrpSpPr>
      </xdr:nvGrpSpPr>
      <xdr:grpSpPr bwMode="auto">
        <a:xfrm>
          <a:off x="923925" y="5305425"/>
          <a:ext cx="152400" cy="171450"/>
          <a:chOff x="327" y="207"/>
          <a:chExt cx="28" cy="23"/>
        </a:xfrm>
      </xdr:grpSpPr>
      <xdr:sp macro="" textlink="">
        <xdr:nvSpPr>
          <xdr:cNvPr id="9220" name="Rectangle 4">
            <a:extLst>
              <a:ext uri="{FF2B5EF4-FFF2-40B4-BE49-F238E27FC236}">
                <a16:creationId xmlns:a16="http://schemas.microsoft.com/office/drawing/2014/main" id="{00000000-0008-0000-0C00-000004240000}"/>
              </a:ext>
            </a:extLst>
          </xdr:cNvPr>
          <xdr:cNvSpPr>
            <a:spLocks noChangeArrowheads="1"/>
          </xdr:cNvSpPr>
        </xdr:nvSpPr>
        <xdr:spPr bwMode="auto">
          <a:xfrm>
            <a:off x="327" y="207"/>
            <a:ext cx="28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ffectLst>
            <a:prstShdw prst="shdw17" dist="17961" dir="2700000">
              <a:srgbClr xmlns:mc="http://schemas.openxmlformats.org/markup-compatibility/2006" xmlns:a14="http://schemas.microsoft.com/office/drawing/2010/main" val="737373" mc:Ignorable="a14" a14:legacySpreadsheetColorIndex="22">
                <a:gamma/>
                <a:shade val="60000"/>
                <a:invGamma/>
              </a:srgbClr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53640926-AAD7-44D8-BBD7-CCE9431645EC}">
              <a14:shadowObscured xmlns:a14="http://schemas.microsoft.com/office/drawing/2010/main" val="1"/>
            </a:ext>
          </a:extLst>
        </xdr:spPr>
      </xdr:sp>
      <xdr:sp macro="" textlink="">
        <xdr:nvSpPr>
          <xdr:cNvPr id="9221" name="AutoShape 5">
            <a:extLst>
              <a:ext uri="{FF2B5EF4-FFF2-40B4-BE49-F238E27FC236}">
                <a16:creationId xmlns:a16="http://schemas.microsoft.com/office/drawing/2014/main" id="{00000000-0008-0000-0C00-000005240000}"/>
              </a:ext>
            </a:extLst>
          </xdr:cNvPr>
          <xdr:cNvSpPr>
            <a:spLocks noChangeArrowheads="1"/>
          </xdr:cNvSpPr>
        </xdr:nvSpPr>
        <xdr:spPr bwMode="auto">
          <a:xfrm rot="10800000">
            <a:off x="331" y="215"/>
            <a:ext cx="22" cy="11"/>
          </a:xfrm>
          <a:prstGeom prst="upArrow">
            <a:avLst>
              <a:gd name="adj1" fmla="val 46157"/>
              <a:gd name="adj2" fmla="val 100000"/>
            </a:avLst>
          </a:pr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17961" dir="13500000" algn="ctr" rotWithShape="0">
                    <a:srgbClr xmlns:mc="http://schemas.openxmlformats.org/markup-compatibility/2006" val="000000" mc:Ignorable="a14" a14:legacySpreadsheetColorIndex="64">
                      <a:gamma/>
                      <a:shade val="60000"/>
                      <a:invGamma/>
                    </a:srgbClr>
                  </a:outerShdw>
                </a:effectLst>
              </a14:hiddenEffects>
            </a:ext>
            <a:ext uri="{53640926-AAD7-44D8-BBD7-CCE9431645EC}">
              <a14:shadowObscured xmlns:a14="http://schemas.microsoft.com/office/drawing/2010/main" val="1"/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50</xdr:row>
          <xdr:rowOff>123825</xdr:rowOff>
        </xdr:from>
        <xdr:to>
          <xdr:col>2</xdr:col>
          <xdr:colOff>657225</xdr:colOff>
          <xdr:row>52</xdr:row>
          <xdr:rowOff>57150</xdr:rowOff>
        </xdr:to>
        <xdr:sp macro="" textlink="">
          <xdr:nvSpPr>
            <xdr:cNvPr id="9226" name="Butto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C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Importer "bld"-Fichier</a:t>
              </a: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314325</xdr:colOff>
          <xdr:row>99</xdr:row>
          <xdr:rowOff>0</xdr:rowOff>
        </xdr:from>
        <xdr:ext cx="828675" cy="200025"/>
        <xdr:sp macro="" textlink="">
          <xdr:nvSpPr>
            <xdr:cNvPr id="9229" name="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C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Donnees_Test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152400</xdr:colOff>
          <xdr:row>17</xdr:row>
          <xdr:rowOff>152400</xdr:rowOff>
        </xdr:from>
        <xdr:ext cx="762000" cy="200025"/>
        <xdr:sp macro="" textlink="">
          <xdr:nvSpPr>
            <xdr:cNvPr id="9230" name="Button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C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Batiment Info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53</xdr:row>
          <xdr:rowOff>152400</xdr:rowOff>
        </xdr:from>
        <xdr:to>
          <xdr:col>2</xdr:col>
          <xdr:colOff>581025</xdr:colOff>
          <xdr:row>55</xdr:row>
          <xdr:rowOff>38100</xdr:rowOff>
        </xdr:to>
        <xdr:sp macro="" textlink="">
          <xdr:nvSpPr>
            <xdr:cNvPr id="9231" name="Button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C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Batiment Info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1</xdr:row>
          <xdr:rowOff>0</xdr:rowOff>
        </xdr:from>
        <xdr:to>
          <xdr:col>10</xdr:col>
          <xdr:colOff>0</xdr:colOff>
          <xdr:row>3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D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1009650</xdr:colOff>
          <xdr:row>1</xdr:row>
          <xdr:rowOff>95250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E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Deutsch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19050</xdr:rowOff>
        </xdr:from>
        <xdr:to>
          <xdr:col>0</xdr:col>
          <xdr:colOff>1057275</xdr:colOff>
          <xdr:row>3</xdr:row>
          <xdr:rowOff>104775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E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English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19050</xdr:rowOff>
        </xdr:from>
        <xdr:to>
          <xdr:col>0</xdr:col>
          <xdr:colOff>1038225</xdr:colOff>
          <xdr:row>5</xdr:row>
          <xdr:rowOff>114300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E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French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171450</xdr:colOff>
      <xdr:row>0</xdr:row>
      <xdr:rowOff>133350</xdr:rowOff>
    </xdr:from>
    <xdr:to>
      <xdr:col>4</xdr:col>
      <xdr:colOff>2933700</xdr:colOff>
      <xdr:row>6</xdr:row>
      <xdr:rowOff>19050</xdr:rowOff>
    </xdr:to>
    <xdr:sp macro="" textlink="">
      <xdr:nvSpPr>
        <xdr:cNvPr id="18439" name="Text Box 7">
          <a:extLst>
            <a:ext uri="{FF2B5EF4-FFF2-40B4-BE49-F238E27FC236}">
              <a16:creationId xmlns:a16="http://schemas.microsoft.com/office/drawing/2014/main" id="{00000000-0008-0000-0E00-000007480000}"/>
            </a:ext>
          </a:extLst>
        </xdr:cNvPr>
        <xdr:cNvSpPr txBox="1">
          <a:spLocks noChangeArrowheads="1"/>
        </xdr:cNvSpPr>
      </xdr:nvSpPr>
      <xdr:spPr bwMode="auto">
        <a:xfrm>
          <a:off x="13916025" y="133350"/>
          <a:ext cx="2762250" cy="857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FFFF"/>
              </a:solidFill>
              <a:latin typeface="Arial"/>
              <a:cs typeface="Arial"/>
            </a:rPr>
            <a:t>In diese Spalte bitte die language Begriffe eintragen.</a:t>
          </a:r>
        </a:p>
      </xdr:txBody>
    </xdr:sp>
    <xdr:clientData/>
  </xdr:twoCellAnchor>
  <xdr:twoCellAnchor>
    <xdr:from>
      <xdr:col>4</xdr:col>
      <xdr:colOff>1504950</xdr:colOff>
      <xdr:row>5</xdr:row>
      <xdr:rowOff>114300</xdr:rowOff>
    </xdr:from>
    <xdr:to>
      <xdr:col>4</xdr:col>
      <xdr:colOff>1524000</xdr:colOff>
      <xdr:row>8</xdr:row>
      <xdr:rowOff>152400</xdr:rowOff>
    </xdr:to>
    <xdr:sp macro="" textlink="">
      <xdr:nvSpPr>
        <xdr:cNvPr id="18440" name="Line 8">
          <a:extLst>
            <a:ext uri="{FF2B5EF4-FFF2-40B4-BE49-F238E27FC236}">
              <a16:creationId xmlns:a16="http://schemas.microsoft.com/office/drawing/2014/main" id="{00000000-0008-0000-0E00-000008480000}"/>
            </a:ext>
          </a:extLst>
        </xdr:cNvPr>
        <xdr:cNvSpPr>
          <a:spLocks noChangeShapeType="1"/>
        </xdr:cNvSpPr>
      </xdr:nvSpPr>
      <xdr:spPr bwMode="auto">
        <a:xfrm flipH="1">
          <a:off x="15249525" y="923925"/>
          <a:ext cx="19050" cy="523875"/>
        </a:xfrm>
        <a:prstGeom prst="line">
          <a:avLst/>
        </a:prstGeom>
        <a:noFill/>
        <a:ln w="762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</xdr:col>
      <xdr:colOff>171450</xdr:colOff>
      <xdr:row>0</xdr:row>
      <xdr:rowOff>133350</xdr:rowOff>
    </xdr:from>
    <xdr:to>
      <xdr:col>1</xdr:col>
      <xdr:colOff>2933700</xdr:colOff>
      <xdr:row>6</xdr:row>
      <xdr:rowOff>19050</xdr:rowOff>
    </xdr:to>
    <xdr:sp macro="" textlink="">
      <xdr:nvSpPr>
        <xdr:cNvPr id="18442" name="Text Box 10">
          <a:extLst>
            <a:ext uri="{FF2B5EF4-FFF2-40B4-BE49-F238E27FC236}">
              <a16:creationId xmlns:a16="http://schemas.microsoft.com/office/drawing/2014/main" id="{00000000-0008-0000-0E00-00000A480000}"/>
            </a:ext>
          </a:extLst>
        </xdr:cNvPr>
        <xdr:cNvSpPr txBox="1">
          <a:spLocks noChangeArrowheads="1"/>
        </xdr:cNvSpPr>
      </xdr:nvSpPr>
      <xdr:spPr bwMode="auto">
        <a:xfrm>
          <a:off x="4086225" y="133350"/>
          <a:ext cx="2762250" cy="857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FFFF"/>
              </a:solidFill>
              <a:latin typeface="Arial"/>
              <a:cs typeface="Arial"/>
            </a:rPr>
            <a:t>In diese Spalte bitte die language Begriffe eintragen.</a:t>
          </a:r>
        </a:p>
      </xdr:txBody>
    </xdr:sp>
    <xdr:clientData/>
  </xdr:twoCellAnchor>
  <xdr:twoCellAnchor>
    <xdr:from>
      <xdr:col>1</xdr:col>
      <xdr:colOff>1504950</xdr:colOff>
      <xdr:row>5</xdr:row>
      <xdr:rowOff>114300</xdr:rowOff>
    </xdr:from>
    <xdr:to>
      <xdr:col>1</xdr:col>
      <xdr:colOff>1524000</xdr:colOff>
      <xdr:row>8</xdr:row>
      <xdr:rowOff>152400</xdr:rowOff>
    </xdr:to>
    <xdr:sp macro="" textlink="">
      <xdr:nvSpPr>
        <xdr:cNvPr id="18443" name="Line 11">
          <a:extLst>
            <a:ext uri="{FF2B5EF4-FFF2-40B4-BE49-F238E27FC236}">
              <a16:creationId xmlns:a16="http://schemas.microsoft.com/office/drawing/2014/main" id="{00000000-0008-0000-0E00-00000B480000}"/>
            </a:ext>
          </a:extLst>
        </xdr:cNvPr>
        <xdr:cNvSpPr>
          <a:spLocks noChangeShapeType="1"/>
        </xdr:cNvSpPr>
      </xdr:nvSpPr>
      <xdr:spPr bwMode="auto">
        <a:xfrm flipH="1">
          <a:off x="5419725" y="923925"/>
          <a:ext cx="19050" cy="523875"/>
        </a:xfrm>
        <a:prstGeom prst="line">
          <a:avLst/>
        </a:prstGeom>
        <a:noFill/>
        <a:ln w="762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OMEGA\Documents\Users\tom\Downloads\Registre_des_operations_v1_31_201203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Registre_Nom_opérateur_Société"/>
      <sheetName val="Listes de choix"/>
      <sheetName val="Etalonnage"/>
    </sheetNames>
    <sheetDataSet>
      <sheetData sheetId="0"/>
      <sheetData sheetId="1"/>
      <sheetData sheetId="2">
        <row r="3">
          <cell r="B3" t="str">
            <v>Maison individuelle</v>
          </cell>
          <cell r="C3" t="str">
            <v>Oui</v>
          </cell>
          <cell r="D3" t="str">
            <v>RT 2005 HPE</v>
          </cell>
          <cell r="E3" t="str">
            <v>Acier</v>
          </cell>
          <cell r="F3" t="str">
            <v>Structure portante et remplissage</v>
          </cell>
          <cell r="G3" t="str">
            <v>Isolation intérieure</v>
          </cell>
          <cell r="H3" t="str">
            <v>Naturelle</v>
          </cell>
          <cell r="I3" t="str">
            <v>Simple flux</v>
          </cell>
          <cell r="J3" t="str">
            <v xml:space="preserve">Gaz </v>
          </cell>
          <cell r="K3" t="str">
            <v>Blower Door</v>
          </cell>
          <cell r="L3" t="str">
            <v>Bâtiment entier</v>
          </cell>
          <cell r="M3" t="str">
            <v>Enveloppe terminée</v>
          </cell>
          <cell r="N3" t="str">
            <v>A</v>
          </cell>
        </row>
        <row r="4">
          <cell r="B4" t="str">
            <v>Immeuble logement collectif</v>
          </cell>
          <cell r="C4" t="str">
            <v>Non</v>
          </cell>
          <cell r="D4" t="str">
            <v>RT 2005 THPE</v>
          </cell>
          <cell r="E4" t="str">
            <v>Bois</v>
          </cell>
          <cell r="F4" t="str">
            <v>Murs porteurs</v>
          </cell>
          <cell r="G4" t="str">
            <v>Isolation extérieure</v>
          </cell>
          <cell r="H4" t="str">
            <v>Naturelle assistée (stato-mécanique ou induction)</v>
          </cell>
          <cell r="I4" t="str">
            <v>Double flux</v>
          </cell>
          <cell r="J4" t="str">
            <v>Electrique effet joules</v>
          </cell>
          <cell r="K4" t="str">
            <v>Perméascope</v>
          </cell>
          <cell r="L4" t="str">
            <v>Partie de bâtiment</v>
          </cell>
          <cell r="M4" t="str">
            <v>En cours de chantier</v>
          </cell>
          <cell r="N4" t="str">
            <v>B</v>
          </cell>
        </row>
        <row r="5">
          <cell r="B5" t="str">
            <v>Appartement</v>
          </cell>
          <cell r="D5" t="str">
            <v>RT 2005 HPE EnR</v>
          </cell>
          <cell r="E5" t="str">
            <v>Béton</v>
          </cell>
          <cell r="G5" t="str">
            <v>Isolation répartie</v>
          </cell>
          <cell r="H5" t="str">
            <v>Mécanique Basse Pression ( 20 à 30 Pa - Tourelle sur conduit shunt)</v>
          </cell>
          <cell r="I5" t="str">
            <v>Ventilation mécanique ponctuelle</v>
          </cell>
          <cell r="J5" t="str">
            <v>Pompe à chaleur</v>
          </cell>
          <cell r="K5" t="str">
            <v>Banc Grand Volume</v>
          </cell>
        </row>
        <row r="6">
          <cell r="B6" t="str">
            <v>Bureaux</v>
          </cell>
          <cell r="D6" t="str">
            <v>RT 2005 THPE EnR</v>
          </cell>
          <cell r="E6" t="str">
            <v>Mixte Acier-Béton</v>
          </cell>
          <cell r="G6" t="str">
            <v>Isolation intérieure dynamique</v>
          </cell>
          <cell r="H6" t="str">
            <v>Mécanique</v>
          </cell>
          <cell r="I6" t="str">
            <v>Par insufflation</v>
          </cell>
          <cell r="J6" t="str">
            <v>Fioul</v>
          </cell>
          <cell r="K6" t="str">
            <v>Fausse porte CSTB</v>
          </cell>
        </row>
        <row r="7">
          <cell r="B7" t="str">
            <v>Enseignement</v>
          </cell>
          <cell r="D7" t="str">
            <v>HQE</v>
          </cell>
          <cell r="E7" t="str">
            <v>Terre cuite</v>
          </cell>
          <cell r="G7" t="str">
            <v>Isolation extérieure dynamique</v>
          </cell>
          <cell r="I7" t="str">
            <v>Par ouverture des fenêtres</v>
          </cell>
          <cell r="J7" t="str">
            <v>Bois</v>
          </cell>
          <cell r="K7" t="str">
            <v>Retrotec</v>
          </cell>
        </row>
        <row r="8">
          <cell r="B8" t="str">
            <v>Locaux sportifs</v>
          </cell>
          <cell r="D8" t="str">
            <v>Minergie</v>
          </cell>
          <cell r="E8" t="str">
            <v>Terre crue</v>
          </cell>
          <cell r="G8" t="str">
            <v xml:space="preserve">Bardage double peau </v>
          </cell>
          <cell r="J8" t="str">
            <v>Charbon</v>
          </cell>
        </row>
        <row r="9">
          <cell r="B9" t="str">
            <v>Commerce</v>
          </cell>
          <cell r="D9" t="str">
            <v>Minergie-P</v>
          </cell>
          <cell r="E9" t="str">
            <v>Pierre</v>
          </cell>
          <cell r="G9" t="str">
            <v>Absence d'isolation</v>
          </cell>
          <cell r="J9" t="str">
            <v>Pas de chauffage</v>
          </cell>
        </row>
        <row r="10">
          <cell r="B10" t="str">
            <v>Industrie</v>
          </cell>
          <cell r="D10" t="str">
            <v>Passiv Haus</v>
          </cell>
          <cell r="E10" t="str">
            <v>Béton cellulaire</v>
          </cell>
        </row>
        <row r="11">
          <cell r="B11" t="str">
            <v>Hôtel</v>
          </cell>
          <cell r="D11" t="str">
            <v>Autre label</v>
          </cell>
          <cell r="E11" t="str">
            <v>Mixte béton-terre-bois</v>
          </cell>
        </row>
        <row r="12">
          <cell r="B12" t="str">
            <v>Salle polyvalente</v>
          </cell>
          <cell r="D12" t="str">
            <v>Non</v>
          </cell>
          <cell r="E12" t="str">
            <v xml:space="preserve">Brique </v>
          </cell>
        </row>
        <row r="13">
          <cell r="B13" t="str">
            <v>Etablissement sanitaire</v>
          </cell>
          <cell r="E13" t="str">
            <v>Chanvre</v>
          </cell>
        </row>
        <row r="14">
          <cell r="B14" t="str">
            <v>Restaurant</v>
          </cell>
          <cell r="E14" t="str">
            <v>Paille</v>
          </cell>
        </row>
        <row r="37">
          <cell r="B37" t="str">
            <v xml:space="preserve">  </v>
          </cell>
          <cell r="C37" t="str">
            <v xml:space="preserve">  </v>
          </cell>
          <cell r="D37" t="str">
            <v xml:space="preserve">  </v>
          </cell>
          <cell r="E37" t="str">
            <v xml:space="preserve">  </v>
          </cell>
          <cell r="F37" t="str">
            <v xml:space="preserve">  </v>
          </cell>
          <cell r="G37" t="str">
            <v xml:space="preserve">  </v>
          </cell>
          <cell r="H37" t="str">
            <v xml:space="preserve">  </v>
          </cell>
          <cell r="I37" t="str">
            <v xml:space="preserve">  </v>
          </cell>
          <cell r="J37" t="str">
            <v xml:space="preserve">  </v>
          </cell>
          <cell r="K37" t="str">
            <v xml:space="preserve">  </v>
          </cell>
          <cell r="L37" t="str">
            <v xml:space="preserve">  </v>
          </cell>
          <cell r="M37" t="str">
            <v xml:space="preserve">  </v>
          </cell>
          <cell r="N37" t="str">
            <v xml:space="preserve">  </v>
          </cell>
        </row>
        <row r="38">
          <cell r="B38" t="str">
            <v xml:space="preserve">   </v>
          </cell>
          <cell r="C38" t="str">
            <v xml:space="preserve">   </v>
          </cell>
          <cell r="D38" t="str">
            <v xml:space="preserve">   </v>
          </cell>
          <cell r="E38" t="str">
            <v xml:space="preserve">   </v>
          </cell>
          <cell r="F38" t="str">
            <v xml:space="preserve">   </v>
          </cell>
          <cell r="G38" t="str">
            <v xml:space="preserve">   </v>
          </cell>
          <cell r="H38" t="str">
            <v xml:space="preserve">   </v>
          </cell>
          <cell r="I38" t="str">
            <v xml:space="preserve">   </v>
          </cell>
          <cell r="J38" t="str">
            <v xml:space="preserve">   </v>
          </cell>
          <cell r="K38" t="str">
            <v xml:space="preserve">   </v>
          </cell>
          <cell r="L38" t="str">
            <v xml:space="preserve">   </v>
          </cell>
          <cell r="M38" t="str">
            <v xml:space="preserve">   </v>
          </cell>
          <cell r="N38" t="str">
            <v xml:space="preserve">   </v>
          </cell>
        </row>
        <row r="39">
          <cell r="B39" t="str">
            <v>Autre</v>
          </cell>
          <cell r="C39" t="str">
            <v>Autre</v>
          </cell>
          <cell r="D39" t="str">
            <v>Autre</v>
          </cell>
          <cell r="E39" t="str">
            <v>Autre</v>
          </cell>
          <cell r="F39" t="str">
            <v>Autre</v>
          </cell>
          <cell r="G39" t="str">
            <v>Autre</v>
          </cell>
          <cell r="H39" t="str">
            <v>Autre</v>
          </cell>
          <cell r="I39" t="str">
            <v>Autre</v>
          </cell>
          <cell r="J39" t="str">
            <v>Autre</v>
          </cell>
          <cell r="K39" t="str">
            <v>Autre</v>
          </cell>
          <cell r="L39" t="str">
            <v>Autre</v>
          </cell>
          <cell r="M39" t="str">
            <v>Autre</v>
          </cell>
          <cell r="N39" t="str">
            <v>Autre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10" Type="http://schemas.openxmlformats.org/officeDocument/2006/relationships/comments" Target="../comments3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4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22085-6636-416A-A730-6ADC9235BF2F}">
  <sheetPr codeName="Tabelle9"/>
  <dimension ref="A1:L82"/>
  <sheetViews>
    <sheetView showRowColHeaders="0" tabSelected="1" workbookViewId="0">
      <selection activeCell="Q18" sqref="Q18"/>
    </sheetView>
  </sheetViews>
  <sheetFormatPr baseColWidth="10" defaultRowHeight="12.75" x14ac:dyDescent="0.2"/>
  <cols>
    <col min="1" max="1" width="4.28515625" style="500" customWidth="1"/>
    <col min="2" max="3" width="1.7109375" style="500" customWidth="1"/>
    <col min="4" max="8" width="10.7109375" style="500" customWidth="1"/>
    <col min="9" max="9" width="11.42578125" style="500"/>
    <col min="10" max="11" width="10.7109375" style="500" customWidth="1"/>
    <col min="12" max="12" width="1.7109375" style="500" customWidth="1"/>
    <col min="13" max="16384" width="11.42578125" style="500"/>
  </cols>
  <sheetData>
    <row r="1" spans="1:12" ht="6.75" customHeight="1" x14ac:dyDescent="0.2"/>
    <row r="2" spans="1:12" ht="23.25" x14ac:dyDescent="0.35">
      <c r="A2" s="501"/>
      <c r="B2" s="841" t="s">
        <v>851</v>
      </c>
      <c r="C2" s="841"/>
      <c r="D2" s="841"/>
      <c r="E2" s="841"/>
      <c r="F2" s="841"/>
      <c r="G2" s="841"/>
      <c r="H2" s="841"/>
      <c r="I2" s="841"/>
      <c r="J2" s="841"/>
      <c r="K2" s="841"/>
      <c r="L2" s="841"/>
    </row>
    <row r="3" spans="1:12" ht="23.25" customHeight="1" x14ac:dyDescent="0.2">
      <c r="A3" s="501"/>
      <c r="B3" s="842" t="s">
        <v>679</v>
      </c>
      <c r="C3" s="842"/>
      <c r="D3" s="842"/>
      <c r="E3" s="842"/>
      <c r="F3" s="842"/>
      <c r="G3" s="842"/>
      <c r="H3" s="842"/>
      <c r="I3" s="842"/>
      <c r="J3" s="842"/>
      <c r="K3" s="842"/>
      <c r="L3" s="842"/>
    </row>
    <row r="4" spans="1:12" ht="23.25" customHeight="1" x14ac:dyDescent="0.2">
      <c r="A4" s="501"/>
      <c r="B4" s="843" t="s">
        <v>850</v>
      </c>
      <c r="C4" s="843"/>
      <c r="D4" s="843"/>
      <c r="E4" s="843"/>
      <c r="F4" s="843"/>
      <c r="G4" s="843"/>
      <c r="H4" s="843"/>
      <c r="I4" s="843"/>
      <c r="J4" s="843"/>
      <c r="K4" s="843"/>
      <c r="L4" s="843"/>
    </row>
    <row r="5" spans="1:12" s="502" customFormat="1" x14ac:dyDescent="0.2"/>
    <row r="6" spans="1:12" s="502" customFormat="1" ht="15.75" x14ac:dyDescent="0.25">
      <c r="A6" s="503"/>
      <c r="B6" s="504" t="str">
        <f>language!B11</f>
        <v>Lire les données d'un test automatisé avec TECTITE Express (.bld file)</v>
      </c>
      <c r="D6" s="503"/>
      <c r="E6" s="503"/>
      <c r="F6" s="503"/>
      <c r="G6" s="505"/>
      <c r="H6" s="503"/>
      <c r="I6" s="503"/>
      <c r="J6" s="503"/>
      <c r="K6" s="503"/>
      <c r="L6" s="503"/>
    </row>
    <row r="7" spans="1:12" s="502" customFormat="1" ht="6.75" customHeight="1" x14ac:dyDescent="0.25">
      <c r="A7" s="503"/>
      <c r="B7" s="217"/>
      <c r="C7" s="218"/>
      <c r="D7" s="218"/>
      <c r="E7" s="218"/>
      <c r="F7" s="218"/>
      <c r="G7" s="219"/>
      <c r="H7" s="218"/>
      <c r="I7" s="218"/>
      <c r="J7" s="218"/>
      <c r="K7" s="218"/>
      <c r="L7" s="220"/>
    </row>
    <row r="8" spans="1:12" x14ac:dyDescent="0.2">
      <c r="A8" s="501"/>
      <c r="B8" s="221"/>
      <c r="C8" s="222"/>
      <c r="D8" s="222"/>
      <c r="E8" s="222"/>
      <c r="F8" s="223"/>
      <c r="G8" s="223"/>
      <c r="H8" s="213"/>
      <c r="I8" s="223"/>
      <c r="J8" s="223"/>
      <c r="K8" s="294" t="str">
        <f>language!B12</f>
        <v>Dépressurisation</v>
      </c>
      <c r="L8" s="224"/>
    </row>
    <row r="9" spans="1:12" ht="6.75" customHeight="1" x14ac:dyDescent="0.25">
      <c r="A9" s="501"/>
      <c r="B9" s="221"/>
      <c r="C9" s="225"/>
      <c r="D9" s="222"/>
      <c r="E9" s="222"/>
      <c r="F9" s="223"/>
      <c r="G9" s="223"/>
      <c r="H9" s="222"/>
      <c r="I9" s="223"/>
      <c r="J9" s="223"/>
      <c r="K9" s="223"/>
      <c r="L9" s="224"/>
    </row>
    <row r="10" spans="1:12" ht="6.75" customHeight="1" x14ac:dyDescent="0.2">
      <c r="B10" s="212"/>
      <c r="C10" s="226"/>
      <c r="D10" s="227"/>
      <c r="E10" s="227"/>
      <c r="F10" s="227"/>
      <c r="G10" s="227"/>
      <c r="H10" s="227"/>
      <c r="I10" s="227"/>
      <c r="J10" s="227"/>
      <c r="K10" s="228"/>
      <c r="L10" s="216"/>
    </row>
    <row r="11" spans="1:12" x14ac:dyDescent="0.2">
      <c r="B11" s="212"/>
      <c r="C11" s="229"/>
      <c r="D11" s="213"/>
      <c r="E11" s="213"/>
      <c r="F11" s="213"/>
      <c r="G11" s="213"/>
      <c r="H11" s="236" t="str">
        <f>IF(I11="","","V50 =")</f>
        <v/>
      </c>
      <c r="I11" s="237" t="str">
        <f>Donnees_Test!C42</f>
        <v/>
      </c>
      <c r="J11" s="238" t="str">
        <f>IF(I11="","","m³/h")</f>
        <v/>
      </c>
      <c r="K11" s="230"/>
      <c r="L11" s="216"/>
    </row>
    <row r="12" spans="1:12" x14ac:dyDescent="0.2">
      <c r="B12" s="212"/>
      <c r="C12" s="229"/>
      <c r="D12" s="213"/>
      <c r="E12" s="213"/>
      <c r="F12" s="213"/>
      <c r="G12" s="213"/>
      <c r="H12" s="236" t="str">
        <f>IF(I12="","","n50 =")</f>
        <v/>
      </c>
      <c r="I12" s="288" t="str">
        <f>Donnees_Test!C43</f>
        <v/>
      </c>
      <c r="J12" s="238" t="str">
        <f>IF(I12="","","1/h")</f>
        <v/>
      </c>
      <c r="K12" s="230"/>
      <c r="L12" s="216"/>
    </row>
    <row r="13" spans="1:12" ht="9.9499999999999993" customHeight="1" x14ac:dyDescent="0.2">
      <c r="B13" s="212"/>
      <c r="C13" s="229"/>
      <c r="D13" s="213"/>
      <c r="E13" s="213"/>
      <c r="F13" s="213"/>
      <c r="G13" s="213"/>
      <c r="H13" s="213"/>
      <c r="I13" s="213"/>
      <c r="J13" s="213"/>
      <c r="K13" s="230"/>
      <c r="L13" s="216"/>
    </row>
    <row r="14" spans="1:12" x14ac:dyDescent="0.2">
      <c r="B14" s="212"/>
      <c r="C14" s="229"/>
      <c r="D14" s="215" t="str">
        <f>IF(bld_file!$W$8="","",bld_file!$W$8)</f>
        <v/>
      </c>
      <c r="E14" s="213"/>
      <c r="F14" s="213"/>
      <c r="G14" s="213"/>
      <c r="H14" s="231"/>
      <c r="I14" s="213"/>
      <c r="J14" s="213"/>
      <c r="K14" s="230"/>
      <c r="L14" s="216"/>
    </row>
    <row r="15" spans="1:12" ht="6.75" customHeight="1" x14ac:dyDescent="0.25">
      <c r="B15" s="212"/>
      <c r="C15" s="232"/>
      <c r="D15" s="233"/>
      <c r="E15" s="234"/>
      <c r="F15" s="233"/>
      <c r="G15" s="233"/>
      <c r="H15" s="233"/>
      <c r="I15" s="233"/>
      <c r="J15" s="233"/>
      <c r="K15" s="235"/>
      <c r="L15" s="216"/>
    </row>
    <row r="16" spans="1:12" ht="6.75" customHeight="1" x14ac:dyDescent="0.2">
      <c r="B16" s="212"/>
      <c r="C16" s="213"/>
      <c r="D16" s="213"/>
      <c r="E16" s="213"/>
      <c r="F16" s="213"/>
      <c r="G16" s="213"/>
      <c r="H16" s="213"/>
      <c r="I16" s="213"/>
      <c r="J16" s="213"/>
      <c r="K16" s="213"/>
      <c r="L16" s="216"/>
    </row>
    <row r="17" spans="1:12" x14ac:dyDescent="0.2">
      <c r="B17" s="212"/>
      <c r="C17" s="222"/>
      <c r="D17" s="213"/>
      <c r="E17" s="213"/>
      <c r="F17" s="213"/>
      <c r="G17" s="213"/>
      <c r="H17" s="213"/>
      <c r="I17" s="213"/>
      <c r="J17" s="213"/>
      <c r="K17" s="294" t="str">
        <f>language!B13</f>
        <v>Pressurisation</v>
      </c>
      <c r="L17" s="216"/>
    </row>
    <row r="18" spans="1:12" ht="6.75" customHeight="1" x14ac:dyDescent="0.25">
      <c r="A18" s="501"/>
      <c r="B18" s="221"/>
      <c r="C18" s="225"/>
      <c r="D18" s="222"/>
      <c r="E18" s="222"/>
      <c r="F18" s="223"/>
      <c r="G18" s="223"/>
      <c r="H18" s="222"/>
      <c r="I18" s="223"/>
      <c r="J18" s="223"/>
      <c r="K18" s="223"/>
      <c r="L18" s="224"/>
    </row>
    <row r="19" spans="1:12" ht="6.75" customHeight="1" x14ac:dyDescent="0.2">
      <c r="B19" s="212"/>
      <c r="C19" s="226"/>
      <c r="D19" s="227"/>
      <c r="E19" s="227"/>
      <c r="F19" s="227"/>
      <c r="G19" s="227"/>
      <c r="H19" s="227"/>
      <c r="I19" s="227"/>
      <c r="J19" s="227"/>
      <c r="K19" s="228"/>
      <c r="L19" s="216"/>
    </row>
    <row r="20" spans="1:12" ht="12.75" customHeight="1" x14ac:dyDescent="0.2">
      <c r="B20" s="212"/>
      <c r="C20" s="229"/>
      <c r="D20" s="213"/>
      <c r="E20" s="213"/>
      <c r="F20" s="213"/>
      <c r="G20" s="213"/>
      <c r="H20" s="236" t="str">
        <f>IF(I20="","","V50 =")</f>
        <v/>
      </c>
      <c r="I20" s="237" t="str">
        <f>Donnees_Test!I42</f>
        <v/>
      </c>
      <c r="J20" s="238" t="str">
        <f>IF(I20="","","m³/h")</f>
        <v/>
      </c>
      <c r="K20" s="230"/>
      <c r="L20" s="216"/>
    </row>
    <row r="21" spans="1:12" ht="12.75" customHeight="1" x14ac:dyDescent="0.2">
      <c r="B21" s="212"/>
      <c r="C21" s="229"/>
      <c r="D21" s="213"/>
      <c r="E21" s="213"/>
      <c r="F21" s="213"/>
      <c r="G21" s="213"/>
      <c r="H21" s="236" t="str">
        <f>IF(I21="","","n50 =")</f>
        <v/>
      </c>
      <c r="I21" s="288" t="str">
        <f>Donnees_Test!I43</f>
        <v/>
      </c>
      <c r="J21" s="238" t="str">
        <f>IF(I21="","","1/h")</f>
        <v/>
      </c>
      <c r="K21" s="230"/>
      <c r="L21" s="216"/>
    </row>
    <row r="22" spans="1:12" ht="9.9499999999999993" customHeight="1" x14ac:dyDescent="0.2">
      <c r="B22" s="212"/>
      <c r="C22" s="229"/>
      <c r="D22" s="213"/>
      <c r="E22" s="213"/>
      <c r="F22" s="213"/>
      <c r="G22" s="213"/>
      <c r="H22" s="213"/>
      <c r="I22" s="213"/>
      <c r="J22" s="213"/>
      <c r="K22" s="230"/>
      <c r="L22" s="216"/>
    </row>
    <row r="23" spans="1:12" ht="12.75" customHeight="1" x14ac:dyDescent="0.2">
      <c r="B23" s="212"/>
      <c r="C23" s="229"/>
      <c r="D23" s="215" t="str">
        <f>IF(bld_file!$AF$8="","",bld_file!$AF$8)</f>
        <v/>
      </c>
      <c r="E23" s="213"/>
      <c r="F23" s="213"/>
      <c r="G23" s="213"/>
      <c r="H23" s="231"/>
      <c r="I23" s="213"/>
      <c r="J23" s="213"/>
      <c r="K23" s="230"/>
      <c r="L23" s="216"/>
    </row>
    <row r="24" spans="1:12" ht="6.75" customHeight="1" x14ac:dyDescent="0.25">
      <c r="B24" s="212"/>
      <c r="C24" s="232"/>
      <c r="D24" s="233"/>
      <c r="E24" s="234"/>
      <c r="F24" s="233"/>
      <c r="G24" s="233"/>
      <c r="H24" s="233"/>
      <c r="I24" s="233"/>
      <c r="J24" s="233"/>
      <c r="K24" s="235"/>
      <c r="L24" s="216"/>
    </row>
    <row r="25" spans="1:12" ht="6.75" customHeight="1" x14ac:dyDescent="0.2">
      <c r="B25" s="212"/>
      <c r="C25" s="213"/>
      <c r="D25" s="213"/>
      <c r="E25" s="213"/>
      <c r="F25" s="213"/>
      <c r="G25" s="213"/>
      <c r="H25" s="213"/>
      <c r="I25" s="213"/>
      <c r="J25" s="213"/>
      <c r="K25" s="213"/>
      <c r="L25" s="216"/>
    </row>
    <row r="26" spans="1:12" ht="6.75" customHeight="1" x14ac:dyDescent="0.2">
      <c r="B26" s="212"/>
      <c r="C26" s="213"/>
      <c r="D26" s="213"/>
      <c r="E26" s="213"/>
      <c r="F26" s="213"/>
      <c r="G26" s="213"/>
      <c r="H26" s="213"/>
      <c r="I26" s="213"/>
      <c r="J26" s="213"/>
      <c r="K26" s="213"/>
      <c r="L26" s="216"/>
    </row>
    <row r="27" spans="1:12" ht="15" customHeight="1" x14ac:dyDescent="0.25">
      <c r="B27" s="212"/>
      <c r="C27" s="213"/>
      <c r="D27" s="296" t="str">
        <f>IF(bld_file!C10="","",IF(bld_file!C10&lt;"3.6",CONCATENATE(A81," ",bld_file!C10),""))</f>
        <v/>
      </c>
      <c r="E27" s="213"/>
      <c r="F27" s="213"/>
      <c r="G27" s="213"/>
      <c r="H27" s="213"/>
      <c r="I27" s="213"/>
      <c r="J27" s="213"/>
      <c r="K27" s="213"/>
      <c r="L27" s="216"/>
    </row>
    <row r="28" spans="1:12" ht="15" customHeight="1" x14ac:dyDescent="0.25">
      <c r="B28" s="212"/>
      <c r="C28" s="213"/>
      <c r="D28" s="296" t="str">
        <f>IF(bld_file!C10="","",IF(bld_file!C10&lt;"3.6",A82,""))</f>
        <v/>
      </c>
      <c r="E28" s="213"/>
      <c r="F28" s="213"/>
      <c r="G28" s="213"/>
      <c r="H28" s="213"/>
      <c r="I28" s="213"/>
      <c r="J28" s="213"/>
      <c r="K28" s="213"/>
      <c r="L28" s="216"/>
    </row>
    <row r="29" spans="1:12" ht="6.75" customHeight="1" x14ac:dyDescent="0.2">
      <c r="B29" s="212"/>
      <c r="C29" s="213"/>
      <c r="D29" s="213"/>
      <c r="E29" s="213"/>
      <c r="F29" s="213"/>
      <c r="G29" s="213"/>
      <c r="H29" s="213"/>
      <c r="I29" s="213"/>
      <c r="J29" s="213"/>
      <c r="K29" s="213"/>
      <c r="L29" s="216"/>
    </row>
    <row r="30" spans="1:12" ht="15" customHeight="1" x14ac:dyDescent="0.2">
      <c r="B30" s="212"/>
      <c r="C30" s="213"/>
      <c r="D30" s="213" t="str">
        <f>language!B15</f>
        <v>Vérifier entrée :</v>
      </c>
      <c r="E30" s="213"/>
      <c r="F30" s="213"/>
      <c r="G30" s="213"/>
      <c r="H30" s="213"/>
      <c r="I30" s="213"/>
      <c r="J30" s="213"/>
      <c r="K30" s="213"/>
      <c r="L30" s="216"/>
    </row>
    <row r="31" spans="1:12" x14ac:dyDescent="0.2">
      <c r="B31" s="212"/>
      <c r="C31" s="213"/>
      <c r="D31" s="213"/>
      <c r="E31" s="213"/>
      <c r="F31" s="213"/>
      <c r="G31" s="213"/>
      <c r="H31" s="213"/>
      <c r="I31" s="213"/>
      <c r="J31" s="213"/>
      <c r="K31" s="213"/>
      <c r="L31" s="216"/>
    </row>
    <row r="32" spans="1:12" ht="6.75" customHeight="1" x14ac:dyDescent="0.2">
      <c r="B32" s="184"/>
      <c r="C32" s="185"/>
      <c r="D32" s="185"/>
      <c r="E32" s="185"/>
      <c r="F32" s="185"/>
      <c r="G32" s="185"/>
      <c r="H32" s="185"/>
      <c r="I32" s="185"/>
      <c r="J32" s="185"/>
      <c r="K32" s="185"/>
      <c r="L32" s="186"/>
    </row>
    <row r="35" spans="1:12" ht="23.25" x14ac:dyDescent="0.35">
      <c r="A35" s="501"/>
      <c r="B35" s="504" t="str">
        <f>language!B16</f>
        <v xml:space="preserve">Entrée manuelle de données </v>
      </c>
      <c r="C35" s="506"/>
      <c r="D35" s="507"/>
      <c r="E35" s="507"/>
      <c r="F35" s="507"/>
      <c r="G35" s="507"/>
      <c r="I35" s="507"/>
      <c r="J35" s="507"/>
      <c r="K35" s="507"/>
      <c r="L35" s="501"/>
    </row>
    <row r="36" spans="1:12" x14ac:dyDescent="0.2">
      <c r="B36" s="181"/>
      <c r="C36" s="182"/>
      <c r="D36" s="182"/>
      <c r="E36" s="182"/>
      <c r="F36" s="182"/>
      <c r="G36" s="182"/>
      <c r="H36" s="182"/>
      <c r="I36" s="183"/>
      <c r="J36" s="508"/>
      <c r="K36" s="502"/>
      <c r="L36" s="502"/>
    </row>
    <row r="37" spans="1:12" ht="15.75" x14ac:dyDescent="0.25">
      <c r="B37" s="212"/>
      <c r="C37" s="213"/>
      <c r="D37" s="213"/>
      <c r="E37" s="214"/>
      <c r="F37" s="291"/>
      <c r="G37" s="213"/>
      <c r="H37" s="213"/>
      <c r="I37" s="216"/>
      <c r="J37" s="508"/>
      <c r="K37" s="502"/>
      <c r="L37" s="502"/>
    </row>
    <row r="38" spans="1:12" x14ac:dyDescent="0.2">
      <c r="B38" s="212"/>
      <c r="C38" s="213"/>
      <c r="D38" s="213"/>
      <c r="E38" s="213"/>
      <c r="F38" s="291"/>
      <c r="G38" s="213"/>
      <c r="H38" s="213"/>
      <c r="I38" s="216"/>
      <c r="J38" s="508"/>
      <c r="K38" s="502"/>
      <c r="L38" s="502"/>
    </row>
    <row r="39" spans="1:12" x14ac:dyDescent="0.2">
      <c r="B39" s="184"/>
      <c r="C39" s="185"/>
      <c r="D39" s="185"/>
      <c r="E39" s="185"/>
      <c r="F39" s="185"/>
      <c r="G39" s="185"/>
      <c r="H39" s="185"/>
      <c r="I39" s="186"/>
      <c r="J39" s="508"/>
      <c r="K39" s="502"/>
      <c r="L39" s="502"/>
    </row>
    <row r="40" spans="1:12" x14ac:dyDescent="0.2">
      <c r="A40" s="502"/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</row>
    <row r="72" spans="4:4" x14ac:dyDescent="0.2">
      <c r="D72" s="509"/>
    </row>
    <row r="73" spans="4:4" x14ac:dyDescent="0.2">
      <c r="D73" s="509"/>
    </row>
    <row r="74" spans="4:4" x14ac:dyDescent="0.2">
      <c r="D74" s="509"/>
    </row>
    <row r="75" spans="4:4" x14ac:dyDescent="0.2">
      <c r="D75" s="509"/>
    </row>
    <row r="81" spans="1:1" x14ac:dyDescent="0.2">
      <c r="A81" s="500" t="str">
        <f>language!B18</f>
        <v>Attention ! TECTITE Express Version:</v>
      </c>
    </row>
    <row r="82" spans="1:1" x14ac:dyDescent="0.2">
      <c r="A82" s="500" t="str">
        <f>language!B19</f>
        <v>Merci de vérifier avec attention le rapport d'essai</v>
      </c>
    </row>
  </sheetData>
  <sheetProtection sheet="1" objects="1" scenarios="1"/>
  <mergeCells count="3">
    <mergeCell ref="B2:L2"/>
    <mergeCell ref="B3:L3"/>
    <mergeCell ref="B4:L4"/>
  </mergeCells>
  <phoneticPr fontId="4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Line="0" autoPict="0" macro="[0]!ReadBldFile">
                <anchor moveWithCells="1">
                  <from>
                    <xdr:col>3</xdr:col>
                    <xdr:colOff>19050</xdr:colOff>
                    <xdr:row>10</xdr:row>
                    <xdr:rowOff>0</xdr:rowOff>
                  </from>
                  <to>
                    <xdr:col>5</xdr:col>
                    <xdr:colOff>171450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5" name="Button 28">
              <controlPr defaultSize="0" print="0" autoFill="0" autoLine="0" autoPict="0" macro="[0]!tabGebäudedaten">
                <anchor moveWithCells="1">
                  <from>
                    <xdr:col>5</xdr:col>
                    <xdr:colOff>209550</xdr:colOff>
                    <xdr:row>29</xdr:row>
                    <xdr:rowOff>9525</xdr:rowOff>
                  </from>
                  <to>
                    <xdr:col>6</xdr:col>
                    <xdr:colOff>552450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4" r:id="rId6" name="Button 36">
              <controlPr defaultSize="0" print="0" autoFill="0" autoLine="0" autoPict="0" macro="[0]!tabGebäudedaten">
                <anchor moveWithCells="1">
                  <from>
                    <xdr:col>3</xdr:col>
                    <xdr:colOff>19050</xdr:colOff>
                    <xdr:row>36</xdr:row>
                    <xdr:rowOff>19050</xdr:rowOff>
                  </from>
                  <to>
                    <xdr:col>5</xdr:col>
                    <xdr:colOff>95250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5" r:id="rId7" name="Button 37">
              <controlPr defaultSize="0" print="0" autoFill="0" autoLine="0" autoPict="0" macro="[0]!tabHilfe">
                <anchor moveWithCells="1">
                  <from>
                    <xdr:col>12</xdr:col>
                    <xdr:colOff>104775</xdr:colOff>
                    <xdr:row>6</xdr:row>
                    <xdr:rowOff>0</xdr:rowOff>
                  </from>
                  <to>
                    <xdr:col>13</xdr:col>
                    <xdr:colOff>400050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6" r:id="rId8" name="Button 38">
              <controlPr defaultSize="0" print="0" autoFill="0" autoLine="0" autoPict="0" macro="[0]!ReadBldFile">
                <anchor moveWithCells="1">
                  <from>
                    <xdr:col>3</xdr:col>
                    <xdr:colOff>0</xdr:colOff>
                    <xdr:row>18</xdr:row>
                    <xdr:rowOff>66675</xdr:rowOff>
                  </from>
                  <to>
                    <xdr:col>5</xdr:col>
                    <xdr:colOff>152400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0201B-0466-4DE8-871B-41E1439BF36D}">
  <sheetPr codeName="Tabelle1">
    <pageSetUpPr fitToPage="1"/>
  </sheetPr>
  <dimension ref="A1:U114"/>
  <sheetViews>
    <sheetView showGridLines="0" topLeftCell="A16" zoomScaleNormal="100" workbookViewId="0">
      <selection activeCell="C37" sqref="C37"/>
    </sheetView>
  </sheetViews>
  <sheetFormatPr baseColWidth="10" defaultRowHeight="12.75" x14ac:dyDescent="0.2"/>
  <cols>
    <col min="1" max="1" width="9.42578125" style="298" customWidth="1"/>
    <col min="2" max="2" width="11.85546875" style="298" customWidth="1"/>
    <col min="3" max="3" width="9.42578125" style="298" customWidth="1"/>
    <col min="4" max="4" width="10" style="298" customWidth="1"/>
    <col min="5" max="5" width="7.28515625" style="298" customWidth="1"/>
    <col min="6" max="6" width="12.28515625" style="298" customWidth="1"/>
    <col min="7" max="7" width="10.5703125" style="298" customWidth="1"/>
    <col min="8" max="8" width="9.42578125" style="298" customWidth="1"/>
    <col min="9" max="9" width="10.5703125" style="298" customWidth="1"/>
    <col min="10" max="10" width="9.42578125" style="298" customWidth="1"/>
    <col min="11" max="11" width="22.7109375" style="298" customWidth="1"/>
    <col min="12" max="16" width="11.42578125" style="298"/>
    <col min="17" max="17" width="45.7109375" style="298" customWidth="1"/>
    <col min="18" max="16384" width="11.42578125" style="298"/>
  </cols>
  <sheetData>
    <row r="1" spans="1:10" ht="23.25" x14ac:dyDescent="0.35">
      <c r="A1" s="517"/>
      <c r="B1" s="517"/>
      <c r="C1" s="517"/>
      <c r="D1" s="517"/>
      <c r="E1" s="517" t="str">
        <f>language!B36</f>
        <v>Test d'étanchéité à l'air</v>
      </c>
      <c r="F1" s="517"/>
      <c r="G1" s="517"/>
      <c r="H1" s="517"/>
      <c r="I1" s="517"/>
      <c r="J1" s="297"/>
    </row>
    <row r="2" spans="1:10" ht="15.75" x14ac:dyDescent="0.25">
      <c r="A2" s="499"/>
      <c r="B2" s="499"/>
      <c r="C2" s="499"/>
      <c r="D2" s="499"/>
      <c r="E2" s="518" t="str">
        <f>language!B37</f>
        <v>NF EN 13829</v>
      </c>
      <c r="F2" s="499"/>
      <c r="G2" s="499"/>
      <c r="H2" s="499"/>
      <c r="I2" s="499"/>
      <c r="J2" s="297"/>
    </row>
    <row r="3" spans="1:10" ht="15.75" x14ac:dyDescent="0.25">
      <c r="A3" s="223"/>
      <c r="B3" s="223"/>
      <c r="C3" s="223"/>
      <c r="D3" s="223"/>
      <c r="E3" s="518" t="str">
        <f>language!B38</f>
        <v>Informations sur le bâtiment testé et les équipements nécessaires</v>
      </c>
      <c r="F3" s="499"/>
      <c r="G3" s="499"/>
      <c r="H3" s="499"/>
      <c r="I3" s="499"/>
      <c r="J3" s="297"/>
    </row>
    <row r="4" spans="1:10" ht="8.25" customHeight="1" x14ac:dyDescent="0.25">
      <c r="A4" s="223"/>
      <c r="B4" s="223"/>
      <c r="C4" s="223"/>
      <c r="D4" s="223"/>
      <c r="E4" s="518"/>
      <c r="F4" s="499"/>
      <c r="G4" s="499"/>
      <c r="H4" s="499"/>
      <c r="I4" s="499"/>
      <c r="J4" s="297"/>
    </row>
    <row r="5" spans="1:10" ht="15" x14ac:dyDescent="0.25">
      <c r="A5" s="225" t="str">
        <f>language!B39</f>
        <v>Informations sur le bâtiment</v>
      </c>
      <c r="B5" s="222"/>
      <c r="C5" s="222"/>
      <c r="D5" s="223"/>
      <c r="E5" s="499"/>
      <c r="F5" s="225" t="str">
        <f>language!B46</f>
        <v>Informations sur le client</v>
      </c>
      <c r="G5" s="499"/>
      <c r="H5" s="499"/>
      <c r="I5" s="499"/>
      <c r="J5" s="297"/>
    </row>
    <row r="6" spans="1:10" ht="6.75" customHeight="1" x14ac:dyDescent="0.25">
      <c r="A6" s="225"/>
      <c r="B6" s="222"/>
      <c r="C6" s="222"/>
      <c r="D6" s="223"/>
      <c r="E6" s="499"/>
      <c r="F6" s="519"/>
      <c r="G6" s="499"/>
      <c r="H6" s="499"/>
      <c r="I6" s="499"/>
      <c r="J6" s="297"/>
    </row>
    <row r="7" spans="1:10" x14ac:dyDescent="0.2">
      <c r="A7" s="181" t="str">
        <f>language!B41</f>
        <v>Bâtiment :</v>
      </c>
      <c r="B7" s="239" t="str">
        <f>IF(bld_file!C38="","",bld_file!C38)</f>
        <v/>
      </c>
      <c r="C7" s="240"/>
      <c r="D7" s="241"/>
      <c r="E7" s="231"/>
      <c r="F7" s="181" t="str">
        <f>language!B47</f>
        <v xml:space="preserve">Nom : </v>
      </c>
      <c r="G7" s="239">
        <f>bld_file!C50</f>
        <v>0</v>
      </c>
      <c r="H7" s="194"/>
      <c r="I7" s="195"/>
    </row>
    <row r="8" spans="1:10" x14ac:dyDescent="0.2">
      <c r="A8" s="212"/>
      <c r="B8" s="242" t="str">
        <f>IF(bld_file!C40="","",bld_file!C40)</f>
        <v/>
      </c>
      <c r="C8" s="243"/>
      <c r="D8" s="244"/>
      <c r="E8" s="231"/>
      <c r="F8" s="212"/>
      <c r="G8" s="242">
        <f>bld_file!C51</f>
        <v>0</v>
      </c>
      <c r="H8" s="247"/>
      <c r="I8" s="248"/>
    </row>
    <row r="9" spans="1:10" x14ac:dyDescent="0.2">
      <c r="A9" s="212" t="str">
        <f>language!B42</f>
        <v>Adresse :</v>
      </c>
      <c r="B9" s="242" t="str">
        <f>IF(bld_file!C39="","",bld_file!C39)</f>
        <v/>
      </c>
      <c r="C9" s="243"/>
      <c r="D9" s="244"/>
      <c r="E9" s="231"/>
      <c r="F9" s="212" t="str">
        <f>language!B48</f>
        <v xml:space="preserve">Adresse : </v>
      </c>
      <c r="G9" s="242" t="str">
        <f>CONCATENATE(bld_file!C52," ",bld_file!C53)</f>
        <v xml:space="preserve"> </v>
      </c>
      <c r="H9" s="247"/>
      <c r="I9" s="248"/>
    </row>
    <row r="10" spans="1:10" x14ac:dyDescent="0.2">
      <c r="A10" s="212"/>
      <c r="B10" s="242" t="str">
        <f>IF(AND(bld_file!C43="",bld_file!C41=""),"",IF(bld_file!C43="",bld_file!C41,CONCATENATE(bld_file!C43," ",bld_file!C41)))</f>
        <v/>
      </c>
      <c r="C10" s="243"/>
      <c r="D10" s="244"/>
      <c r="E10" s="231"/>
      <c r="F10" s="212"/>
      <c r="G10" s="242" t="str">
        <f>CONCATENATE(bld_file!C56," ",bld_file!C54)</f>
        <v xml:space="preserve"> </v>
      </c>
      <c r="H10" s="247"/>
      <c r="I10" s="248"/>
    </row>
    <row r="11" spans="1:10" x14ac:dyDescent="0.2">
      <c r="A11" s="212"/>
      <c r="B11" s="213"/>
      <c r="C11" s="520" t="str">
        <f>language!B43</f>
        <v>Année de construction :</v>
      </c>
      <c r="D11" s="245" t="str">
        <f>IF(bld_file!C47="","",bld_file!C47)</f>
        <v/>
      </c>
      <c r="E11" s="231"/>
      <c r="F11" s="212" t="str">
        <f>language!B49</f>
        <v xml:space="preserve">Téléphone : </v>
      </c>
      <c r="G11" s="856" t="str">
        <f>IF(bld_file!C57="","",bld_file!C57)</f>
        <v/>
      </c>
      <c r="H11" s="856"/>
      <c r="I11" s="857"/>
    </row>
    <row r="12" spans="1:10" x14ac:dyDescent="0.2">
      <c r="A12" s="184"/>
      <c r="B12" s="185"/>
      <c r="C12" s="521" t="str">
        <f>language!B44</f>
        <v xml:space="preserve">Date du test : </v>
      </c>
      <c r="D12" s="246" t="str">
        <f>IF(bld_file!C48="","",bld_file!C48)</f>
        <v/>
      </c>
      <c r="E12" s="231"/>
      <c r="F12" s="184" t="str">
        <f>language!B50</f>
        <v>Fax :</v>
      </c>
      <c r="G12" s="860" t="str">
        <f>IF(bld_file!C58="","",bld_file!C58)</f>
        <v/>
      </c>
      <c r="H12" s="860"/>
      <c r="I12" s="861"/>
    </row>
    <row r="13" spans="1:10" x14ac:dyDescent="0.2">
      <c r="A13" s="231"/>
      <c r="B13" s="231"/>
      <c r="C13" s="231"/>
      <c r="D13" s="231"/>
      <c r="E13" s="231"/>
      <c r="F13" s="231"/>
      <c r="G13" s="231"/>
      <c r="H13" s="231"/>
      <c r="I13" s="231"/>
    </row>
    <row r="14" spans="1:10" ht="15" x14ac:dyDescent="0.25">
      <c r="A14" s="439" t="str">
        <f>language!B52</f>
        <v>Informations sur le prestataire</v>
      </c>
      <c r="B14" s="231"/>
      <c r="C14" s="231"/>
      <c r="D14" s="231"/>
      <c r="E14" s="231"/>
      <c r="F14" s="231"/>
      <c r="G14" s="231"/>
      <c r="H14" s="231"/>
      <c r="I14" s="231"/>
    </row>
    <row r="15" spans="1:10" ht="6.75" customHeight="1" x14ac:dyDescent="0.25">
      <c r="A15" s="439"/>
      <c r="B15" s="231"/>
      <c r="C15" s="231"/>
      <c r="D15" s="231"/>
      <c r="E15" s="231"/>
      <c r="F15" s="231"/>
      <c r="G15" s="231"/>
      <c r="H15" s="231"/>
      <c r="I15" s="231"/>
    </row>
    <row r="16" spans="1:10" x14ac:dyDescent="0.2">
      <c r="A16" s="181" t="str">
        <f>language!B53</f>
        <v>Nom :</v>
      </c>
      <c r="B16" s="239" t="str">
        <f>IF(bld_file!C74="","",bld_file!C74)</f>
        <v/>
      </c>
      <c r="C16" s="194"/>
      <c r="D16" s="194"/>
      <c r="E16" s="182"/>
      <c r="F16" s="182" t="str">
        <f>language!B55</f>
        <v>Technicien :</v>
      </c>
      <c r="G16" s="862" t="str">
        <f>IF(bld_file!C49="","",bld_file!C49)</f>
        <v/>
      </c>
      <c r="H16" s="862"/>
      <c r="I16" s="863"/>
    </row>
    <row r="17" spans="1:10" x14ac:dyDescent="0.2">
      <c r="A17" s="212"/>
      <c r="B17" s="242" t="str">
        <f>IF(bld_file!C75="","",bld_file!C75)</f>
        <v/>
      </c>
      <c r="C17" s="247"/>
      <c r="D17" s="247"/>
      <c r="E17" s="213"/>
      <c r="F17" s="213" t="str">
        <f>language!B56</f>
        <v>Téléphone</v>
      </c>
      <c r="G17" s="856" t="str">
        <f>IF(bld_file!C81="","",bld_file!C81)</f>
        <v/>
      </c>
      <c r="H17" s="856"/>
      <c r="I17" s="857"/>
    </row>
    <row r="18" spans="1:10" x14ac:dyDescent="0.2">
      <c r="A18" s="212" t="str">
        <f>language!B54</f>
        <v>Adresse :</v>
      </c>
      <c r="B18" s="242" t="str">
        <f>IF(bld_file!C76="","",bld_file!C76)</f>
        <v/>
      </c>
      <c r="C18" s="247"/>
      <c r="D18" s="247"/>
      <c r="E18" s="213"/>
      <c r="F18" s="213" t="str">
        <f>language!B57</f>
        <v xml:space="preserve">Fax : </v>
      </c>
      <c r="G18" s="856" t="str">
        <f>IF(bld_file!C82="","",bld_file!C82)</f>
        <v/>
      </c>
      <c r="H18" s="856"/>
      <c r="I18" s="857"/>
    </row>
    <row r="19" spans="1:10" x14ac:dyDescent="0.2">
      <c r="A19" s="184"/>
      <c r="B19" s="249" t="str">
        <f>IF(AND(bld_file!C80="",bld_file!C78=""),"",CONCATENATE(bld_file!C80," ",bld_file!C78))</f>
        <v/>
      </c>
      <c r="C19" s="250"/>
      <c r="D19" s="250"/>
      <c r="E19" s="185"/>
      <c r="F19" s="185"/>
      <c r="G19" s="185"/>
      <c r="H19" s="854"/>
      <c r="I19" s="855"/>
    </row>
    <row r="20" spans="1:10" x14ac:dyDescent="0.2">
      <c r="A20" s="231"/>
      <c r="B20" s="231"/>
      <c r="C20" s="231"/>
      <c r="D20" s="231"/>
      <c r="E20" s="231"/>
      <c r="F20" s="231"/>
      <c r="G20" s="213"/>
      <c r="H20" s="231"/>
      <c r="I20" s="231"/>
    </row>
    <row r="21" spans="1:10" ht="15" x14ac:dyDescent="0.25">
      <c r="A21" s="439" t="str">
        <f>language!B59</f>
        <v>Méthode de test</v>
      </c>
      <c r="B21" s="231"/>
      <c r="C21" s="231"/>
      <c r="D21" s="231"/>
      <c r="E21" s="231"/>
      <c r="F21" s="231"/>
      <c r="G21" s="231"/>
      <c r="H21" s="231"/>
      <c r="I21" s="231"/>
    </row>
    <row r="22" spans="1:10" ht="6.75" customHeight="1" x14ac:dyDescent="0.2">
      <c r="A22" s="522"/>
      <c r="B22" s="231"/>
      <c r="C22" s="231"/>
      <c r="D22" s="231"/>
      <c r="E22" s="231"/>
      <c r="F22" s="231"/>
      <c r="G22" s="231"/>
      <c r="H22" s="231"/>
      <c r="I22" s="231"/>
    </row>
    <row r="23" spans="1:10" x14ac:dyDescent="0.2">
      <c r="A23" s="523" t="str">
        <f>language!B60</f>
        <v>Méthode :</v>
      </c>
      <c r="B23" s="524"/>
      <c r="C23" s="821" t="str">
        <f>IF(bld_file!C10="",P79,IF(OR(bld_file!T11="C",bld_file!T11="U"),"-",IF(bld_file!C62="","-",bld_file!C62)))</f>
        <v>Choisir</v>
      </c>
      <c r="D23" s="525" t="str">
        <f>VLOOKUP(C23,P76:Q78,2)</f>
        <v>Test de l'enveloppe</v>
      </c>
      <c r="E23" s="182"/>
      <c r="F23" s="182"/>
      <c r="G23" s="182"/>
      <c r="H23" s="182"/>
      <c r="I23" s="183"/>
    </row>
    <row r="24" spans="1:10" x14ac:dyDescent="0.2">
      <c r="A24" s="212" t="str">
        <f>language!B63</f>
        <v>Norme :</v>
      </c>
      <c r="B24" s="213"/>
      <c r="C24" s="858" t="str">
        <f>IF(bld_file!T11="E",P102,IF(bld_file!T11="C","CGSB",IF(bld_file!T11="U",P101,P101)))</f>
        <v>Choisir</v>
      </c>
      <c r="D24" s="858"/>
      <c r="E24" s="858"/>
      <c r="F24" s="213"/>
      <c r="G24" s="213"/>
      <c r="H24" s="213"/>
      <c r="I24" s="216"/>
    </row>
    <row r="25" spans="1:10" x14ac:dyDescent="0.2">
      <c r="A25" s="212" t="str">
        <f>language!B67</f>
        <v xml:space="preserve">Note : </v>
      </c>
      <c r="B25" s="213"/>
      <c r="C25" s="251"/>
      <c r="D25" s="251"/>
      <c r="E25" s="251"/>
      <c r="F25" s="251"/>
      <c r="G25" s="251"/>
      <c r="H25" s="251"/>
      <c r="I25" s="252"/>
    </row>
    <row r="26" spans="1:10" x14ac:dyDescent="0.2">
      <c r="A26" s="212"/>
      <c r="B26" s="213"/>
      <c r="C26" s="127"/>
      <c r="D26" s="127"/>
      <c r="E26" s="127"/>
      <c r="F26" s="127"/>
      <c r="G26" s="127"/>
      <c r="H26" s="127"/>
      <c r="I26" s="253"/>
    </row>
    <row r="27" spans="1:10" x14ac:dyDescent="0.2">
      <c r="A27" s="184"/>
      <c r="B27" s="185"/>
      <c r="C27" s="254"/>
      <c r="D27" s="254"/>
      <c r="E27" s="254"/>
      <c r="F27" s="254"/>
      <c r="G27" s="254"/>
      <c r="H27" s="254"/>
      <c r="I27" s="255"/>
    </row>
    <row r="28" spans="1:10" x14ac:dyDescent="0.2">
      <c r="A28" s="213"/>
      <c r="B28" s="213"/>
      <c r="C28" s="213"/>
      <c r="D28" s="213"/>
      <c r="E28" s="213"/>
      <c r="F28" s="213"/>
      <c r="G28" s="213"/>
      <c r="H28" s="213"/>
      <c r="I28" s="213"/>
      <c r="J28" s="299"/>
    </row>
    <row r="29" spans="1:10" ht="15" x14ac:dyDescent="0.25">
      <c r="A29" s="439" t="str">
        <f>language!B69</f>
        <v>Projet testé:</v>
      </c>
      <c r="B29" s="522"/>
      <c r="C29" s="522"/>
      <c r="D29" s="231"/>
      <c r="E29" s="213"/>
      <c r="F29" s="231"/>
      <c r="G29" s="231"/>
      <c r="H29" s="231"/>
      <c r="I29" s="231"/>
    </row>
    <row r="30" spans="1:10" ht="6.75" customHeight="1" x14ac:dyDescent="0.2">
      <c r="A30" s="522"/>
      <c r="B30" s="522"/>
      <c r="C30" s="522"/>
      <c r="D30" s="231"/>
      <c r="E30" s="231"/>
      <c r="F30" s="231"/>
      <c r="G30" s="231"/>
      <c r="H30" s="231"/>
      <c r="I30" s="231"/>
    </row>
    <row r="31" spans="1:10" x14ac:dyDescent="0.2">
      <c r="A31" s="181" t="str">
        <f>language!B70</f>
        <v>Projet testé:</v>
      </c>
      <c r="B31" s="182"/>
      <c r="C31" s="256"/>
      <c r="D31" s="256"/>
      <c r="E31" s="256"/>
      <c r="F31" s="256"/>
      <c r="G31" s="256"/>
      <c r="H31" s="256"/>
      <c r="I31" s="257"/>
    </row>
    <row r="32" spans="1:10" x14ac:dyDescent="0.2">
      <c r="A32" s="212"/>
      <c r="B32" s="213"/>
      <c r="C32" s="251"/>
      <c r="D32" s="251"/>
      <c r="E32" s="251"/>
      <c r="F32" s="251"/>
      <c r="G32" s="251"/>
      <c r="H32" s="251"/>
      <c r="I32" s="252"/>
    </row>
    <row r="33" spans="1:9" x14ac:dyDescent="0.2">
      <c r="A33" s="212"/>
      <c r="B33" s="213"/>
      <c r="C33" s="251"/>
      <c r="D33" s="251"/>
      <c r="E33" s="251"/>
      <c r="F33" s="251"/>
      <c r="G33" s="251"/>
      <c r="H33" s="251"/>
      <c r="I33" s="252"/>
    </row>
    <row r="34" spans="1:9" x14ac:dyDescent="0.2">
      <c r="A34" s="212"/>
      <c r="B34" s="213"/>
      <c r="C34" s="251"/>
      <c r="D34" s="251"/>
      <c r="E34" s="251"/>
      <c r="F34" s="251"/>
      <c r="G34" s="251"/>
      <c r="H34" s="251"/>
      <c r="I34" s="252"/>
    </row>
    <row r="35" spans="1:9" x14ac:dyDescent="0.2">
      <c r="A35" s="212"/>
      <c r="B35" s="213"/>
      <c r="C35" s="258"/>
      <c r="D35" s="258"/>
      <c r="E35" s="258"/>
      <c r="F35" s="258"/>
      <c r="G35" s="258"/>
      <c r="H35" s="258"/>
      <c r="I35" s="259"/>
    </row>
    <row r="36" spans="1:9" x14ac:dyDescent="0.2">
      <c r="A36" s="212"/>
      <c r="B36" s="213"/>
      <c r="C36" s="213"/>
      <c r="D36" s="213"/>
      <c r="E36" s="213"/>
      <c r="F36" s="213"/>
      <c r="G36" s="213"/>
      <c r="H36" s="213"/>
      <c r="I36" s="216"/>
    </row>
    <row r="37" spans="1:9" x14ac:dyDescent="0.2">
      <c r="A37" s="846" t="str">
        <f>language!B71</f>
        <v>Volume intérieur V:</v>
      </c>
      <c r="B37" s="847"/>
      <c r="C37" s="260" t="str">
        <f>IF(bld_file!C44="","",bld_file!C44)</f>
        <v/>
      </c>
      <c r="D37" s="520" t="str">
        <f>language!$B$75</f>
        <v>Erreur:</v>
      </c>
      <c r="E37" s="262">
        <v>10</v>
      </c>
      <c r="F37" s="213" t="s">
        <v>14</v>
      </c>
      <c r="G37" s="213" t="str">
        <f>language!B76</f>
        <v>Valeurs de référence pour le calcul :</v>
      </c>
      <c r="H37" s="213"/>
      <c r="I37" s="216"/>
    </row>
    <row r="38" spans="1:9" x14ac:dyDescent="0.2">
      <c r="A38" s="850" t="str">
        <f>language!B72</f>
        <v>Surface de plancher nette AF:</v>
      </c>
      <c r="B38" s="851"/>
      <c r="C38" s="629"/>
      <c r="D38" s="520"/>
      <c r="E38" s="526"/>
      <c r="F38" s="213"/>
      <c r="G38" s="213"/>
      <c r="H38" s="213"/>
      <c r="I38" s="216"/>
    </row>
    <row r="39" spans="1:9" x14ac:dyDescent="0.2">
      <c r="A39" s="850"/>
      <c r="B39" s="851"/>
      <c r="C39" s="261" t="str">
        <f>IF(bld_file!C45="","",bld_file!C45)</f>
        <v/>
      </c>
      <c r="D39" s="520"/>
      <c r="E39" s="526"/>
      <c r="F39" s="213"/>
      <c r="G39" s="247"/>
      <c r="H39" s="263"/>
      <c r="I39" s="264"/>
    </row>
    <row r="40" spans="1:9" x14ac:dyDescent="0.2">
      <c r="A40" s="852" t="str">
        <f>language!B73</f>
        <v>Surface de l'enveloppe A(Tbat):</v>
      </c>
      <c r="B40" s="853"/>
      <c r="C40" s="630"/>
      <c r="D40" s="520"/>
      <c r="E40" s="526"/>
      <c r="F40" s="213"/>
      <c r="G40" s="247"/>
      <c r="H40" s="263"/>
      <c r="I40" s="264"/>
    </row>
    <row r="41" spans="1:9" x14ac:dyDescent="0.2">
      <c r="A41" s="852"/>
      <c r="B41" s="853"/>
      <c r="C41" s="261" t="str">
        <f>IF(bld_file!C46="","",bld_file!C46)</f>
        <v/>
      </c>
      <c r="D41" s="520" t="str">
        <f>language!$B$75</f>
        <v>Erreur:</v>
      </c>
      <c r="E41" s="262">
        <f>IF(bld_file!C61="",10,bld_file!C61)</f>
        <v>10</v>
      </c>
      <c r="F41" s="213" t="s">
        <v>14</v>
      </c>
      <c r="G41" s="247"/>
      <c r="H41" s="263"/>
      <c r="I41" s="264"/>
    </row>
    <row r="42" spans="1:9" ht="6" customHeight="1" x14ac:dyDescent="0.2">
      <c r="A42" s="212"/>
      <c r="B42" s="213"/>
      <c r="C42" s="213"/>
      <c r="D42" s="213"/>
      <c r="E42" s="213"/>
      <c r="F42" s="213"/>
      <c r="G42" s="213"/>
      <c r="H42" s="213"/>
      <c r="I42" s="216"/>
    </row>
    <row r="43" spans="1:9" x14ac:dyDescent="0.2">
      <c r="A43" s="852" t="str">
        <f>language!B74</f>
        <v>Hauteur envelope :</v>
      </c>
      <c r="B43" s="853"/>
      <c r="C43" s="817"/>
      <c r="D43" s="520"/>
      <c r="E43" s="213"/>
      <c r="F43" s="213"/>
      <c r="G43" s="213"/>
      <c r="H43" s="213"/>
      <c r="I43" s="216"/>
    </row>
    <row r="44" spans="1:9" x14ac:dyDescent="0.2">
      <c r="A44" s="212"/>
      <c r="B44" s="213"/>
      <c r="C44" s="213"/>
      <c r="D44" s="213"/>
      <c r="E44" s="213"/>
      <c r="F44" s="213"/>
      <c r="G44" s="213"/>
      <c r="H44" s="213"/>
      <c r="I44" s="216"/>
    </row>
    <row r="45" spans="1:9" x14ac:dyDescent="0.2">
      <c r="A45" s="212" t="str">
        <f>CONCATENATE(language!B77," ",language!B78)</f>
        <v>Type de Ventilation :</v>
      </c>
      <c r="B45" s="213"/>
      <c r="C45" s="818" t="str">
        <f>IF(bld_file!C67="",P109,IF(bld_file!C67=0,P108,IF(bld_file!C67=1,P107)))</f>
        <v>Choisir</v>
      </c>
      <c r="D45" s="251" t="str">
        <f>IF(C45=P108,"",IF(bld_file!C66="","",bld_file!C66))</f>
        <v/>
      </c>
      <c r="E45" s="178"/>
      <c r="F45" s="178"/>
      <c r="G45" s="178"/>
      <c r="H45" s="178"/>
      <c r="I45" s="265"/>
    </row>
    <row r="46" spans="1:9" ht="6" customHeight="1" x14ac:dyDescent="0.2">
      <c r="A46" s="212"/>
      <c r="B46" s="213"/>
      <c r="C46" s="213"/>
      <c r="D46" s="213"/>
      <c r="E46" s="213"/>
      <c r="F46" s="213"/>
      <c r="G46" s="213"/>
      <c r="H46" s="213"/>
      <c r="I46" s="216"/>
    </row>
    <row r="47" spans="1:9" x14ac:dyDescent="0.2">
      <c r="A47" s="212" t="str">
        <f>CONCATENATE(language!B79," ",language!B80)</f>
        <v>Type de Chauffage :</v>
      </c>
      <c r="B47" s="213"/>
      <c r="C47" s="251" t="str">
        <f>IF(bld_file!C64="","",bld_file!C64)</f>
        <v/>
      </c>
      <c r="D47" s="178"/>
      <c r="E47" s="178"/>
      <c r="F47" s="178"/>
      <c r="G47" s="178"/>
      <c r="H47" s="178"/>
      <c r="I47" s="265"/>
    </row>
    <row r="48" spans="1:9" ht="6" customHeight="1" x14ac:dyDescent="0.2">
      <c r="A48" s="212"/>
      <c r="B48" s="213"/>
      <c r="C48" s="213"/>
      <c r="D48" s="213"/>
      <c r="E48" s="213"/>
      <c r="F48" s="213"/>
      <c r="G48" s="213"/>
      <c r="H48" s="213"/>
      <c r="I48" s="216"/>
    </row>
    <row r="49" spans="1:9" x14ac:dyDescent="0.2">
      <c r="A49" s="212" t="str">
        <f>CONCATENATE(language!B81," ",language!B82)</f>
        <v>Type de Climatisation :</v>
      </c>
      <c r="B49" s="213"/>
      <c r="C49" s="251" t="str">
        <f>IF(bld_file!C65="","",bld_file!C65)</f>
        <v/>
      </c>
      <c r="D49" s="178"/>
      <c r="E49" s="178"/>
      <c r="F49" s="178"/>
      <c r="G49" s="178"/>
      <c r="H49" s="178"/>
      <c r="I49" s="265"/>
    </row>
    <row r="50" spans="1:9" x14ac:dyDescent="0.2">
      <c r="A50" s="212"/>
      <c r="B50" s="213"/>
      <c r="C50" s="213"/>
      <c r="D50" s="213"/>
      <c r="E50" s="213"/>
      <c r="F50" s="213"/>
      <c r="G50" s="213"/>
      <c r="H50" s="213"/>
      <c r="I50" s="216"/>
    </row>
    <row r="51" spans="1:9" x14ac:dyDescent="0.2">
      <c r="A51" s="266" t="str">
        <f>language!B86</f>
        <v>Pour plus d'informations voir "Commentaires"</v>
      </c>
      <c r="B51" s="127"/>
      <c r="C51" s="127"/>
      <c r="D51" s="127"/>
      <c r="E51" s="127"/>
      <c r="F51" s="127"/>
      <c r="G51" s="127"/>
      <c r="H51" s="127"/>
      <c r="I51" s="253"/>
    </row>
    <row r="52" spans="1:9" x14ac:dyDescent="0.2">
      <c r="A52" s="266"/>
      <c r="B52" s="127"/>
      <c r="C52" s="127"/>
      <c r="D52" s="127"/>
      <c r="E52" s="127"/>
      <c r="F52" s="127"/>
      <c r="G52" s="127"/>
      <c r="H52" s="127"/>
      <c r="I52" s="253"/>
    </row>
    <row r="53" spans="1:9" x14ac:dyDescent="0.2">
      <c r="A53" s="184"/>
      <c r="B53" s="185"/>
      <c r="C53" s="185"/>
      <c r="D53" s="185"/>
      <c r="E53" s="185"/>
      <c r="F53" s="185"/>
      <c r="G53" s="185"/>
      <c r="H53" s="185"/>
      <c r="I53" s="186"/>
    </row>
    <row r="54" spans="1:9" x14ac:dyDescent="0.2">
      <c r="A54" s="231"/>
      <c r="B54" s="231"/>
      <c r="C54" s="231"/>
      <c r="D54" s="231"/>
      <c r="E54" s="231"/>
      <c r="F54" s="231"/>
      <c r="G54" s="231"/>
      <c r="H54" s="231"/>
      <c r="I54" s="231"/>
    </row>
    <row r="55" spans="1:9" ht="15.75" x14ac:dyDescent="0.25">
      <c r="A55" s="437" t="str">
        <f>language!B88</f>
        <v>Equipement de mesure de la vitesse de l'air</v>
      </c>
      <c r="B55" s="213"/>
      <c r="C55" s="231"/>
      <c r="D55" s="231"/>
      <c r="E55" s="231"/>
      <c r="F55" s="231"/>
      <c r="G55" s="231"/>
      <c r="H55" s="231"/>
      <c r="I55" s="231"/>
    </row>
    <row r="56" spans="1:9" ht="6.75" customHeight="1" x14ac:dyDescent="0.2">
      <c r="A56" s="238"/>
      <c r="B56" s="213"/>
      <c r="C56" s="231"/>
      <c r="D56" s="231"/>
      <c r="E56" s="231"/>
      <c r="F56" s="231"/>
      <c r="G56" s="231"/>
      <c r="H56" s="231"/>
      <c r="I56" s="231"/>
    </row>
    <row r="57" spans="1:9" ht="12.75" customHeight="1" x14ac:dyDescent="0.2">
      <c r="A57" s="527" t="str">
        <f>language!B89</f>
        <v>Type d'équipement :</v>
      </c>
      <c r="B57" s="182"/>
      <c r="C57" s="848" t="str">
        <f>IF(bld_file!AP10="",Q84,P82)</f>
        <v>Choisir</v>
      </c>
      <c r="D57" s="848"/>
      <c r="E57" s="848"/>
      <c r="F57" s="848"/>
      <c r="G57" s="848"/>
      <c r="H57" s="848"/>
      <c r="I57" s="849"/>
    </row>
    <row r="58" spans="1:9" x14ac:dyDescent="0.2">
      <c r="A58" s="528" t="str">
        <f>language!B91</f>
        <v>Numéro de série :</v>
      </c>
      <c r="B58" s="529"/>
      <c r="C58" s="531" t="str">
        <f>language!B92</f>
        <v>Ventilateur :</v>
      </c>
      <c r="D58" s="289" t="str">
        <f>IF(bld_file!AP10="",P112,IF(AND(bld_file!AP13="",bld_file!AP14="",bld_file!AP15=""),P112,IF(bld_file!AP10=4,bld_file!AP15,IF(bld_file!AP10=5,bld_file!AP14,IF(bld_file!AP10="B",bld_file!AP13,)))))</f>
        <v>Entrée</v>
      </c>
      <c r="E58" s="532"/>
      <c r="F58" s="533" t="str">
        <f>language!B93</f>
        <v>Jauge de pression</v>
      </c>
      <c r="G58" s="289" t="str">
        <f>IF(bld_file!$C$15="",P112,bld_file!$C$15)</f>
        <v>Entrée</v>
      </c>
      <c r="H58" s="533" t="str">
        <f>language!B94</f>
        <v>Calibration</v>
      </c>
      <c r="I58" s="290" t="str">
        <f>IF(bld_file!$C$16="",P112,bld_file!$C$16)</f>
        <v>Entrée</v>
      </c>
    </row>
    <row r="59" spans="1:9" ht="4.5" customHeight="1" x14ac:dyDescent="0.2">
      <c r="A59" s="530"/>
      <c r="B59" s="213"/>
      <c r="C59" s="534"/>
      <c r="D59" s="534"/>
      <c r="E59" s="213"/>
      <c r="F59" s="213"/>
      <c r="G59" s="213"/>
      <c r="H59" s="440"/>
      <c r="I59" s="216"/>
    </row>
    <row r="60" spans="1:9" x14ac:dyDescent="0.2">
      <c r="A60" s="844" t="str">
        <f>language!B95</f>
        <v>Autres types d'équipement :</v>
      </c>
      <c r="B60" s="845"/>
      <c r="C60" s="251"/>
      <c r="D60" s="178"/>
      <c r="E60" s="178"/>
      <c r="F60" s="267"/>
      <c r="G60" s="267"/>
      <c r="H60" s="267"/>
      <c r="I60" s="268"/>
    </row>
    <row r="61" spans="1:9" x14ac:dyDescent="0.2">
      <c r="A61" s="844"/>
      <c r="B61" s="845"/>
      <c r="C61" s="258"/>
      <c r="D61" s="263"/>
      <c r="E61" s="263"/>
      <c r="F61" s="269"/>
      <c r="G61" s="269"/>
      <c r="H61" s="269"/>
      <c r="I61" s="270"/>
    </row>
    <row r="62" spans="1:9" x14ac:dyDescent="0.2">
      <c r="A62" s="184"/>
      <c r="B62" s="185"/>
      <c r="C62" s="254"/>
      <c r="D62" s="271"/>
      <c r="E62" s="271"/>
      <c r="F62" s="272"/>
      <c r="G62" s="272"/>
      <c r="H62" s="272"/>
      <c r="I62" s="273"/>
    </row>
    <row r="63" spans="1:9" x14ac:dyDescent="0.2">
      <c r="A63" s="299"/>
      <c r="B63" s="299"/>
      <c r="C63" s="299"/>
      <c r="D63" s="299"/>
      <c r="E63" s="299"/>
      <c r="F63" s="299"/>
      <c r="G63" s="299"/>
      <c r="H63" s="299"/>
      <c r="I63" s="299"/>
    </row>
    <row r="64" spans="1:9" x14ac:dyDescent="0.2">
      <c r="A64" s="299"/>
      <c r="B64" s="299"/>
      <c r="C64" s="299"/>
      <c r="D64" s="299"/>
      <c r="E64" s="299"/>
      <c r="G64" s="334" t="str">
        <f>language!B97</f>
        <v>Page suivante :</v>
      </c>
      <c r="H64" s="859"/>
      <c r="I64" s="859"/>
    </row>
    <row r="71" spans="12:17" x14ac:dyDescent="0.2">
      <c r="P71" s="300"/>
    </row>
    <row r="74" spans="12:17" ht="13.5" thickBot="1" x14ac:dyDescent="0.25"/>
    <row r="75" spans="12:17" ht="13.5" thickBot="1" x14ac:dyDescent="0.25">
      <c r="P75" s="315" t="s">
        <v>218</v>
      </c>
      <c r="Q75" s="432"/>
    </row>
    <row r="76" spans="12:17" x14ac:dyDescent="0.2">
      <c r="P76" s="431" t="s">
        <v>219</v>
      </c>
      <c r="Q76" s="820" t="s">
        <v>1</v>
      </c>
    </row>
    <row r="77" spans="12:17" x14ac:dyDescent="0.2">
      <c r="P77" s="303" t="s">
        <v>2</v>
      </c>
      <c r="Q77" s="304" t="str">
        <f>language!B61</f>
        <v>Test effectué pendant l'utilisation du bâtiment</v>
      </c>
    </row>
    <row r="78" spans="12:17" x14ac:dyDescent="0.2">
      <c r="P78" s="303" t="s">
        <v>3</v>
      </c>
      <c r="Q78" s="304" t="str">
        <f>language!B62</f>
        <v>Test de l'enveloppe</v>
      </c>
    </row>
    <row r="79" spans="12:17" ht="15.75" customHeight="1" thickBot="1" x14ac:dyDescent="0.25">
      <c r="L79" s="299"/>
      <c r="P79" s="305" t="str">
        <f>language!$B$64</f>
        <v>Choisir</v>
      </c>
      <c r="Q79" s="332"/>
    </row>
    <row r="80" spans="12:17" x14ac:dyDescent="0.2">
      <c r="P80" s="298" t="s">
        <v>354</v>
      </c>
      <c r="Q80" s="306">
        <f>bld_file!AP10</f>
        <v>0</v>
      </c>
    </row>
    <row r="81" spans="12:21" ht="15.75" customHeight="1" x14ac:dyDescent="0.2">
      <c r="L81" s="299"/>
      <c r="P81" s="298" t="s">
        <v>353</v>
      </c>
      <c r="Q81" s="306">
        <f>bld_file!C18</f>
        <v>0</v>
      </c>
    </row>
    <row r="82" spans="12:21" ht="15.75" customHeight="1" thickBot="1" x14ac:dyDescent="0.25">
      <c r="P82" s="298" t="b">
        <f>IF(Q80=4,VLOOKUP(Q81,P87:Q88,2),IF(Q80=5,VLOOKUP(Q81,P91:Q92,2),IF(Q80="B",VLOOKUP(Q81,P95:Q96,2))))</f>
        <v>0</v>
      </c>
    </row>
    <row r="83" spans="12:21" ht="13.5" thickBot="1" x14ac:dyDescent="0.25">
      <c r="P83" s="301" t="s">
        <v>258</v>
      </c>
      <c r="Q83" s="307"/>
      <c r="R83" s="302"/>
      <c r="S83" s="308" t="s">
        <v>284</v>
      </c>
      <c r="T83" s="301" t="s">
        <v>285</v>
      </c>
      <c r="U83" s="309"/>
    </row>
    <row r="84" spans="12:21" ht="13.5" thickBot="1" x14ac:dyDescent="0.25">
      <c r="P84" s="310"/>
      <c r="Q84" s="311" t="str">
        <f>language!B64</f>
        <v>Choisir</v>
      </c>
      <c r="R84" s="312">
        <v>0</v>
      </c>
      <c r="S84" s="313"/>
      <c r="T84" s="310" t="s">
        <v>8</v>
      </c>
      <c r="U84" s="314" t="s">
        <v>9</v>
      </c>
    </row>
    <row r="85" spans="12:21" x14ac:dyDescent="0.2">
      <c r="P85" s="315"/>
      <c r="Q85" s="316" t="s">
        <v>409</v>
      </c>
      <c r="R85" s="317">
        <v>7</v>
      </c>
      <c r="S85" s="318">
        <v>4</v>
      </c>
      <c r="T85" s="319" t="e">
        <f>0.65*100*SQRT(2.45^2+(IF(SQRT(Berechnung!$G$9^2)&lt;1,1,Berechnung!$G$9^2)))/Baseline!$J$62</f>
        <v>#DIV/0!</v>
      </c>
      <c r="U85" s="319" t="e">
        <f>0.65*100*SQRT(2.45^2+(IF(SQRT(Berechnung!$G$51^2)&lt;1,1,Berechnung!$G$51^2)))/Baseline!$L$62</f>
        <v>#DIV/0!</v>
      </c>
    </row>
    <row r="86" spans="12:21" x14ac:dyDescent="0.2">
      <c r="P86" s="310"/>
      <c r="Q86" s="311" t="s">
        <v>347</v>
      </c>
      <c r="R86" s="312">
        <v>4</v>
      </c>
      <c r="S86" s="320">
        <v>4</v>
      </c>
      <c r="T86" s="321" t="e">
        <f>0.65*100*SQRT(1^2+(IF(SQRT(Berechnung!$G$9^2)&lt;1,1,Berechnung!$G$9^2)))/$I$61</f>
        <v>#DIV/0!</v>
      </c>
      <c r="U86" s="321" t="e">
        <f>0.65*100*SQRT(1^2+(IF(SQRT(Berechnung!$G$51^2)&lt;1,1,Berechnung!$G$51^2)))/$I$61</f>
        <v>#DIV/0!</v>
      </c>
    </row>
    <row r="87" spans="12:21" ht="13.5" thickBot="1" x14ac:dyDescent="0.25">
      <c r="P87" s="310">
        <v>1</v>
      </c>
      <c r="Q87" s="311" t="s">
        <v>344</v>
      </c>
      <c r="R87" s="312">
        <v>4</v>
      </c>
      <c r="S87" s="320">
        <v>4</v>
      </c>
      <c r="T87" s="322" t="e">
        <f>0.65*100*SQRT(1^2+(IF(SQRT(Berechnung!$G$9^2)&lt;1,1,Berechnung!$G$9^2)))/$I$61</f>
        <v>#DIV/0!</v>
      </c>
      <c r="U87" s="322" t="e">
        <f>0.65*100*SQRT(1^2+(IF(SQRT(Berechnung!$G$51^2)&lt;1,1,Berechnung!$G$51^2)))/$I$61</f>
        <v>#DIV/0!</v>
      </c>
    </row>
    <row r="88" spans="12:21" ht="13.5" thickBot="1" x14ac:dyDescent="0.25">
      <c r="P88" s="323">
        <v>2</v>
      </c>
      <c r="Q88" s="324" t="s">
        <v>350</v>
      </c>
      <c r="R88" s="325">
        <v>4</v>
      </c>
      <c r="S88" s="326">
        <v>4</v>
      </c>
      <c r="T88" s="319" t="e">
        <f>0.65*100*SQRT(2.45^2+(IF(SQRT(Berechnung!$G$9^2)&lt;1,1,Berechnung!$G$9^2)))/$I$61</f>
        <v>#DIV/0!</v>
      </c>
      <c r="U88" s="319" t="e">
        <f>0.65*100*SQRT(2.45^2+(IF(SQRT(Berechnung!$G$51^2)&lt;1,1,Berechnung!$G$51^2)))/$I$61</f>
        <v>#DIV/0!</v>
      </c>
    </row>
    <row r="89" spans="12:21" x14ac:dyDescent="0.2">
      <c r="P89" s="315"/>
      <c r="Q89" s="311" t="s">
        <v>410</v>
      </c>
      <c r="R89" s="312">
        <v>7</v>
      </c>
      <c r="S89" s="318">
        <v>3</v>
      </c>
      <c r="T89" s="321" t="e">
        <f>0.65*100*SQRT(1^2+(IF(SQRT(Berechnung!$G$9^2)&lt;1,1,Berechnung!$G$9^2)))/$I$61</f>
        <v>#DIV/0!</v>
      </c>
      <c r="U89" s="321" t="e">
        <f>0.65*100*SQRT(1^2+(IF(SQRT(Berechnung!$G$51^2)&lt;1,1,Berechnung!$G$51^2)))/$I$61</f>
        <v>#DIV/0!</v>
      </c>
    </row>
    <row r="90" spans="12:21" ht="13.5" thickBot="1" x14ac:dyDescent="0.25">
      <c r="P90" s="310"/>
      <c r="Q90" s="311" t="s">
        <v>348</v>
      </c>
      <c r="R90" s="312">
        <v>4</v>
      </c>
      <c r="S90" s="320">
        <v>3</v>
      </c>
      <c r="T90" s="322" t="e">
        <f>0.65*100*SQRT(1^2+(IF(SQRT(Berechnung!$G$9^2)&lt;1,1,Berechnung!$G$9^2)))/$I$61</f>
        <v>#DIV/0!</v>
      </c>
      <c r="U90" s="322" t="e">
        <f>0.65*100*SQRT(1^2+(IF(SQRT(Berechnung!$G$51^2)&lt;1,1,Berechnung!$G$51^2)))/$I$61</f>
        <v>#DIV/0!</v>
      </c>
    </row>
    <row r="91" spans="12:21" x14ac:dyDescent="0.2">
      <c r="P91" s="310">
        <v>1</v>
      </c>
      <c r="Q91" s="311" t="s">
        <v>345</v>
      </c>
      <c r="R91" s="312">
        <v>4</v>
      </c>
      <c r="S91" s="320">
        <v>3</v>
      </c>
      <c r="T91" s="319" t="e">
        <f>0.65*100*SQRT(2.45^2+(IF(SQRT(Berechnung!$G$9^2)&lt;1,1,Berechnung!$G$9^2)))/$I$61</f>
        <v>#DIV/0!</v>
      </c>
      <c r="U91" s="319" t="e">
        <f>0.65*100*SQRT(2.45^2+(IF(SQRT(Berechnung!$G$51^2)&lt;1,1,Berechnung!$G$51^2)))/$I$61</f>
        <v>#DIV/0!</v>
      </c>
    </row>
    <row r="92" spans="12:21" ht="13.5" thickBot="1" x14ac:dyDescent="0.25">
      <c r="P92" s="323">
        <v>2</v>
      </c>
      <c r="Q92" s="324" t="s">
        <v>351</v>
      </c>
      <c r="R92" s="325">
        <v>4</v>
      </c>
      <c r="S92" s="326">
        <v>3</v>
      </c>
      <c r="T92" s="321" t="e">
        <f>0.65*100*SQRT(1^2+(IF(SQRT(Berechnung!$G$9^2)&lt;1,1,Berechnung!$G$9^2)))/$I$61</f>
        <v>#DIV/0!</v>
      </c>
      <c r="U92" s="321" t="e">
        <f>0.65*100*SQRT(1^2+(IF(SQRT(Berechnung!$G$51^2)&lt;1,1,Berechnung!$G$51^2)))/$I$61</f>
        <v>#DIV/0!</v>
      </c>
    </row>
    <row r="93" spans="12:21" ht="13.5" thickBot="1" x14ac:dyDescent="0.25">
      <c r="P93" s="315"/>
      <c r="Q93" s="311" t="s">
        <v>411</v>
      </c>
      <c r="R93" s="312">
        <v>7</v>
      </c>
      <c r="S93" s="327" t="s">
        <v>3</v>
      </c>
      <c r="T93" s="322" t="e">
        <f>0.65*100*SQRT(1^2+(IF(SQRT(Berechnung!$G$9^2)&lt;1,1,Berechnung!$G$9^2)))/$I$61</f>
        <v>#DIV/0!</v>
      </c>
      <c r="U93" s="322" t="e">
        <f>0.65*100*SQRT(1^2+(IF(SQRT(Berechnung!$G$51^2)&lt;1,1,Berechnung!$G$51^2)))/$I$61</f>
        <v>#DIV/0!</v>
      </c>
    </row>
    <row r="94" spans="12:21" x14ac:dyDescent="0.2">
      <c r="P94" s="310"/>
      <c r="Q94" s="311" t="s">
        <v>349</v>
      </c>
      <c r="R94" s="312">
        <v>4</v>
      </c>
      <c r="S94" s="327" t="s">
        <v>3</v>
      </c>
    </row>
    <row r="95" spans="12:21" x14ac:dyDescent="0.2">
      <c r="P95" s="310">
        <v>1</v>
      </c>
      <c r="Q95" s="311" t="s">
        <v>346</v>
      </c>
      <c r="R95" s="312">
        <v>4</v>
      </c>
      <c r="S95" s="327" t="s">
        <v>3</v>
      </c>
    </row>
    <row r="96" spans="12:21" ht="13.5" thickBot="1" x14ac:dyDescent="0.25">
      <c r="P96" s="323">
        <v>2</v>
      </c>
      <c r="Q96" s="324" t="s">
        <v>352</v>
      </c>
      <c r="R96" s="325">
        <v>4</v>
      </c>
      <c r="S96" s="328" t="s">
        <v>3</v>
      </c>
    </row>
    <row r="97" spans="16:19" x14ac:dyDescent="0.2">
      <c r="P97" s="299"/>
      <c r="Q97" s="311"/>
      <c r="R97" s="329"/>
      <c r="S97" s="330"/>
    </row>
    <row r="99" spans="16:19" ht="13.5" thickBot="1" x14ac:dyDescent="0.25"/>
    <row r="100" spans="16:19" ht="13.5" thickBot="1" x14ac:dyDescent="0.25">
      <c r="P100" s="301" t="s">
        <v>522</v>
      </c>
      <c r="Q100" s="302"/>
    </row>
    <row r="101" spans="16:19" x14ac:dyDescent="0.2">
      <c r="P101" s="303" t="str">
        <f>language!$B$64</f>
        <v>Choisir</v>
      </c>
      <c r="Q101" s="331"/>
    </row>
    <row r="102" spans="16:19" x14ac:dyDescent="0.2">
      <c r="P102" s="303" t="str">
        <f>language!B65</f>
        <v>selon EN 13829</v>
      </c>
      <c r="Q102" s="331"/>
    </row>
    <row r="103" spans="16:19" ht="13.5" thickBot="1" x14ac:dyDescent="0.25">
      <c r="P103" s="303" t="str">
        <f>language!B66</f>
        <v>selon EN 13829 avec déviations</v>
      </c>
      <c r="Q103" s="332"/>
    </row>
    <row r="104" spans="16:19" x14ac:dyDescent="0.2">
      <c r="P104" s="333"/>
      <c r="Q104" s="333"/>
    </row>
    <row r="105" spans="16:19" ht="13.5" thickBot="1" x14ac:dyDescent="0.25"/>
    <row r="106" spans="16:19" ht="13.5" thickBot="1" x14ac:dyDescent="0.25">
      <c r="P106" s="315" t="s">
        <v>293</v>
      </c>
      <c r="Q106" s="432"/>
    </row>
    <row r="107" spans="16:19" x14ac:dyDescent="0.2">
      <c r="P107" s="431" t="str">
        <f>language!B83</f>
        <v>Oui</v>
      </c>
      <c r="Q107" s="432"/>
    </row>
    <row r="108" spans="16:19" x14ac:dyDescent="0.2">
      <c r="P108" s="303" t="str">
        <f>language!B84</f>
        <v>Aucun</v>
      </c>
      <c r="Q108" s="331"/>
    </row>
    <row r="109" spans="16:19" ht="13.5" thickBot="1" x14ac:dyDescent="0.25">
      <c r="P109" s="305" t="str">
        <f>language!$B$64</f>
        <v>Choisir</v>
      </c>
      <c r="Q109" s="332"/>
    </row>
    <row r="110" spans="16:19" ht="13.5" thickBot="1" x14ac:dyDescent="0.25"/>
    <row r="111" spans="16:19" ht="13.5" thickBot="1" x14ac:dyDescent="0.25">
      <c r="P111" s="315" t="s">
        <v>849</v>
      </c>
      <c r="Q111" s="432"/>
    </row>
    <row r="112" spans="16:19" ht="13.5" thickBot="1" x14ac:dyDescent="0.25">
      <c r="P112" s="819" t="str">
        <f>language!$B$140</f>
        <v>Entrée</v>
      </c>
      <c r="Q112" s="302"/>
    </row>
    <row r="113" spans="16:17" x14ac:dyDescent="0.2">
      <c r="P113" s="316"/>
      <c r="Q113" s="333"/>
    </row>
    <row r="114" spans="16:17" x14ac:dyDescent="0.2">
      <c r="P114" s="311"/>
      <c r="Q114" s="299"/>
    </row>
  </sheetData>
  <mergeCells count="14">
    <mergeCell ref="H19:I19"/>
    <mergeCell ref="G17:I17"/>
    <mergeCell ref="C24:E24"/>
    <mergeCell ref="H64:I64"/>
    <mergeCell ref="G11:I11"/>
    <mergeCell ref="G12:I12"/>
    <mergeCell ref="G16:I16"/>
    <mergeCell ref="G18:I18"/>
    <mergeCell ref="A60:B61"/>
    <mergeCell ref="A37:B37"/>
    <mergeCell ref="C57:I57"/>
    <mergeCell ref="A38:B39"/>
    <mergeCell ref="A40:B41"/>
    <mergeCell ref="A43:B43"/>
  </mergeCells>
  <phoneticPr fontId="41" type="noConversion"/>
  <conditionalFormatting sqref="C45">
    <cfRule type="cellIs" dxfId="18" priority="1" stopIfTrue="1" operator="equal">
      <formula>$P$109</formula>
    </cfRule>
  </conditionalFormatting>
  <conditionalFormatting sqref="C57:I57">
    <cfRule type="cellIs" dxfId="17" priority="2" stopIfTrue="1" operator="equal">
      <formula>$Q$84</formula>
    </cfRule>
  </conditionalFormatting>
  <conditionalFormatting sqref="D58 G58 I58">
    <cfRule type="cellIs" dxfId="16" priority="3" stopIfTrue="1" operator="equal">
      <formula>$P$112</formula>
    </cfRule>
  </conditionalFormatting>
  <conditionalFormatting sqref="C23">
    <cfRule type="cellIs" dxfId="15" priority="4" stopIfTrue="1" operator="equal">
      <formula>$P$79</formula>
    </cfRule>
  </conditionalFormatting>
  <conditionalFormatting sqref="C24:E24">
    <cfRule type="cellIs" dxfId="14" priority="5" stopIfTrue="1" operator="equal">
      <formula>$P$101</formula>
    </cfRule>
  </conditionalFormatting>
  <dataValidations xWindow="112" yWindow="309" count="4">
    <dataValidation type="list" allowBlank="1" sqref="C23" xr:uid="{00000000-0002-0000-0200-000000000000}">
      <formula1>$P$76:$P$79</formula1>
    </dataValidation>
    <dataValidation type="list" allowBlank="1" sqref="C24" xr:uid="{00000000-0002-0000-0200-000001000000}">
      <formula1>$P$102:$P$103</formula1>
    </dataValidation>
    <dataValidation type="list" errorStyle="warning" allowBlank="1" errorTitle="Messsystem" error="Bitte wählen Sie ein vorgegebenes System aus. " promptTitle="Messsystem" prompt="Auswahl des Messsystems." sqref="C57" xr:uid="{00000000-0002-0000-0200-000002000000}">
      <formula1>$Q$84:$Q$96</formula1>
    </dataValidation>
    <dataValidation type="list" allowBlank="1" sqref="C45" xr:uid="{00000000-0002-0000-0200-000003000000}">
      <formula1>$P$107:$P$109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95" orientation="portrait" blackAndWhite="1" horizontalDpi="300" verticalDpi="300" r:id="rId1"/>
  <headerFooter alignWithMargins="0">
    <oddFooter>&amp;L&amp;8&amp;F&amp;C&amp;8 08-2010fr TTE 3.6&amp;R1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25" r:id="rId4" name="Button 181">
              <controlPr defaultSize="0" print="0" autoFill="0" autoLine="0" autoPict="0" macro="[0]!tabNatDruckdifferenzen">
                <anchor moveWithCells="1">
                  <from>
                    <xdr:col>7</xdr:col>
                    <xdr:colOff>0</xdr:colOff>
                    <xdr:row>63</xdr:row>
                    <xdr:rowOff>0</xdr:rowOff>
                  </from>
                  <to>
                    <xdr:col>7</xdr:col>
                    <xdr:colOff>514350</xdr:colOff>
                    <xdr:row>64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AB32A-BA54-40FA-BE05-342B55382E01}">
  <sheetPr codeName="Tabelle2">
    <pageSetUpPr fitToPage="1"/>
  </sheetPr>
  <dimension ref="A1:CX171"/>
  <sheetViews>
    <sheetView showGridLines="0" zoomScaleNormal="100" workbookViewId="0">
      <selection activeCell="I39" sqref="I39"/>
    </sheetView>
  </sheetViews>
  <sheetFormatPr baseColWidth="10" defaultRowHeight="12.75" x14ac:dyDescent="0.2"/>
  <cols>
    <col min="1" max="1" width="1.5703125" style="298" customWidth="1"/>
    <col min="2" max="2" width="10.7109375" style="298" customWidth="1"/>
    <col min="3" max="3" width="10.28515625" style="298" customWidth="1"/>
    <col min="4" max="4" width="9.5703125" style="298" customWidth="1"/>
    <col min="5" max="5" width="9.85546875" style="298" customWidth="1"/>
    <col min="6" max="6" width="9" style="298" customWidth="1"/>
    <col min="7" max="7" width="1" style="298" customWidth="1"/>
    <col min="8" max="8" width="10.7109375" style="298" customWidth="1"/>
    <col min="9" max="9" width="10.140625" style="298" customWidth="1"/>
    <col min="10" max="10" width="10" style="298" customWidth="1"/>
    <col min="11" max="11" width="9.140625" style="298" customWidth="1"/>
    <col min="12" max="12" width="9" style="298" customWidth="1"/>
    <col min="13" max="13" width="1" style="298" customWidth="1"/>
    <col min="14" max="14" width="39.140625" style="336" customWidth="1"/>
    <col min="15" max="17" width="10.7109375" style="298" customWidth="1"/>
    <col min="18" max="18" width="10.7109375" style="306" customWidth="1"/>
    <col min="19" max="19" width="10.7109375" style="335" customWidth="1"/>
    <col min="20" max="21" width="10.7109375" style="298" customWidth="1"/>
    <col min="22" max="22" width="10.7109375" style="335" customWidth="1"/>
    <col min="23" max="25" width="10.7109375" style="298" customWidth="1"/>
    <col min="26" max="16384" width="11.42578125" style="298"/>
  </cols>
  <sheetData>
    <row r="1" spans="1:22" ht="21" customHeight="1" x14ac:dyDescent="0.35">
      <c r="A1" s="231"/>
      <c r="B1" s="231"/>
      <c r="C1" s="231"/>
      <c r="D1" s="231"/>
      <c r="E1" s="231"/>
      <c r="F1" s="231"/>
      <c r="G1" s="535" t="str">
        <f>Batiment_Info!E1</f>
        <v>Test d'étanchéité à l'air</v>
      </c>
      <c r="H1" s="231"/>
      <c r="I1" s="231"/>
      <c r="J1" s="231"/>
      <c r="K1" s="536"/>
      <c r="L1" s="537"/>
      <c r="M1" s="231"/>
      <c r="N1" s="366"/>
    </row>
    <row r="2" spans="1:22" ht="15.75" x14ac:dyDescent="0.25">
      <c r="A2" s="231"/>
      <c r="B2" s="231"/>
      <c r="C2" s="231"/>
      <c r="D2" s="231"/>
      <c r="E2" s="231"/>
      <c r="F2" s="231"/>
      <c r="G2" s="538" t="str">
        <f>Batiment_Info!E2</f>
        <v>NF EN 13829</v>
      </c>
      <c r="H2" s="231"/>
      <c r="I2" s="231"/>
      <c r="J2" s="231"/>
      <c r="K2" s="231"/>
      <c r="L2" s="231"/>
      <c r="M2" s="231"/>
      <c r="N2" s="367"/>
    </row>
    <row r="3" spans="1:22" ht="15" x14ac:dyDescent="0.2">
      <c r="A3" s="231"/>
      <c r="B3" s="231"/>
      <c r="C3" s="539"/>
      <c r="D3" s="231"/>
      <c r="E3" s="231"/>
      <c r="F3" s="231"/>
      <c r="G3" s="539" t="str">
        <f>IF(bld_file!AP10="",Batiment_Info!C57,CONCATENATE(VLOOKUP(B82,C82:D84,2)," ",bld_file!C10))</f>
        <v>Choisir</v>
      </c>
      <c r="H3" s="231"/>
      <c r="I3" s="231"/>
      <c r="J3" s="539"/>
      <c r="K3" s="231"/>
      <c r="L3" s="231"/>
      <c r="M3" s="231"/>
      <c r="N3" s="367"/>
    </row>
    <row r="4" spans="1:22" ht="12" customHeight="1" x14ac:dyDescent="0.2">
      <c r="A4" s="231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98"/>
    </row>
    <row r="5" spans="1:22" ht="14.25" x14ac:dyDescent="0.2">
      <c r="A5" s="231"/>
      <c r="B5" s="540" t="str">
        <f>language!B100</f>
        <v>Projet :</v>
      </c>
      <c r="C5" s="541" t="str">
        <f>CONCATENATE(Batiment_Info!B7," ",Batiment_Info!B8)</f>
        <v xml:space="preserve"> </v>
      </c>
      <c r="D5" s="542"/>
      <c r="E5" s="542"/>
      <c r="F5" s="543"/>
      <c r="G5" s="231"/>
      <c r="H5" s="540" t="str">
        <f>language!B101</f>
        <v>Technicien :</v>
      </c>
      <c r="I5" s="541" t="str">
        <f>Batiment_Info!G16</f>
        <v/>
      </c>
      <c r="J5" s="544"/>
      <c r="K5" s="542"/>
      <c r="L5" s="543"/>
      <c r="M5" s="231"/>
      <c r="N5" s="367"/>
    </row>
    <row r="6" spans="1:22" ht="14.25" x14ac:dyDescent="0.2">
      <c r="A6" s="231"/>
      <c r="B6" s="545"/>
      <c r="C6" s="546" t="str">
        <f>Batiment_Info!B10</f>
        <v/>
      </c>
      <c r="D6" s="547"/>
      <c r="E6" s="547"/>
      <c r="F6" s="548"/>
      <c r="G6" s="231"/>
      <c r="H6" s="549" t="str">
        <f>language!B102</f>
        <v>Date :</v>
      </c>
      <c r="I6" s="550" t="str">
        <f>Batiment_Info!D12</f>
        <v/>
      </c>
      <c r="J6" s="551"/>
      <c r="K6" s="874"/>
      <c r="L6" s="875"/>
      <c r="M6" s="231"/>
      <c r="N6" s="367"/>
    </row>
    <row r="7" spans="1:22" ht="5.45" customHeight="1" x14ac:dyDescent="0.2">
      <c r="A7" s="231"/>
      <c r="B7" s="552"/>
      <c r="C7" s="516"/>
      <c r="D7" s="516"/>
      <c r="E7" s="516"/>
      <c r="F7" s="516"/>
      <c r="G7" s="231"/>
      <c r="H7" s="553"/>
      <c r="I7" s="213"/>
      <c r="J7" s="516"/>
      <c r="K7" s="516"/>
      <c r="L7" s="516"/>
      <c r="M7" s="231"/>
      <c r="N7" s="367"/>
    </row>
    <row r="8" spans="1:22" ht="15.75" x14ac:dyDescent="0.25">
      <c r="A8" s="231"/>
      <c r="B8" s="453" t="str">
        <f>language!B104</f>
        <v>Température et conditions de vent</v>
      </c>
      <c r="C8" s="516"/>
      <c r="D8" s="516"/>
      <c r="E8" s="516"/>
      <c r="F8" s="554"/>
      <c r="G8" s="231"/>
      <c r="H8" s="729"/>
      <c r="I8" s="231"/>
      <c r="J8" s="231"/>
      <c r="K8" s="231"/>
      <c r="L8" s="231"/>
      <c r="M8" s="231"/>
      <c r="N8" s="367"/>
    </row>
    <row r="9" spans="1:22" ht="5.45" customHeight="1" x14ac:dyDescent="0.2">
      <c r="A9" s="231"/>
      <c r="B9" s="231"/>
      <c r="C9" s="231"/>
      <c r="D9" s="537" t="s">
        <v>1</v>
      </c>
      <c r="E9" s="231"/>
      <c r="F9" s="231"/>
      <c r="G9" s="231"/>
      <c r="H9" s="231"/>
      <c r="I9" s="231"/>
      <c r="J9" s="231"/>
      <c r="K9" s="231"/>
      <c r="L9" s="231"/>
      <c r="M9" s="231"/>
      <c r="N9" s="367"/>
    </row>
    <row r="10" spans="1:22" s="706" customFormat="1" ht="14.25" x14ac:dyDescent="0.2">
      <c r="A10" s="701"/>
      <c r="B10" s="764" t="str">
        <f>language!B105</f>
        <v>Température intérieure :</v>
      </c>
      <c r="C10" s="754"/>
      <c r="D10" s="754"/>
      <c r="E10" s="755" t="str">
        <f>IF(bld_file!C59="",B130,bld_file!C59)</f>
        <v>Entrée</v>
      </c>
      <c r="F10" s="756"/>
      <c r="G10" s="754"/>
      <c r="H10" s="756"/>
      <c r="I10" s="757" t="str">
        <f>B162</f>
        <v>Force du vent (échelle de Beaufort) :</v>
      </c>
      <c r="J10" s="776" t="str">
        <f>IF(bld_file!C71&lt;&gt;"",bld_file!C71,B171)</f>
        <v>Choisir</v>
      </c>
      <c r="K10" s="895" t="str">
        <f>IF(OR(J10=B171,J10=""),"",VLOOKUP(J10,B163:C171,2,FALSE))</f>
        <v/>
      </c>
      <c r="L10" s="896"/>
      <c r="M10" s="701"/>
      <c r="N10" s="705"/>
      <c r="R10" s="726"/>
      <c r="S10" s="727"/>
      <c r="V10" s="727"/>
    </row>
    <row r="11" spans="1:22" s="706" customFormat="1" ht="14.25" x14ac:dyDescent="0.2">
      <c r="A11" s="701"/>
      <c r="B11" s="765" t="str">
        <f>language!B106</f>
        <v>Température extérieure :</v>
      </c>
      <c r="C11" s="729"/>
      <c r="D11" s="729"/>
      <c r="E11" s="759" t="str">
        <f>IF(bld_file!C60="",B130,bld_file!C60)</f>
        <v>Entrée</v>
      </c>
      <c r="F11" s="774"/>
      <c r="G11" s="729"/>
      <c r="H11" s="729"/>
      <c r="I11" s="758" t="str">
        <f>language!B111</f>
        <v>Exposition du bâtiment au vent :</v>
      </c>
      <c r="J11" s="775" t="str">
        <f>IF(bld_file!C72&lt;&gt;"",IF(bld_file!C72=0,"A",IF(bld_file!C72=1,"B",IF(bld_file!C72=2,"C"))),B101)</f>
        <v>Choisir</v>
      </c>
      <c r="K11" s="897" t="str">
        <f>IF(OR(J11="",J11=B101),"",VLOOKUP(J11,B98:C100,2,FALSE))</f>
        <v/>
      </c>
      <c r="L11" s="898"/>
      <c r="M11" s="701"/>
      <c r="N11" s="705"/>
      <c r="R11" s="726"/>
      <c r="S11" s="727"/>
      <c r="V11" s="727"/>
    </row>
    <row r="12" spans="1:22" s="706" customFormat="1" ht="14.25" x14ac:dyDescent="0.2">
      <c r="A12" s="701"/>
      <c r="B12" s="763" t="str">
        <f>CONCATENATE(language!B107," ",language!B108)</f>
        <v>Pression barométrique  (Norme) :</v>
      </c>
      <c r="C12" s="761"/>
      <c r="D12" s="761"/>
      <c r="E12" s="760">
        <f>IF(Baseline!B114&lt;&gt;"",Baseline!F113,IF(Baseline!F111&lt;&gt;"",Baseline!F111,Baseline!F109))</f>
        <v>101325</v>
      </c>
      <c r="F12" s="761"/>
      <c r="G12" s="761"/>
      <c r="H12" s="761"/>
      <c r="I12" s="761"/>
      <c r="J12" s="761"/>
      <c r="K12" s="762" t="str">
        <f>language!B110</f>
        <v>Nombre de tuyaux de pression extérieur :</v>
      </c>
      <c r="L12" s="773">
        <v>1</v>
      </c>
      <c r="M12" s="701"/>
      <c r="N12" s="705"/>
      <c r="R12" s="726"/>
      <c r="S12" s="727"/>
      <c r="V12" s="727"/>
    </row>
    <row r="13" spans="1:22" ht="5.45" customHeight="1" x14ac:dyDescent="0.2">
      <c r="A13" s="231"/>
      <c r="B13" s="231"/>
      <c r="C13" s="231"/>
      <c r="D13" s="537"/>
      <c r="E13" s="231"/>
      <c r="F13" s="231"/>
      <c r="G13" s="231"/>
      <c r="H13" s="231"/>
      <c r="I13" s="231"/>
      <c r="J13" s="231"/>
      <c r="K13" s="231"/>
      <c r="L13" s="231"/>
      <c r="M13" s="231"/>
      <c r="N13" s="367"/>
    </row>
    <row r="14" spans="1:22" ht="15" x14ac:dyDescent="0.25">
      <c r="A14" s="231"/>
      <c r="B14" s="453" t="str">
        <f>CONCATENATE(language!B135,": ",language!B115)</f>
        <v>Dépressurisation: Flux zéro</v>
      </c>
      <c r="C14" s="516"/>
      <c r="D14" s="555"/>
      <c r="E14" s="516"/>
      <c r="F14" s="516"/>
      <c r="G14" s="516"/>
      <c r="H14" s="453" t="str">
        <f>CONCATENATE(language!B117,": ",language!B115)</f>
        <v>Pressurisation: Flux zéro</v>
      </c>
      <c r="I14" s="231"/>
      <c r="J14" s="231"/>
      <c r="K14" s="231"/>
      <c r="L14" s="231"/>
      <c r="M14" s="231"/>
      <c r="N14" s="367"/>
    </row>
    <row r="15" spans="1:22" ht="5.45" customHeight="1" x14ac:dyDescent="0.2">
      <c r="A15" s="231"/>
      <c r="B15" s="231"/>
      <c r="C15" s="231"/>
      <c r="D15" s="536"/>
      <c r="E15" s="559"/>
      <c r="F15" s="231"/>
      <c r="G15" s="516"/>
      <c r="H15" s="231"/>
      <c r="I15" s="231"/>
      <c r="J15" s="231"/>
      <c r="K15" s="231"/>
      <c r="L15" s="231"/>
      <c r="M15" s="231"/>
      <c r="N15" s="367"/>
    </row>
    <row r="16" spans="1:22" ht="15" x14ac:dyDescent="0.25">
      <c r="A16" s="231"/>
      <c r="B16" s="906" t="str">
        <f>language!B166</f>
        <v>Valeur de référence</v>
      </c>
      <c r="C16" s="557" t="s">
        <v>259</v>
      </c>
      <c r="D16" s="558" t="s">
        <v>260</v>
      </c>
      <c r="E16" s="558" t="s">
        <v>261</v>
      </c>
      <c r="F16" s="561" t="s">
        <v>262</v>
      </c>
      <c r="G16" s="516"/>
      <c r="H16" s="906" t="str">
        <f>B16</f>
        <v>Valeur de référence</v>
      </c>
      <c r="I16" s="557" t="s">
        <v>259</v>
      </c>
      <c r="J16" s="558" t="s">
        <v>260</v>
      </c>
      <c r="K16" s="558" t="s">
        <v>261</v>
      </c>
      <c r="L16" s="561" t="s">
        <v>262</v>
      </c>
      <c r="M16" s="231"/>
      <c r="N16" s="367"/>
    </row>
    <row r="17" spans="1:24" ht="14.25" x14ac:dyDescent="0.2">
      <c r="A17" s="231"/>
      <c r="B17" s="907"/>
      <c r="C17" s="285" t="str">
        <f>Baseline!C46</f>
        <v>***</v>
      </c>
      <c r="D17" s="286" t="str">
        <f>Baseline!D46</f>
        <v>***</v>
      </c>
      <c r="E17" s="286" t="str">
        <f>Baseline!E46</f>
        <v>***</v>
      </c>
      <c r="F17" s="287" t="str">
        <f>Baseline!F46</f>
        <v>***</v>
      </c>
      <c r="G17" s="516"/>
      <c r="H17" s="907"/>
      <c r="I17" s="285" t="str">
        <f>Baseline!I46</f>
        <v>***</v>
      </c>
      <c r="J17" s="286" t="str">
        <f>Baseline!J46</f>
        <v>***</v>
      </c>
      <c r="K17" s="286" t="str">
        <f>Baseline!K46</f>
        <v>***</v>
      </c>
      <c r="L17" s="287" t="str">
        <f>Baseline!L46</f>
        <v>***</v>
      </c>
      <c r="M17" s="231"/>
      <c r="N17" s="367"/>
    </row>
    <row r="18" spans="1:24" ht="5.45" customHeight="1" x14ac:dyDescent="0.2">
      <c r="A18" s="231"/>
      <c r="B18" s="231"/>
      <c r="C18" s="231"/>
      <c r="D18" s="231"/>
      <c r="E18" s="231"/>
      <c r="F18" s="231"/>
      <c r="G18" s="231"/>
      <c r="H18" s="213"/>
      <c r="I18" s="213"/>
      <c r="J18" s="213"/>
      <c r="K18" s="213"/>
      <c r="L18" s="213"/>
      <c r="M18" s="231"/>
      <c r="N18" s="367"/>
    </row>
    <row r="19" spans="1:24" ht="15" x14ac:dyDescent="0.25">
      <c r="A19" s="231"/>
      <c r="B19" s="453" t="str">
        <f>CONCATENATE(language!B135,": ",language!B121)</f>
        <v>Dépressurisation: Points de Mesures</v>
      </c>
      <c r="C19" s="231"/>
      <c r="D19" s="231"/>
      <c r="E19" s="231"/>
      <c r="F19" s="231"/>
      <c r="G19" s="231"/>
      <c r="H19" s="453" t="str">
        <f>CONCATENATE(language!B117,": ",language!B121)</f>
        <v>Pressurisation: Points de Mesures</v>
      </c>
      <c r="I19" s="231"/>
      <c r="J19" s="231"/>
      <c r="K19" s="231"/>
      <c r="L19" s="231"/>
      <c r="M19" s="231"/>
      <c r="N19" s="298"/>
      <c r="R19" s="298"/>
      <c r="S19" s="298"/>
      <c r="V19" s="298"/>
    </row>
    <row r="20" spans="1:24" ht="5.45" customHeight="1" x14ac:dyDescent="0.2">
      <c r="A20" s="231"/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367"/>
      <c r="R20" s="298"/>
      <c r="S20" s="298"/>
      <c r="V20" s="298"/>
    </row>
    <row r="21" spans="1:24" s="706" customFormat="1" ht="38.25" x14ac:dyDescent="0.2">
      <c r="A21" s="701"/>
      <c r="B21" s="560" t="str">
        <f>language!B122</f>
        <v xml:space="preserve">Anneau </v>
      </c>
      <c r="C21" s="702" t="str">
        <f>CONCATENATE(language!B123," ",language!B124)</f>
        <v>Bâtiment Pression</v>
      </c>
      <c r="D21" s="703" t="str">
        <f>CONCATENATE(language!B125," ",language!B126)</f>
        <v>Ventilateur Pression</v>
      </c>
      <c r="E21" s="704" t="str">
        <f>CONCATENATE(language!B127," ",language!B128)</f>
        <v>Flux du ventilateur Vr</v>
      </c>
      <c r="F21" s="562" t="str">
        <f>language!B129</f>
        <v>Tolérance</v>
      </c>
      <c r="G21" s="701"/>
      <c r="H21" s="560" t="str">
        <f>B21</f>
        <v xml:space="preserve">Anneau </v>
      </c>
      <c r="I21" s="704" t="str">
        <f>C21</f>
        <v>Bâtiment Pression</v>
      </c>
      <c r="J21" s="704" t="str">
        <f>D21</f>
        <v>Ventilateur Pression</v>
      </c>
      <c r="K21" s="704" t="str">
        <f>E21</f>
        <v>Flux du ventilateur Vr</v>
      </c>
      <c r="L21" s="562" t="str">
        <f>F21</f>
        <v>Tolérance</v>
      </c>
      <c r="M21" s="701"/>
      <c r="N21" s="705"/>
    </row>
    <row r="22" spans="1:24" ht="15" x14ac:dyDescent="0.2">
      <c r="A22" s="231"/>
      <c r="B22" s="563" t="s">
        <v>10</v>
      </c>
      <c r="C22" s="564" t="s">
        <v>11</v>
      </c>
      <c r="D22" s="564" t="s">
        <v>11</v>
      </c>
      <c r="E22" s="564" t="s">
        <v>12</v>
      </c>
      <c r="F22" s="565" t="s">
        <v>13</v>
      </c>
      <c r="G22" s="231"/>
      <c r="H22" s="563" t="s">
        <v>10</v>
      </c>
      <c r="I22" s="564" t="s">
        <v>11</v>
      </c>
      <c r="J22" s="564" t="s">
        <v>11</v>
      </c>
      <c r="K22" s="564" t="s">
        <v>12</v>
      </c>
      <c r="L22" s="565" t="s">
        <v>13</v>
      </c>
      <c r="M22" s="231"/>
      <c r="N22" s="367"/>
      <c r="S22" s="368"/>
      <c r="V22" s="369"/>
      <c r="X22" s="369"/>
    </row>
    <row r="23" spans="1:24" ht="15.75" customHeight="1" x14ac:dyDescent="0.25">
      <c r="A23" s="231"/>
      <c r="B23" s="566" t="s">
        <v>220</v>
      </c>
      <c r="C23" s="278" t="str">
        <f>IF(bld_file!$V25&lt;&gt;"",bld_file!$V25,IF(Baseline!C51&lt;&gt;"***",Baseline!C51,B130))</f>
        <v>Entrée</v>
      </c>
      <c r="D23" s="567"/>
      <c r="E23" s="568"/>
      <c r="F23" s="569"/>
      <c r="G23" s="231"/>
      <c r="H23" s="566" t="s">
        <v>220</v>
      </c>
      <c r="I23" s="278" t="str">
        <f>IF(bld_file!$AG25&lt;&gt;"",bld_file!$AG25,IF(Baseline!I51&lt;&gt;"***",Baseline!I51,B130))</f>
        <v>Entrée</v>
      </c>
      <c r="J23" s="567"/>
      <c r="K23" s="568"/>
      <c r="L23" s="569"/>
      <c r="M23" s="231"/>
      <c r="N23" s="370"/>
      <c r="O23" s="371"/>
      <c r="P23" s="371"/>
      <c r="R23" s="298"/>
      <c r="S23" s="368"/>
    </row>
    <row r="24" spans="1:24" ht="15.75" customHeight="1" x14ac:dyDescent="0.2">
      <c r="A24" s="231"/>
      <c r="B24" s="274" t="str">
        <f>IF(bld_file!$T26="","",VLOOKUP(bld_file!$T26,$B$88:$C$93,2))</f>
        <v/>
      </c>
      <c r="C24" s="275" t="str">
        <f>IF(bld_file!$V26="","",bld_file!$V26)</f>
        <v/>
      </c>
      <c r="D24" s="275" t="str">
        <f>IF(bld_file!$W26="","",bld_file!$W26)</f>
        <v/>
      </c>
      <c r="E24" s="570" t="str">
        <f>IF(OR(C24=0,D24=0,B24=""),"",Berechnung!G13)</f>
        <v/>
      </c>
      <c r="F24" s="571" t="str">
        <f>IF(OR(E24="",Berechnung!$Q$15&lt;2),"",(Berechnung!$H13-Berechnung!$A29)/Berechnung!$A29*100)</f>
        <v/>
      </c>
      <c r="G24" s="231"/>
      <c r="H24" s="274" t="str">
        <f>IF(bld_file!$AE26="","",VLOOKUP(bld_file!$AE26,$B$88:$C$93,2))</f>
        <v/>
      </c>
      <c r="I24" s="275" t="str">
        <f>IF(bld_file!$AG26="","",bld_file!$AG26)</f>
        <v/>
      </c>
      <c r="J24" s="275" t="str">
        <f>IF(bld_file!$AH26="","",bld_file!$AH26)</f>
        <v/>
      </c>
      <c r="K24" s="570" t="str">
        <f>IF(OR(I24=0,J24=0,H24=""),"",Berechnung!G55)</f>
        <v/>
      </c>
      <c r="L24" s="571" t="str">
        <f>IF(OR(K24="",Berechnung!$Q$57&lt;2),"",(Berechnung!$H55-Berechnung!$A71)/Berechnung!$A71*100)</f>
        <v/>
      </c>
      <c r="M24" s="231"/>
      <c r="N24" s="372"/>
      <c r="R24" s="298"/>
    </row>
    <row r="25" spans="1:24" ht="15.75" customHeight="1" x14ac:dyDescent="0.25">
      <c r="A25" s="231"/>
      <c r="B25" s="274" t="str">
        <f>IF(bld_file!$T27="","",VLOOKUP(bld_file!$T27,$B$88:$C$93,2))</f>
        <v/>
      </c>
      <c r="C25" s="275" t="str">
        <f>IF(bld_file!$V27="","",bld_file!$V27)</f>
        <v/>
      </c>
      <c r="D25" s="275" t="str">
        <f>IF(bld_file!$W27="","",bld_file!$W27)</f>
        <v/>
      </c>
      <c r="E25" s="570" t="str">
        <f>IF(OR(C25=0,D25=0,B25=""),"",Berechnung!G14)</f>
        <v/>
      </c>
      <c r="F25" s="571" t="str">
        <f>IF(OR(E25="",Berechnung!$Q$15&lt;2),"",(Berechnung!$H14-Berechnung!$A30)/Berechnung!$A30*100)</f>
        <v/>
      </c>
      <c r="G25" s="231"/>
      <c r="H25" s="274" t="str">
        <f>IF(bld_file!$AE27="","",VLOOKUP(bld_file!$AE27,$B$88:$C$93,2))</f>
        <v/>
      </c>
      <c r="I25" s="275" t="str">
        <f>IF(bld_file!$AG27="","",bld_file!$AG27)</f>
        <v/>
      </c>
      <c r="J25" s="275" t="str">
        <f>IF(bld_file!$AH27="","",bld_file!$AH27)</f>
        <v/>
      </c>
      <c r="K25" s="570" t="str">
        <f>IF(OR(I25=0,J25=0,H25=""),"",Berechnung!G56)</f>
        <v/>
      </c>
      <c r="L25" s="571" t="str">
        <f>IF(OR(K25="",Berechnung!$Q$57&lt;2),"",(Berechnung!$H56-Berechnung!$A72)/Berechnung!$A72*100)</f>
        <v/>
      </c>
      <c r="M25" s="231"/>
      <c r="N25" s="372"/>
      <c r="O25" s="371"/>
      <c r="P25" s="371"/>
      <c r="R25" s="298"/>
      <c r="S25" s="368"/>
    </row>
    <row r="26" spans="1:24" ht="15.75" customHeight="1" x14ac:dyDescent="0.2">
      <c r="A26" s="231"/>
      <c r="B26" s="274" t="str">
        <f>IF(bld_file!$T28="","",VLOOKUP(bld_file!$T28,$B$88:$C$93,2))</f>
        <v/>
      </c>
      <c r="C26" s="275" t="str">
        <f>IF(bld_file!$V28="","",bld_file!$V28)</f>
        <v/>
      </c>
      <c r="D26" s="275" t="str">
        <f>IF(bld_file!$W28="","",bld_file!$W28)</f>
        <v/>
      </c>
      <c r="E26" s="570" t="str">
        <f>IF(OR(C26=0,D26=0,B26=""),"",Berechnung!G15)</f>
        <v/>
      </c>
      <c r="F26" s="571" t="str">
        <f>IF(OR(E26="",Berechnung!$Q$15&lt;2),"",(Berechnung!$H15-Berechnung!$A31)/Berechnung!$A31*100)</f>
        <v/>
      </c>
      <c r="G26" s="231"/>
      <c r="H26" s="274" t="str">
        <f>IF(bld_file!$AE28="","",VLOOKUP(bld_file!$AE28,$B$88:$C$93,2))</f>
        <v/>
      </c>
      <c r="I26" s="275" t="str">
        <f>IF(bld_file!$AG28="","",bld_file!$AG28)</f>
        <v/>
      </c>
      <c r="J26" s="275" t="str">
        <f>IF(bld_file!$AH28="","",bld_file!$AH28)</f>
        <v/>
      </c>
      <c r="K26" s="570" t="str">
        <f>IF(OR(I26=0,J26=0,H26=""),"",Berechnung!G57)</f>
        <v/>
      </c>
      <c r="L26" s="571" t="str">
        <f>IF(OR(K26="",Berechnung!$Q$57&lt;2),"",(Berechnung!$H57-Berechnung!$A73)/Berechnung!$A73*100)</f>
        <v/>
      </c>
      <c r="M26" s="231"/>
      <c r="N26" s="373"/>
      <c r="R26" s="298"/>
    </row>
    <row r="27" spans="1:24" ht="15.75" customHeight="1" x14ac:dyDescent="0.25">
      <c r="A27" s="231"/>
      <c r="B27" s="274" t="str">
        <f>IF(bld_file!$T29="","",VLOOKUP(bld_file!$T29,$B$88:$C$93,2))</f>
        <v/>
      </c>
      <c r="C27" s="275" t="str">
        <f>IF(bld_file!$V29="","",bld_file!$V29)</f>
        <v/>
      </c>
      <c r="D27" s="275" t="str">
        <f>IF(bld_file!$W29="","",bld_file!$W29)</f>
        <v/>
      </c>
      <c r="E27" s="570" t="str">
        <f>IF(OR(C27=0,D27=0,B27=""),"",Berechnung!G16)</f>
        <v/>
      </c>
      <c r="F27" s="571" t="str">
        <f>IF(OR(E27="",Berechnung!$Q$15&lt;2),"",(Berechnung!$H16-Berechnung!$A32)/Berechnung!$A32*100)</f>
        <v/>
      </c>
      <c r="G27" s="231"/>
      <c r="H27" s="274" t="str">
        <f>IF(bld_file!$AE29="","",VLOOKUP(bld_file!$AE29,$B$88:$C$93,2))</f>
        <v/>
      </c>
      <c r="I27" s="275" t="str">
        <f>IF(bld_file!$AG29="","",bld_file!$AG29)</f>
        <v/>
      </c>
      <c r="J27" s="275" t="str">
        <f>IF(bld_file!$AH29="","",bld_file!$AH29)</f>
        <v/>
      </c>
      <c r="K27" s="570" t="str">
        <f>IF(OR(I27=0,J27=0,H27=""),"",Berechnung!G58)</f>
        <v/>
      </c>
      <c r="L27" s="571" t="str">
        <f>IF(OR(K27="",Berechnung!$Q$57&lt;2),"",(Berechnung!$H58-Berechnung!$A74)/Berechnung!$A74*100)</f>
        <v/>
      </c>
      <c r="M27" s="231"/>
      <c r="N27" s="374"/>
      <c r="O27" s="375"/>
      <c r="P27" s="375"/>
      <c r="R27" s="298"/>
    </row>
    <row r="28" spans="1:24" ht="15.75" customHeight="1" x14ac:dyDescent="0.25">
      <c r="A28" s="231"/>
      <c r="B28" s="274" t="str">
        <f>IF(bld_file!$T30="","",VLOOKUP(bld_file!$T30,$B$88:$C$93,2))</f>
        <v/>
      </c>
      <c r="C28" s="275" t="str">
        <f>IF(bld_file!$V30="","",bld_file!$V30)</f>
        <v/>
      </c>
      <c r="D28" s="275" t="str">
        <f>IF(bld_file!$W30="","",bld_file!$W30)</f>
        <v/>
      </c>
      <c r="E28" s="570" t="str">
        <f>IF(OR(C28=0,D28=0,B28=""),"",Berechnung!G17)</f>
        <v/>
      </c>
      <c r="F28" s="571" t="str">
        <f>IF(OR(E28="",Berechnung!$Q$15&lt;2),"",(Berechnung!$H17-Berechnung!$A33)/Berechnung!$A33*100)</f>
        <v/>
      </c>
      <c r="G28" s="231"/>
      <c r="H28" s="274" t="str">
        <f>IF(bld_file!$AE30="","",VLOOKUP(bld_file!$AE30,$B$88:$C$93,2))</f>
        <v/>
      </c>
      <c r="I28" s="275" t="str">
        <f>IF(bld_file!$AG30="","",bld_file!$AG30)</f>
        <v/>
      </c>
      <c r="J28" s="275" t="str">
        <f>IF(bld_file!$AH30="","",bld_file!$AH30)</f>
        <v/>
      </c>
      <c r="K28" s="570" t="str">
        <f>IF(OR(I28=0,J28=0,H28=""),"",Berechnung!G59)</f>
        <v/>
      </c>
      <c r="L28" s="571" t="str">
        <f>IF(OR(K28="",Berechnung!$Q$57&lt;2),"",(Berechnung!$H59-Berechnung!$A75)/Berechnung!$A75*100)</f>
        <v/>
      </c>
      <c r="M28" s="231"/>
      <c r="N28" s="373"/>
      <c r="O28" s="376"/>
      <c r="P28" s="376"/>
      <c r="R28" s="298"/>
    </row>
    <row r="29" spans="1:24" ht="15.75" customHeight="1" x14ac:dyDescent="0.2">
      <c r="A29" s="231"/>
      <c r="B29" s="274" t="str">
        <f>IF(bld_file!$T31="","",VLOOKUP(bld_file!$T31,$B$88:$C$93,2))</f>
        <v/>
      </c>
      <c r="C29" s="275" t="str">
        <f>IF(bld_file!$V31="","",bld_file!$V31)</f>
        <v/>
      </c>
      <c r="D29" s="275" t="str">
        <f>IF(bld_file!$W31="","",bld_file!$W31)</f>
        <v/>
      </c>
      <c r="E29" s="570" t="str">
        <f>IF(OR(C29=0,D29=0,B29=""),"",Berechnung!G18)</f>
        <v/>
      </c>
      <c r="F29" s="571" t="str">
        <f>IF(OR(E29="",Berechnung!$Q$15&lt;2),"",(Berechnung!$H18-Berechnung!$A34)/Berechnung!$A34*100)</f>
        <v/>
      </c>
      <c r="G29" s="231"/>
      <c r="H29" s="274" t="str">
        <f>IF(bld_file!$AE31="","",VLOOKUP(bld_file!$AE31,$B$88:$C$93,2))</f>
        <v/>
      </c>
      <c r="I29" s="275" t="str">
        <f>IF(bld_file!$AG31="","",bld_file!$AG31)</f>
        <v/>
      </c>
      <c r="J29" s="275" t="str">
        <f>IF(bld_file!$AH31="","",bld_file!$AH31)</f>
        <v/>
      </c>
      <c r="K29" s="570" t="str">
        <f>IF(OR(I29=0,J29=0,H29=""),"",Berechnung!G60)</f>
        <v/>
      </c>
      <c r="L29" s="571" t="str">
        <f>IF(OR(K29="",Berechnung!$Q$57&lt;2),"",(Berechnung!$H60-Berechnung!$A76)/Berechnung!$A76*100)</f>
        <v/>
      </c>
      <c r="M29" s="231"/>
      <c r="N29" s="377"/>
      <c r="R29" s="298"/>
    </row>
    <row r="30" spans="1:24" ht="15.75" customHeight="1" x14ac:dyDescent="0.2">
      <c r="A30" s="231"/>
      <c r="B30" s="274" t="str">
        <f>IF(bld_file!$T32="","",VLOOKUP(bld_file!$T32,$B$88:$C$93,2))</f>
        <v/>
      </c>
      <c r="C30" s="275" t="str">
        <f>IF(bld_file!$V32="","",bld_file!$V32)</f>
        <v/>
      </c>
      <c r="D30" s="275" t="str">
        <f>IF(bld_file!$W32="","",bld_file!$W32)</f>
        <v/>
      </c>
      <c r="E30" s="570" t="str">
        <f>IF(OR(C30=0,D30=0,B30=""),"",Berechnung!G19)</f>
        <v/>
      </c>
      <c r="F30" s="571" t="str">
        <f>IF(OR(E30="",Berechnung!$Q$15&lt;2),"",(Berechnung!$H19-Berechnung!$A35)/Berechnung!$A35*100)</f>
        <v/>
      </c>
      <c r="G30" s="231"/>
      <c r="H30" s="274" t="str">
        <f>IF(bld_file!$AE32="","",VLOOKUP(bld_file!$AE32,$B$88:$C$93,2))</f>
        <v/>
      </c>
      <c r="I30" s="275" t="str">
        <f>IF(bld_file!$AG32="","",bld_file!$AG32)</f>
        <v/>
      </c>
      <c r="J30" s="275" t="str">
        <f>IF(bld_file!$AH32="","",bld_file!$AH32)</f>
        <v/>
      </c>
      <c r="K30" s="570" t="str">
        <f>IF(OR(I30=0,J30=0,H30=""),"",Berechnung!G61)</f>
        <v/>
      </c>
      <c r="L30" s="571" t="str">
        <f>IF(OR(K30="",Berechnung!$Q$57&lt;2),"",(Berechnung!$H61-Berechnung!$A77)/Berechnung!$A77*100)</f>
        <v/>
      </c>
      <c r="M30" s="231"/>
      <c r="N30" s="378"/>
    </row>
    <row r="31" spans="1:24" ht="15.75" customHeight="1" x14ac:dyDescent="0.2">
      <c r="A31" s="231"/>
      <c r="B31" s="274" t="str">
        <f>IF(bld_file!$T33="","",VLOOKUP(bld_file!$T33,$B$88:$C$93,2))</f>
        <v/>
      </c>
      <c r="C31" s="275" t="str">
        <f>IF(bld_file!$V33="","",bld_file!$V33)</f>
        <v/>
      </c>
      <c r="D31" s="275" t="str">
        <f>IF(bld_file!$W33="","",bld_file!$W33)</f>
        <v/>
      </c>
      <c r="E31" s="570" t="str">
        <f>IF(OR(C31=0,D31=0,B31=""),"",Berechnung!G20)</f>
        <v/>
      </c>
      <c r="F31" s="571" t="str">
        <f>IF(OR(E31="",Berechnung!$Q$15&lt;2),"",(Berechnung!$H20-Berechnung!$A36)/Berechnung!$A36*100)</f>
        <v/>
      </c>
      <c r="G31" s="231"/>
      <c r="H31" s="274" t="str">
        <f>IF(bld_file!$AE33="","",VLOOKUP(bld_file!$AE33,$B$88:$C$93,2))</f>
        <v/>
      </c>
      <c r="I31" s="275" t="str">
        <f>IF(bld_file!$AG33="","",bld_file!$AG33)</f>
        <v/>
      </c>
      <c r="J31" s="275" t="str">
        <f>IF(bld_file!$AH33="","",bld_file!$AH33)</f>
        <v/>
      </c>
      <c r="K31" s="570" t="str">
        <f>IF(OR(I31=0,J31=0,H31=""),"",Berechnung!G62)</f>
        <v/>
      </c>
      <c r="L31" s="571" t="str">
        <f>IF(OR(K31="",Berechnung!$Q$57&lt;2),"",(Berechnung!$H62-Berechnung!$A78)/Berechnung!$A78*100)</f>
        <v/>
      </c>
      <c r="M31" s="231"/>
      <c r="N31" s="373"/>
    </row>
    <row r="32" spans="1:24" ht="15.75" customHeight="1" x14ac:dyDescent="0.2">
      <c r="A32" s="231"/>
      <c r="B32" s="274" t="str">
        <f>IF(bld_file!$T34="","",VLOOKUP(bld_file!$T34,$B$88:$C$93,2))</f>
        <v/>
      </c>
      <c r="C32" s="275" t="str">
        <f>IF(bld_file!$V34="","",bld_file!$V34)</f>
        <v/>
      </c>
      <c r="D32" s="275" t="str">
        <f>IF(bld_file!$W34="","",bld_file!$W34)</f>
        <v/>
      </c>
      <c r="E32" s="570" t="str">
        <f>IF(OR(C32=0,D32=0,B32=""),"",Berechnung!G21)</f>
        <v/>
      </c>
      <c r="F32" s="571" t="str">
        <f>IF(OR(E32="",Berechnung!$Q$15&lt;2),"",(Berechnung!$H21-Berechnung!$A37)/Berechnung!$A37*100)</f>
        <v/>
      </c>
      <c r="G32" s="231"/>
      <c r="H32" s="274" t="str">
        <f>IF(bld_file!$AE34="","",VLOOKUP(bld_file!$AE34,$B$88:$C$93,2))</f>
        <v/>
      </c>
      <c r="I32" s="275" t="str">
        <f>IF(bld_file!$AG34="","",bld_file!$AG34)</f>
        <v/>
      </c>
      <c r="J32" s="275" t="str">
        <f>IF(bld_file!$AH34="","",bld_file!$AH34)</f>
        <v/>
      </c>
      <c r="K32" s="570" t="str">
        <f>IF(OR(I32=0,J32=0,H32=""),"",Berechnung!G63)</f>
        <v/>
      </c>
      <c r="L32" s="571" t="str">
        <f>IF(OR(K32="",Berechnung!$Q$57&lt;2),"",(Berechnung!$H63-Berechnung!$A79)/Berechnung!$A79*100)</f>
        <v/>
      </c>
      <c r="M32" s="231"/>
      <c r="N32" s="374"/>
    </row>
    <row r="33" spans="1:22" ht="15.75" customHeight="1" x14ac:dyDescent="0.2">
      <c r="A33" s="231"/>
      <c r="B33" s="274" t="str">
        <f>IF(bld_file!$T35="","",VLOOKUP(bld_file!$T35,$B$88:$C$93,2))</f>
        <v/>
      </c>
      <c r="C33" s="275" t="str">
        <f>IF(bld_file!$V35="","",bld_file!$V35)</f>
        <v/>
      </c>
      <c r="D33" s="275" t="str">
        <f>IF(bld_file!$W35="","",bld_file!$W35)</f>
        <v/>
      </c>
      <c r="E33" s="570" t="str">
        <f>IF(OR(C33=0,D33=0,B33=""),"",Berechnung!G22)</f>
        <v/>
      </c>
      <c r="F33" s="571" t="str">
        <f>IF(OR(E33="",Berechnung!$Q$15&lt;2),"",(Berechnung!$H22-Berechnung!$A38)/Berechnung!$A38*100)</f>
        <v/>
      </c>
      <c r="G33" s="231"/>
      <c r="H33" s="274" t="str">
        <f>IF(bld_file!$AE35="","",VLOOKUP(bld_file!$AE35,$B$88:$C$93,2))</f>
        <v/>
      </c>
      <c r="I33" s="275" t="str">
        <f>IF(bld_file!$AG35="","",bld_file!$AG35)</f>
        <v/>
      </c>
      <c r="J33" s="275" t="str">
        <f>IF(bld_file!$AH35="","",bld_file!$AH35)</f>
        <v/>
      </c>
      <c r="K33" s="570" t="str">
        <f>IF(OR(I33=0,J33=0,H33=""),"",Berechnung!G64)</f>
        <v/>
      </c>
      <c r="L33" s="571" t="str">
        <f>IF(OR(K33="",Berechnung!$Q$57&lt;2),"",(Berechnung!$H64-Berechnung!$A80)/Berechnung!$A80*100)</f>
        <v/>
      </c>
      <c r="M33" s="231"/>
      <c r="N33" s="374"/>
      <c r="V33" s="379"/>
    </row>
    <row r="34" spans="1:22" ht="15.75" customHeight="1" x14ac:dyDescent="0.25">
      <c r="A34" s="231"/>
      <c r="B34" s="574" t="s">
        <v>221</v>
      </c>
      <c r="C34" s="279" t="str">
        <f>IF(bld_file!$V36&lt;&gt;"",bld_file!$V36,IF(Baseline!E51&lt;&gt;"***",Baseline!E51,B130))</f>
        <v>Entrée</v>
      </c>
      <c r="D34" s="575"/>
      <c r="E34" s="572"/>
      <c r="F34" s="573"/>
      <c r="G34" s="231"/>
      <c r="H34" s="574" t="s">
        <v>221</v>
      </c>
      <c r="I34" s="279" t="str">
        <f>IF(bld_file!$AG36&lt;&gt;"",bld_file!$AG36,IF(Baseline!K51&lt;&gt;"***",Baseline!K51,B130))</f>
        <v>Entrée</v>
      </c>
      <c r="J34" s="575"/>
      <c r="K34" s="572"/>
      <c r="L34" s="573"/>
      <c r="M34" s="231"/>
      <c r="N34" s="374"/>
      <c r="O34" s="380"/>
      <c r="R34" s="298"/>
      <c r="S34" s="298"/>
      <c r="V34" s="298"/>
    </row>
    <row r="35" spans="1:22" ht="5.45" customHeight="1" x14ac:dyDescent="0.2">
      <c r="A35" s="231"/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381"/>
    </row>
    <row r="36" spans="1:22" ht="15" customHeight="1" x14ac:dyDescent="0.25">
      <c r="A36" s="231"/>
      <c r="B36" s="731" t="str">
        <f>language!B130</f>
        <v>Coefficient de corrélation r :</v>
      </c>
      <c r="C36" s="732"/>
      <c r="D36" s="733"/>
      <c r="E36" s="908" t="str">
        <f>IF(Berechnung!Q15&lt;3,"",Berechnung!$T$33)</f>
        <v/>
      </c>
      <c r="F36" s="909"/>
      <c r="G36" s="576"/>
      <c r="H36" s="731" t="str">
        <f>B36</f>
        <v>Coefficient de corrélation r :</v>
      </c>
      <c r="I36" s="732"/>
      <c r="J36" s="733"/>
      <c r="K36" s="908" t="str">
        <f>IF(Berechnung!Q57&lt;3,"",Berechnung!T75)</f>
        <v/>
      </c>
      <c r="L36" s="909"/>
      <c r="M36" s="231"/>
      <c r="N36" s="374"/>
      <c r="P36" s="382"/>
      <c r="R36" s="298"/>
    </row>
    <row r="37" spans="1:22" ht="5.45" customHeight="1" x14ac:dyDescent="0.2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381"/>
    </row>
    <row r="38" spans="1:22" s="678" customFormat="1" ht="15.2" customHeight="1" x14ac:dyDescent="0.2">
      <c r="A38" s="673"/>
      <c r="B38" s="679" t="s">
        <v>806</v>
      </c>
      <c r="C38" s="680" t="str">
        <f>IF(Berechnung!Q15=0,"",Berechnung!$T$30)</f>
        <v/>
      </c>
      <c r="D38" s="681" t="s">
        <v>807</v>
      </c>
      <c r="E38" s="900" t="str">
        <f>IF(Berechnung!Q15&lt;3,"",CONCATENATE("[ ",ROUND(Berechnung!AA30,2)," ; ",ROUND(Berechnung!AB30,2)," ]"))</f>
        <v/>
      </c>
      <c r="F38" s="901"/>
      <c r="G38" s="673"/>
      <c r="H38" s="679" t="s">
        <v>806</v>
      </c>
      <c r="I38" s="680" t="str">
        <f>IF(Berechnung!Q57=0,"",Berechnung!T72)</f>
        <v/>
      </c>
      <c r="J38" s="681" t="s">
        <v>807</v>
      </c>
      <c r="K38" s="900" t="str">
        <f>IF(Berechnung!Q57&lt;3,"",CONCATENATE("[ ",ROUND(Berechnung!AA72,2)," ; ",ROUND(Berechnung!AB72,2)," ]"))</f>
        <v/>
      </c>
      <c r="L38" s="901"/>
      <c r="M38" s="673"/>
      <c r="N38" s="682"/>
    </row>
    <row r="39" spans="1:22" s="678" customFormat="1" ht="15.2" customHeight="1" x14ac:dyDescent="0.2">
      <c r="A39" s="673"/>
      <c r="B39" s="683" t="s">
        <v>808</v>
      </c>
      <c r="C39" s="684" t="str">
        <f>IF(Berechnung!Q15=0,"",Berechnung!$T$31)</f>
        <v/>
      </c>
      <c r="D39" s="685" t="s">
        <v>807</v>
      </c>
      <c r="E39" s="902" t="str">
        <f>IF(Berechnung!Q15&lt;3,"",CONCATENATE("[ ",ROUND(Berechnung!AA31,2)," ; ",ROUND(Berechnung!AB31,2)," ]"))</f>
        <v/>
      </c>
      <c r="F39" s="887"/>
      <c r="G39" s="673"/>
      <c r="H39" s="683" t="s">
        <v>808</v>
      </c>
      <c r="I39" s="684" t="str">
        <f>IF(Berechnung!Q57=0,"",Berechnung!T73)</f>
        <v/>
      </c>
      <c r="J39" s="685" t="s">
        <v>807</v>
      </c>
      <c r="K39" s="902" t="str">
        <f>IF(Berechnung!$Q$57&lt;3,"",CONCATENATE("[ ",ROUND(Berechnung!AA73,2)," ; ",ROUND(Berechnung!AB73,2)," ]"))</f>
        <v/>
      </c>
      <c r="L39" s="887"/>
      <c r="M39" s="673"/>
      <c r="N39" s="682"/>
      <c r="R39" s="676"/>
      <c r="S39" s="677"/>
    </row>
    <row r="40" spans="1:22" s="678" customFormat="1" ht="15.2" customHeight="1" x14ac:dyDescent="0.2">
      <c r="A40" s="673"/>
      <c r="B40" s="686" t="s">
        <v>768</v>
      </c>
      <c r="C40" s="687" t="str">
        <f>IF(C24="","",Berechnung!$T$29)</f>
        <v/>
      </c>
      <c r="D40" s="688" t="s">
        <v>219</v>
      </c>
      <c r="E40" s="867" t="str">
        <f>IF(Berechnung!Q15&lt;3,"",CONCATENATE("[ ",ROUND(Berechnung!AA29,2)," ; ",ROUND(Berechnung!AB29,2)," ]"))</f>
        <v/>
      </c>
      <c r="F40" s="868"/>
      <c r="G40" s="685"/>
      <c r="H40" s="686" t="s">
        <v>768</v>
      </c>
      <c r="I40" s="687" t="str">
        <f>IF(I24="","",Berechnung!T71)</f>
        <v/>
      </c>
      <c r="J40" s="688" t="s">
        <v>219</v>
      </c>
      <c r="K40" s="867" t="str">
        <f>IF(Berechnung!Q57&lt;3,"",CONCATENATE("[ ",ROUND(Berechnung!AA71,2)," ; ",ROUND(Berechnung!AB71,2)," ]"))</f>
        <v/>
      </c>
      <c r="L40" s="868"/>
      <c r="M40" s="673"/>
      <c r="N40" s="675"/>
      <c r="P40" s="689"/>
      <c r="S40" s="677"/>
      <c r="V40" s="677"/>
    </row>
    <row r="41" spans="1:22" s="678" customFormat="1" ht="5.45" customHeight="1" x14ac:dyDescent="0.2">
      <c r="A41" s="673"/>
      <c r="B41" s="690"/>
      <c r="C41" s="691"/>
      <c r="D41" s="691"/>
      <c r="E41" s="692"/>
      <c r="F41" s="693"/>
      <c r="G41" s="673"/>
      <c r="H41" s="690"/>
      <c r="I41" s="691"/>
      <c r="J41" s="691"/>
      <c r="K41" s="692"/>
      <c r="L41" s="693"/>
      <c r="M41" s="673"/>
      <c r="N41" s="682"/>
      <c r="R41" s="676"/>
      <c r="S41" s="677"/>
      <c r="V41" s="677"/>
    </row>
    <row r="42" spans="1:22" s="678" customFormat="1" ht="17.25" customHeight="1" x14ac:dyDescent="0.2">
      <c r="A42" s="673"/>
      <c r="B42" s="694" t="s">
        <v>809</v>
      </c>
      <c r="C42" s="783" t="str">
        <f>Berechnung!T35</f>
        <v/>
      </c>
      <c r="D42" s="695" t="s">
        <v>15</v>
      </c>
      <c r="E42" s="884" t="str">
        <f>IF(Berechnung!$Q$15&lt;3,"",CONCATENATE("[ ",ROUND(Berechnung!AA35,2)," ; ",ROUND(Berechnung!AB35,2)," ]"))</f>
        <v/>
      </c>
      <c r="F42" s="885"/>
      <c r="G42" s="673"/>
      <c r="H42" s="694" t="s">
        <v>809</v>
      </c>
      <c r="I42" s="783" t="str">
        <f>Berechnung!T77</f>
        <v/>
      </c>
      <c r="J42" s="695" t="s">
        <v>15</v>
      </c>
      <c r="K42" s="886" t="str">
        <f>IF(Berechnung!$Q$57&lt;3,"",CONCATENATE("[ ",ROUND(Berechnung!AA77,2)," ; ",ROUND(Berechnung!AB77,2)," ]"))</f>
        <v/>
      </c>
      <c r="L42" s="887"/>
      <c r="M42" s="673"/>
      <c r="N42" s="675"/>
      <c r="P42" s="689"/>
      <c r="S42" s="677"/>
      <c r="V42" s="677"/>
    </row>
    <row r="43" spans="1:22" s="678" customFormat="1" ht="17.25" customHeight="1" x14ac:dyDescent="0.2">
      <c r="A43" s="673"/>
      <c r="B43" s="696" t="s">
        <v>810</v>
      </c>
      <c r="C43" s="784" t="str">
        <f>Berechnung!T36</f>
        <v/>
      </c>
      <c r="D43" s="697" t="s">
        <v>506</v>
      </c>
      <c r="E43" s="910" t="str">
        <f>IF(C43="","",IF(Berechnung!$Q$15&lt;3,"",CONCATENATE("[ ",ROUND(Berechnung!AA36,2)," ; ",ROUND(Berechnung!AB36,2)," ]")))</f>
        <v/>
      </c>
      <c r="F43" s="911"/>
      <c r="G43" s="673"/>
      <c r="H43" s="696" t="s">
        <v>810</v>
      </c>
      <c r="I43" s="784" t="str">
        <f>Berechnung!T78</f>
        <v/>
      </c>
      <c r="J43" s="697" t="s">
        <v>506</v>
      </c>
      <c r="K43" s="914" t="str">
        <f>IF(I43="","",IF(Berechnung!$Q$57&lt;3,"",CONCATENATE("[ ",ROUND(Berechnung!AA78,2)," ; ",ROUND(Berechnung!AB78,2)," ]")))</f>
        <v/>
      </c>
      <c r="L43" s="915"/>
      <c r="M43" s="673"/>
      <c r="N43" s="675"/>
      <c r="R43" s="676"/>
      <c r="S43" s="677"/>
      <c r="V43" s="677"/>
    </row>
    <row r="44" spans="1:22" s="678" customFormat="1" ht="5.25" customHeight="1" x14ac:dyDescent="0.2">
      <c r="A44" s="673"/>
      <c r="B44" s="698"/>
      <c r="C44" s="785"/>
      <c r="D44" s="695"/>
      <c r="E44" s="699"/>
      <c r="F44" s="700"/>
      <c r="G44" s="673"/>
      <c r="H44" s="690"/>
      <c r="I44" s="788"/>
      <c r="J44" s="707"/>
      <c r="K44" s="692"/>
      <c r="L44" s="693"/>
      <c r="M44" s="673"/>
      <c r="N44" s="675"/>
      <c r="P44" s="689"/>
      <c r="S44" s="677"/>
      <c r="V44" s="677"/>
    </row>
    <row r="45" spans="1:22" s="678" customFormat="1" ht="17.25" customHeight="1" x14ac:dyDescent="0.2">
      <c r="A45" s="673"/>
      <c r="B45" s="694" t="s">
        <v>811</v>
      </c>
      <c r="C45" s="786" t="str">
        <f>Berechnung!T38</f>
        <v/>
      </c>
      <c r="D45" s="695" t="s">
        <v>15</v>
      </c>
      <c r="E45" s="886" t="str">
        <f>IF(Berechnung!$Q$15&lt;3,"",CONCATENATE("[ ",ROUND(Berechnung!AA38,2)," ; ",ROUND(Berechnung!AB38,2)," ]"))</f>
        <v/>
      </c>
      <c r="F45" s="887"/>
      <c r="G45" s="673"/>
      <c r="H45" s="694" t="s">
        <v>811</v>
      </c>
      <c r="I45" s="786" t="str">
        <f>Berechnung!T80</f>
        <v/>
      </c>
      <c r="J45" s="695" t="s">
        <v>15</v>
      </c>
      <c r="K45" s="886" t="str">
        <f>IF(Berechnung!$Q$57&lt;3,"",CONCATENATE("[ ",ROUND(Berechnung!AA80,2)," ; ",ROUND(Berechnung!AB80,2)," ]"))</f>
        <v/>
      </c>
      <c r="L45" s="887"/>
      <c r="M45" s="673"/>
      <c r="N45" s="675"/>
      <c r="R45" s="676"/>
      <c r="S45" s="677"/>
      <c r="V45" s="677"/>
    </row>
    <row r="46" spans="1:22" s="678" customFormat="1" ht="17.25" customHeight="1" x14ac:dyDescent="0.2">
      <c r="A46" s="673"/>
      <c r="B46" s="674" t="s">
        <v>812</v>
      </c>
      <c r="C46" s="787" t="str">
        <f>Berechnung!T39</f>
        <v/>
      </c>
      <c r="D46" s="672" t="s">
        <v>792</v>
      </c>
      <c r="E46" s="872" t="str">
        <f>IF(C46="","",IF(Berechnung!$Q$15&lt;3,"",CONCATENATE("[ ",ROUND(Berechnung!AA39,2)," ; ",ROUND(Berechnung!AB39,2)," ]")))</f>
        <v/>
      </c>
      <c r="F46" s="873"/>
      <c r="G46" s="673"/>
      <c r="H46" s="674" t="s">
        <v>812</v>
      </c>
      <c r="I46" s="787" t="str">
        <f>Berechnung!T81</f>
        <v/>
      </c>
      <c r="J46" s="672" t="s">
        <v>792</v>
      </c>
      <c r="K46" s="872" t="str">
        <f>IF(I46="","",IF(Berechnung!$Q$57&lt;3,"",CONCATENATE("[ ",ROUND(Berechnung!AA81,2)," ; ",ROUND(Berechnung!AB81,2)," ]")))</f>
        <v/>
      </c>
      <c r="L46" s="873"/>
      <c r="M46" s="673"/>
      <c r="N46" s="675"/>
      <c r="O46" s="675"/>
      <c r="P46" s="675"/>
      <c r="Q46" s="675"/>
      <c r="R46" s="676"/>
      <c r="S46" s="677"/>
      <c r="V46" s="677"/>
    </row>
    <row r="47" spans="1:22" ht="5.45" customHeight="1" x14ac:dyDescent="0.2">
      <c r="A47" s="231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381"/>
    </row>
    <row r="48" spans="1:22" ht="15" customHeight="1" x14ac:dyDescent="0.25">
      <c r="A48" s="231"/>
      <c r="B48" s="453" t="str">
        <f>language!$B$133</f>
        <v>Résultat</v>
      </c>
      <c r="C48" s="641"/>
      <c r="D48" s="642"/>
      <c r="E48" s="639"/>
      <c r="F48" s="640"/>
      <c r="G48" s="576"/>
      <c r="H48" s="453"/>
      <c r="I48" s="641"/>
      <c r="J48" s="642"/>
      <c r="K48" s="639"/>
      <c r="L48" s="640"/>
      <c r="M48" s="231"/>
      <c r="N48" s="374"/>
      <c r="P48" s="382"/>
      <c r="R48" s="298"/>
    </row>
    <row r="49" spans="1:102" ht="5.45" customHeight="1" x14ac:dyDescent="0.25">
      <c r="A49" s="231"/>
      <c r="B49" s="577"/>
      <c r="C49" s="231"/>
      <c r="D49" s="231"/>
      <c r="E49" s="231"/>
      <c r="F49" s="231"/>
      <c r="G49" s="213"/>
      <c r="H49" s="213"/>
      <c r="I49" s="231"/>
      <c r="J49" s="231"/>
      <c r="K49" s="231"/>
      <c r="L49" s="231"/>
      <c r="M49" s="231"/>
      <c r="N49" s="374"/>
      <c r="O49" s="374"/>
      <c r="P49" s="374"/>
      <c r="Q49" s="374"/>
    </row>
    <row r="50" spans="1:102" s="706" customFormat="1" ht="20.100000000000001" customHeight="1" x14ac:dyDescent="0.2">
      <c r="A50" s="701"/>
      <c r="B50" s="888" t="s">
        <v>803</v>
      </c>
      <c r="C50" s="889"/>
      <c r="D50" s="739" t="s">
        <v>796</v>
      </c>
      <c r="E50" s="889" t="str">
        <f>IF(AND(C42="",I42=""),"",IF(AND(C42&lt;&gt;"",I42=""),B150,IF(AND(C42="",I42&lt;&gt;""),B151,IF(AND(C42/I42&lt;=1.2,I42/C42&lt;=1.2),B152,IF(C42/I42&gt;1.2,B150,IF(I42/C42&gt;1.2,B151))))))</f>
        <v/>
      </c>
      <c r="F50" s="889"/>
      <c r="G50" s="889"/>
      <c r="H50" s="777" t="s">
        <v>834</v>
      </c>
      <c r="I50" s="822" t="str">
        <f>IF(AND(C42="",I42=""),"",IF(AND(C42&lt;&gt;"",I42=""),C42,IF(AND(C42="",I42&lt;&gt;""),I42,IF(C42/I42&gt;1.2,C42,IF(I42/C42&gt;1.2,I42,(C42+I42)/2)))))</f>
        <v/>
      </c>
      <c r="J50" s="778" t="s">
        <v>15</v>
      </c>
      <c r="K50" s="912" t="str">
        <f>IF(AND(C42="",I42=""),"",IF(AND(C42&lt;&gt;"",I42=""),E42,IF(AND(C42="",I42&lt;&gt;""),K42,IF(C42/I42&gt;1.2,E42,IF(I42/C42&gt;1.2,K42,CONCATENATE("[ ",ROUND(D144,0)," ; ",ROUND(E144,0)," ]"))))))</f>
        <v/>
      </c>
      <c r="L50" s="913"/>
      <c r="M50" s="701"/>
      <c r="N50" s="372"/>
      <c r="O50" s="372"/>
      <c r="P50" s="372"/>
      <c r="Q50" s="372"/>
      <c r="R50" s="726"/>
      <c r="S50" s="727"/>
      <c r="V50" s="728"/>
      <c r="W50" s="728"/>
    </row>
    <row r="51" spans="1:102" s="706" customFormat="1" ht="20.100000000000001" customHeight="1" x14ac:dyDescent="0.2">
      <c r="A51" s="701"/>
      <c r="B51" s="890" t="s">
        <v>804</v>
      </c>
      <c r="C51" s="891"/>
      <c r="D51" s="740" t="s">
        <v>796</v>
      </c>
      <c r="E51" s="903" t="str">
        <f>IF(I51="","",E50)</f>
        <v/>
      </c>
      <c r="F51" s="903"/>
      <c r="G51" s="903"/>
      <c r="H51" s="779" t="s">
        <v>835</v>
      </c>
      <c r="I51" s="823" t="str">
        <f>IF(AND(C43="",I43=""),"",IF(AND(C43&lt;&gt;"",I43=""),C43,IF(AND(C43="",I43&lt;&gt;""),I43,IF(C42/I42&gt;1.2,C43,IF(I42/C42&gt;1.2,I43,(C43+I43)/2)))))</f>
        <v/>
      </c>
      <c r="J51" s="780" t="s">
        <v>506</v>
      </c>
      <c r="K51" s="904" t="str">
        <f>IF(AND(C43="",I43=""),"",IF(AND(C43&lt;&gt;"",I43=""),E43,IF(AND(C43="",I43&lt;&gt;""),K43,IF(C43/I43&gt;1.2,E43,IF(I43/C43&gt;1.2,K43,CONCATENATE("[ ",ROUND(D147,2)," ; ",ROUND(E147,2)," ]"))))))</f>
        <v/>
      </c>
      <c r="L51" s="905"/>
      <c r="M51" s="701"/>
      <c r="N51" s="372"/>
      <c r="O51" s="372"/>
      <c r="P51" s="372"/>
      <c r="Q51" s="372"/>
      <c r="R51" s="726"/>
      <c r="S51" s="727"/>
      <c r="V51" s="728"/>
      <c r="W51" s="728"/>
    </row>
    <row r="52" spans="1:102" s="706" customFormat="1" ht="5.45" customHeight="1" x14ac:dyDescent="0.2">
      <c r="A52" s="701"/>
      <c r="B52" s="741"/>
      <c r="C52" s="729"/>
      <c r="D52" s="729"/>
      <c r="E52" s="729"/>
      <c r="F52" s="729"/>
      <c r="G52" s="729"/>
      <c r="H52" s="780"/>
      <c r="I52" s="780"/>
      <c r="J52" s="780"/>
      <c r="K52" s="729"/>
      <c r="L52" s="742"/>
      <c r="M52" s="701"/>
      <c r="N52" s="372"/>
      <c r="O52" s="372"/>
      <c r="P52" s="372"/>
      <c r="Q52" s="372"/>
      <c r="R52" s="726"/>
      <c r="S52" s="727"/>
      <c r="V52" s="727"/>
    </row>
    <row r="53" spans="1:102" s="706" customFormat="1" ht="20.100000000000001" customHeight="1" x14ac:dyDescent="0.2">
      <c r="A53" s="701"/>
      <c r="B53" s="869" t="s">
        <v>805</v>
      </c>
      <c r="C53" s="870"/>
      <c r="D53" s="734" t="s">
        <v>796</v>
      </c>
      <c r="E53" s="894" t="str">
        <f>IF(AND(C46="",I46=""),"",IF(AND(C46="",I46&lt;&gt;""),B151,IF(AND(C46&lt;&gt;"",I46=""),B150,IF(D133&lt;D134,B150,IF(D134&lt;D133,B151)))))</f>
        <v/>
      </c>
      <c r="F53" s="894"/>
      <c r="G53" s="894"/>
      <c r="H53" s="781" t="s">
        <v>836</v>
      </c>
      <c r="I53" s="824" t="str">
        <f>IF(AND(C46="",I46=""),"",IF(AND(C46="",I46&lt;&gt;""),I46,IF(AND(C46&lt;&gt;"",I46=""),C46,IF(D133&lt;D134,C46,IF(D134&lt;D133,I46)))))</f>
        <v/>
      </c>
      <c r="J53" s="782" t="s">
        <v>792</v>
      </c>
      <c r="K53" s="892" t="str">
        <f>IF(AND(C46="",I46=""),"",IF(AND(C46="",I46&lt;&gt;""),K46,IF(AND(C46&lt;&gt;"",I46=""),E46,IF(D133&lt;D134,E46,IF(D134&lt;D133,K46)))))</f>
        <v/>
      </c>
      <c r="L53" s="893"/>
      <c r="M53" s="701"/>
      <c r="N53" s="730"/>
      <c r="O53" s="372"/>
      <c r="P53" s="372"/>
      <c r="Q53" s="372"/>
      <c r="R53" s="726"/>
      <c r="S53" s="727"/>
      <c r="V53" s="727"/>
    </row>
    <row r="54" spans="1:102" ht="5.45" customHeight="1" x14ac:dyDescent="0.25">
      <c r="A54" s="231"/>
      <c r="B54" s="577"/>
      <c r="C54" s="231"/>
      <c r="D54" s="231"/>
      <c r="E54" s="231"/>
      <c r="F54" s="231"/>
      <c r="G54" s="213"/>
      <c r="H54" s="213"/>
      <c r="I54" s="231"/>
      <c r="J54" s="231"/>
      <c r="K54" s="231"/>
      <c r="L54" s="231"/>
      <c r="M54" s="231"/>
      <c r="N54" s="374"/>
      <c r="O54" s="374"/>
      <c r="P54" s="374"/>
      <c r="Q54" s="374"/>
    </row>
    <row r="55" spans="1:102" ht="17.25" customHeight="1" x14ac:dyDescent="0.2">
      <c r="A55" s="231"/>
      <c r="B55" s="527"/>
      <c r="C55" s="789"/>
      <c r="D55" s="789"/>
      <c r="E55" s="790" t="str">
        <f>language!B139</f>
        <v xml:space="preserve">Conformément à la réglementation : </v>
      </c>
      <c r="F55" s="882" t="str">
        <f>IF(AND(bld_file!C10&lt;&gt;"",bld_file!C63&lt;&gt;""),bld_file!C63,B130)</f>
        <v>Entrée</v>
      </c>
      <c r="G55" s="882"/>
      <c r="H55" s="882"/>
      <c r="I55" s="882"/>
      <c r="J55" s="882"/>
      <c r="K55" s="882"/>
      <c r="L55" s="883"/>
      <c r="M55" s="231"/>
      <c r="N55" s="374"/>
      <c r="O55" s="374"/>
      <c r="P55" s="374"/>
      <c r="Q55" s="374"/>
    </row>
    <row r="56" spans="1:102" ht="17.25" customHeight="1" x14ac:dyDescent="0.25">
      <c r="A56" s="231"/>
      <c r="B56" s="791"/>
      <c r="C56" s="457"/>
      <c r="D56" s="457"/>
      <c r="E56" s="792" t="str">
        <f>language!B141</f>
        <v xml:space="preserve">Maximum admissible : </v>
      </c>
      <c r="F56" s="899" t="s">
        <v>584</v>
      </c>
      <c r="G56" s="899"/>
      <c r="H56" s="899"/>
      <c r="I56" s="743" t="str">
        <f>IF(F56="","",B130)</f>
        <v>Entrée</v>
      </c>
      <c r="J56" s="772" t="str">
        <f>IF(OR(F56="",F56=B159),"",VLOOKUP(F56,B155:C159,2,FALSE))</f>
        <v/>
      </c>
      <c r="K56" s="744"/>
      <c r="L56" s="745"/>
      <c r="M56" s="231"/>
      <c r="N56" s="385"/>
      <c r="O56" s="374"/>
      <c r="P56" s="374"/>
      <c r="Q56" s="374"/>
    </row>
    <row r="57" spans="1:102" ht="6" customHeight="1" x14ac:dyDescent="0.2">
      <c r="A57" s="231"/>
      <c r="B57" s="212"/>
      <c r="C57" s="213"/>
      <c r="D57" s="213"/>
      <c r="E57" s="440"/>
      <c r="F57" s="440"/>
      <c r="G57" s="440"/>
      <c r="H57" s="440"/>
      <c r="I57" s="440"/>
      <c r="J57" s="213"/>
      <c r="K57" s="213"/>
      <c r="L57" s="216"/>
      <c r="M57" s="231"/>
      <c r="N57" s="374"/>
      <c r="O57" s="374"/>
      <c r="P57" s="374"/>
      <c r="Q57" s="374"/>
    </row>
    <row r="58" spans="1:102" s="386" customFormat="1" ht="17.25" customHeight="1" x14ac:dyDescent="0.25">
      <c r="A58" s="514"/>
      <c r="B58" s="879" t="s">
        <v>584</v>
      </c>
      <c r="C58" s="880"/>
      <c r="D58" s="880"/>
      <c r="E58" s="880"/>
      <c r="F58" s="880"/>
      <c r="G58" s="880"/>
      <c r="H58" s="880"/>
      <c r="I58" s="880"/>
      <c r="J58" s="880"/>
      <c r="K58" s="880"/>
      <c r="L58" s="881"/>
      <c r="M58" s="514"/>
      <c r="N58" s="385"/>
      <c r="O58" s="374"/>
      <c r="P58" s="374"/>
      <c r="Q58" s="374"/>
      <c r="R58" s="387"/>
      <c r="S58" s="388"/>
      <c r="V58" s="388"/>
    </row>
    <row r="59" spans="1:102" ht="17.25" customHeight="1" x14ac:dyDescent="0.2">
      <c r="A59" s="231"/>
      <c r="B59" s="876" t="str">
        <f>language!B145</f>
        <v>A noter : Le résultat n'exclut pas des erreurs de mise en œuvre</v>
      </c>
      <c r="C59" s="877"/>
      <c r="D59" s="877"/>
      <c r="E59" s="877"/>
      <c r="F59" s="877"/>
      <c r="G59" s="877"/>
      <c r="H59" s="877"/>
      <c r="I59" s="877"/>
      <c r="J59" s="877"/>
      <c r="K59" s="877"/>
      <c r="L59" s="878"/>
      <c r="M59" s="231"/>
      <c r="N59" s="383"/>
      <c r="O59" s="374"/>
      <c r="P59" s="374"/>
      <c r="Q59" s="374"/>
    </row>
    <row r="60" spans="1:102" ht="11.25" customHeight="1" x14ac:dyDescent="0.25">
      <c r="A60" s="231"/>
      <c r="B60" s="580"/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231"/>
      <c r="N60" s="383"/>
      <c r="O60" s="374"/>
      <c r="P60" s="374"/>
      <c r="Q60" s="374"/>
    </row>
    <row r="61" spans="1:102" ht="15.6" customHeight="1" x14ac:dyDescent="0.2">
      <c r="A61" s="231"/>
      <c r="B61" s="581" t="str">
        <f>language!B147</f>
        <v>Prestataire :</v>
      </c>
      <c r="C61" s="536"/>
      <c r="D61" s="858" t="str">
        <f>IF(Batiment_Info!G16="","***",Batiment_Info!G16)</f>
        <v>***</v>
      </c>
      <c r="E61" s="858"/>
      <c r="F61" s="858"/>
      <c r="G61" s="582"/>
      <c r="H61"/>
      <c r="I61" s="41"/>
      <c r="J61" s="111"/>
      <c r="K61" s="174"/>
      <c r="L61" s="174"/>
      <c r="M61" s="231"/>
      <c r="N61" s="381"/>
      <c r="O61" s="374"/>
      <c r="P61" s="374"/>
      <c r="Q61" s="374"/>
    </row>
    <row r="62" spans="1:102" ht="15.6" customHeight="1" x14ac:dyDescent="0.2">
      <c r="A62" s="231"/>
      <c r="B62" s="858" t="str">
        <f>IF(Batiment_Info!B16="","***",CONCATENATE(Batiment_Info!B16," ",Batiment_Info!B17))</f>
        <v>***</v>
      </c>
      <c r="C62" s="858"/>
      <c r="D62" s="858"/>
      <c r="E62" s="858"/>
      <c r="F62" s="858"/>
      <c r="G62" s="582"/>
      <c r="H62"/>
      <c r="I62" s="41"/>
      <c r="J62" s="206"/>
      <c r="K62" s="174"/>
      <c r="L62" s="174"/>
      <c r="M62" s="231"/>
      <c r="N62" s="381"/>
      <c r="O62" s="374"/>
      <c r="P62" s="374"/>
      <c r="Q62" s="374"/>
      <c r="V62" s="298"/>
    </row>
    <row r="63" spans="1:102" ht="15.6" customHeight="1" x14ac:dyDescent="0.2">
      <c r="A63" s="231"/>
      <c r="B63" s="866" t="str">
        <f>IF(Batiment_Info!B19="","***",Batiment_Info!B19)</f>
        <v>***</v>
      </c>
      <c r="C63" s="866"/>
      <c r="D63" s="866"/>
      <c r="E63" s="866"/>
      <c r="F63" s="866"/>
      <c r="G63" s="582"/>
      <c r="H63" s="44"/>
      <c r="I63"/>
      <c r="J63" s="87"/>
      <c r="K63"/>
      <c r="L63"/>
      <c r="M63" s="231"/>
      <c r="N63" s="389"/>
      <c r="V63" s="298"/>
    </row>
    <row r="64" spans="1:102" ht="17.45" customHeight="1" x14ac:dyDescent="0.2">
      <c r="A64" s="231"/>
      <c r="B64"/>
      <c r="C64" s="207"/>
      <c r="D64" s="207"/>
      <c r="E64" s="207"/>
      <c r="F64" s="207"/>
      <c r="G64" s="213"/>
      <c r="H64" s="20"/>
      <c r="I64" s="187"/>
      <c r="J64" s="20"/>
      <c r="K64" s="20"/>
      <c r="L64" s="20"/>
      <c r="M64" s="231"/>
      <c r="N64" s="383"/>
      <c r="O64" s="299"/>
      <c r="P64" s="299"/>
      <c r="Q64" s="299"/>
      <c r="R64" s="390"/>
      <c r="S64" s="343"/>
      <c r="T64" s="299"/>
      <c r="U64" s="299"/>
      <c r="V64" s="298"/>
      <c r="W64" s="299"/>
      <c r="X64" s="299"/>
      <c r="Y64" s="299"/>
      <c r="Z64" s="299"/>
      <c r="AA64" s="299"/>
      <c r="AB64" s="299"/>
      <c r="AC64" s="299"/>
      <c r="AD64" s="299"/>
      <c r="AE64" s="299"/>
      <c r="AF64" s="299"/>
      <c r="AG64" s="299"/>
      <c r="AH64" s="299"/>
      <c r="AI64" s="299"/>
      <c r="AJ64" s="299"/>
      <c r="AK64" s="299"/>
      <c r="AL64" s="299"/>
      <c r="AM64" s="299"/>
      <c r="AN64" s="299"/>
      <c r="AO64" s="299"/>
      <c r="AP64" s="299"/>
      <c r="AQ64" s="299"/>
      <c r="AR64" s="299"/>
      <c r="AS64" s="299"/>
      <c r="AT64" s="299"/>
      <c r="AU64" s="299"/>
      <c r="AV64" s="299"/>
      <c r="AW64" s="299"/>
      <c r="AX64" s="299"/>
      <c r="AY64" s="299"/>
      <c r="AZ64" s="299"/>
      <c r="BA64" s="299"/>
      <c r="BB64" s="299"/>
      <c r="BC64" s="299"/>
      <c r="BD64" s="299"/>
      <c r="BE64" s="299"/>
      <c r="BF64" s="299"/>
      <c r="BG64" s="299"/>
      <c r="BH64" s="299"/>
      <c r="BI64" s="299"/>
      <c r="BJ64" s="299"/>
      <c r="BK64" s="299"/>
      <c r="BL64" s="299"/>
      <c r="BM64" s="299"/>
      <c r="BN64" s="299"/>
      <c r="BO64" s="299"/>
      <c r="BP64" s="299"/>
      <c r="BQ64" s="299"/>
      <c r="BR64" s="299"/>
      <c r="BS64" s="299"/>
      <c r="BT64" s="299"/>
      <c r="BU64" s="299"/>
      <c r="BV64" s="299"/>
      <c r="BW64" s="299"/>
      <c r="BX64" s="299"/>
      <c r="BY64" s="299"/>
      <c r="BZ64" s="299"/>
      <c r="CA64" s="299"/>
      <c r="CB64" s="299"/>
      <c r="CC64" s="299"/>
      <c r="CD64" s="299"/>
      <c r="CE64" s="299"/>
      <c r="CF64" s="299"/>
      <c r="CG64" s="299"/>
      <c r="CH64" s="299"/>
      <c r="CI64" s="299"/>
      <c r="CJ64" s="299"/>
      <c r="CK64" s="299"/>
      <c r="CL64" s="299"/>
      <c r="CM64" s="299"/>
      <c r="CN64" s="299"/>
      <c r="CO64" s="299"/>
      <c r="CP64" s="299"/>
      <c r="CQ64" s="299"/>
      <c r="CR64" s="299"/>
      <c r="CS64" s="299"/>
      <c r="CT64" s="299"/>
      <c r="CU64" s="299"/>
      <c r="CV64" s="299"/>
      <c r="CW64" s="299"/>
      <c r="CX64" s="299"/>
    </row>
    <row r="65" spans="1:102" s="394" customFormat="1" ht="7.5" customHeight="1" x14ac:dyDescent="0.2">
      <c r="A65" s="578"/>
      <c r="B65" s="208"/>
      <c r="C65" s="209"/>
      <c r="D65" s="209"/>
      <c r="E65" s="210"/>
      <c r="F65" s="211"/>
      <c r="G65" s="583"/>
      <c r="H65" s="83"/>
      <c r="I65"/>
      <c r="J65" s="85"/>
      <c r="K65" s="85"/>
      <c r="L65" s="85"/>
      <c r="M65" s="578"/>
      <c r="N65" s="389"/>
      <c r="O65" s="391"/>
      <c r="P65" s="391"/>
      <c r="Q65" s="391"/>
      <c r="R65" s="392"/>
      <c r="S65" s="393"/>
      <c r="T65" s="391"/>
      <c r="U65" s="391"/>
      <c r="V65" s="393"/>
      <c r="W65" s="391"/>
      <c r="X65" s="391"/>
      <c r="Y65" s="391"/>
      <c r="Z65" s="391"/>
      <c r="AA65" s="391"/>
      <c r="AB65" s="391"/>
      <c r="AC65" s="391"/>
      <c r="AD65" s="391"/>
      <c r="AE65" s="391"/>
      <c r="AF65" s="391"/>
      <c r="AG65" s="391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1"/>
      <c r="AT65" s="391"/>
      <c r="AU65" s="391"/>
      <c r="AV65" s="391"/>
      <c r="AW65" s="391"/>
      <c r="AX65" s="391"/>
      <c r="AY65" s="391"/>
      <c r="AZ65" s="391"/>
      <c r="BA65" s="391"/>
      <c r="BB65" s="391"/>
      <c r="BC65" s="391"/>
      <c r="BD65" s="391"/>
      <c r="BE65" s="391"/>
      <c r="BF65" s="391"/>
      <c r="BG65" s="391"/>
      <c r="BH65" s="391"/>
      <c r="BI65" s="391"/>
      <c r="BJ65" s="391"/>
      <c r="BK65" s="391"/>
      <c r="BL65" s="391"/>
      <c r="BM65" s="391"/>
      <c r="BN65" s="391"/>
      <c r="BO65" s="391"/>
      <c r="BP65" s="391"/>
      <c r="BQ65" s="391"/>
      <c r="BR65" s="391"/>
      <c r="BS65" s="391"/>
      <c r="BT65" s="391"/>
      <c r="BU65" s="391"/>
      <c r="BV65" s="391"/>
      <c r="BW65" s="391"/>
      <c r="BX65" s="391"/>
      <c r="BY65" s="391"/>
      <c r="BZ65" s="391"/>
      <c r="CA65" s="391"/>
      <c r="CB65" s="391"/>
      <c r="CC65" s="391"/>
      <c r="CD65" s="391"/>
      <c r="CE65" s="391"/>
      <c r="CF65" s="391"/>
      <c r="CG65" s="391"/>
      <c r="CH65" s="391"/>
      <c r="CI65" s="391"/>
      <c r="CJ65" s="391"/>
      <c r="CK65" s="391"/>
      <c r="CL65" s="391"/>
      <c r="CM65" s="391"/>
      <c r="CN65" s="391"/>
      <c r="CO65" s="391"/>
      <c r="CP65" s="391"/>
      <c r="CQ65" s="391"/>
      <c r="CR65" s="391"/>
      <c r="CS65" s="391"/>
      <c r="CT65" s="391"/>
      <c r="CU65" s="391"/>
      <c r="CV65" s="391"/>
      <c r="CW65" s="391"/>
      <c r="CX65" s="391"/>
    </row>
    <row r="66" spans="1:102" x14ac:dyDescent="0.2">
      <c r="A66" s="231"/>
      <c r="B66" s="531" t="str">
        <f>language!B148</f>
        <v>Date, signature</v>
      </c>
      <c r="C66" s="231"/>
      <c r="D66" s="231"/>
      <c r="E66" s="231"/>
      <c r="F66" s="231"/>
      <c r="G66" s="579"/>
      <c r="H66" s="231"/>
      <c r="I66" s="231"/>
      <c r="J66" s="579" t="str">
        <f>language!B149</f>
        <v>Tampon</v>
      </c>
      <c r="K66" s="231"/>
      <c r="L66" s="231"/>
      <c r="M66" s="231"/>
      <c r="N66" s="366"/>
      <c r="R66" s="298"/>
    </row>
    <row r="67" spans="1:102" ht="22.5" customHeight="1" x14ac:dyDescent="0.2">
      <c r="E67" s="865" t="str">
        <f>language!B151</f>
        <v>Page précedente :</v>
      </c>
      <c r="F67" s="865"/>
      <c r="G67" s="335"/>
      <c r="H67" s="865" t="str">
        <f>language!B152</f>
        <v>Page suivante :</v>
      </c>
      <c r="I67" s="865"/>
    </row>
    <row r="68" spans="1:102" x14ac:dyDescent="0.2">
      <c r="E68" s="871"/>
      <c r="F68" s="871"/>
      <c r="H68" s="864"/>
      <c r="I68" s="864"/>
    </row>
    <row r="81" spans="2:14" x14ac:dyDescent="0.2">
      <c r="B81" s="338" t="s">
        <v>268</v>
      </c>
      <c r="C81" s="339"/>
      <c r="D81" s="339"/>
      <c r="E81" s="339"/>
      <c r="F81" s="339"/>
      <c r="G81" s="340"/>
      <c r="H81" s="339"/>
      <c r="I81" s="341"/>
      <c r="J81" s="342"/>
      <c r="K81" s="299"/>
      <c r="L81" s="299"/>
      <c r="M81" s="299"/>
      <c r="N81" s="299"/>
    </row>
    <row r="82" spans="2:14" x14ac:dyDescent="0.2">
      <c r="B82" s="342">
        <f>bld_file!AP10</f>
        <v>0</v>
      </c>
      <c r="C82" s="343">
        <v>4</v>
      </c>
      <c r="D82" s="344" t="s">
        <v>373</v>
      </c>
      <c r="E82" s="299"/>
      <c r="F82" s="299"/>
      <c r="G82" s="299"/>
      <c r="H82" s="299"/>
      <c r="I82" s="345"/>
      <c r="J82" s="342"/>
      <c r="K82" s="299"/>
      <c r="L82" s="299"/>
      <c r="M82" s="299"/>
      <c r="N82" s="346"/>
    </row>
    <row r="83" spans="2:14" x14ac:dyDescent="0.2">
      <c r="B83" s="342"/>
      <c r="C83" s="343">
        <v>5</v>
      </c>
      <c r="D83" s="344" t="s">
        <v>374</v>
      </c>
      <c r="E83" s="299"/>
      <c r="F83" s="299"/>
      <c r="G83" s="299"/>
      <c r="H83" s="299"/>
      <c r="I83" s="345"/>
      <c r="J83" s="342"/>
      <c r="K83" s="299"/>
      <c r="L83" s="299"/>
      <c r="M83" s="299"/>
      <c r="N83" s="346"/>
    </row>
    <row r="84" spans="2:14" x14ac:dyDescent="0.2">
      <c r="B84" s="347"/>
      <c r="C84" s="348" t="s">
        <v>0</v>
      </c>
      <c r="D84" s="349" t="s">
        <v>355</v>
      </c>
      <c r="E84" s="350"/>
      <c r="F84" s="350"/>
      <c r="G84" s="350"/>
      <c r="H84" s="350"/>
      <c r="I84" s="351"/>
      <c r="J84" s="342"/>
      <c r="K84" s="299"/>
      <c r="L84" s="299"/>
      <c r="M84" s="299"/>
      <c r="N84" s="346"/>
    </row>
    <row r="85" spans="2:14" x14ac:dyDescent="0.2">
      <c r="C85" s="306"/>
      <c r="D85" s="335"/>
      <c r="L85" s="299"/>
    </row>
    <row r="86" spans="2:14" x14ac:dyDescent="0.2">
      <c r="C86" s="306"/>
      <c r="D86" s="335"/>
      <c r="L86" s="299"/>
    </row>
    <row r="87" spans="2:14" x14ac:dyDescent="0.2">
      <c r="B87" s="338" t="s">
        <v>269</v>
      </c>
      <c r="C87" s="339"/>
      <c r="D87" s="340"/>
      <c r="E87" s="339"/>
      <c r="F87" s="341"/>
      <c r="L87" s="299"/>
    </row>
    <row r="88" spans="2:14" x14ac:dyDescent="0.2">
      <c r="B88" s="352">
        <v>0</v>
      </c>
      <c r="C88" s="344">
        <v>0</v>
      </c>
      <c r="D88" s="343" t="str">
        <f t="shared" ref="D88:D93" si="0">VLOOKUP($E88,$B$88:$C$93,2)</f>
        <v>B</v>
      </c>
      <c r="E88" s="299">
        <v>2</v>
      </c>
      <c r="F88" s="345"/>
      <c r="G88" s="335"/>
      <c r="L88" s="299"/>
    </row>
    <row r="89" spans="2:14" x14ac:dyDescent="0.2">
      <c r="B89" s="352">
        <v>1</v>
      </c>
      <c r="C89" s="353" t="s">
        <v>2</v>
      </c>
      <c r="D89" s="343">
        <f t="shared" si="0"/>
        <v>0</v>
      </c>
      <c r="E89" s="299">
        <f>bld_file!T27</f>
        <v>0</v>
      </c>
      <c r="F89" s="345"/>
      <c r="L89" s="299"/>
    </row>
    <row r="90" spans="2:14" x14ac:dyDescent="0.2">
      <c r="B90" s="352">
        <v>2</v>
      </c>
      <c r="C90" s="353" t="s">
        <v>3</v>
      </c>
      <c r="D90" s="343">
        <f t="shared" si="0"/>
        <v>0</v>
      </c>
      <c r="E90" s="299">
        <f>bld_file!T28</f>
        <v>0</v>
      </c>
      <c r="F90" s="345"/>
    </row>
    <row r="91" spans="2:14" x14ac:dyDescent="0.2">
      <c r="B91" s="352">
        <v>3</v>
      </c>
      <c r="C91" s="353" t="s">
        <v>4</v>
      </c>
      <c r="D91" s="343">
        <f t="shared" si="0"/>
        <v>0</v>
      </c>
      <c r="E91" s="299">
        <f>bld_file!T29</f>
        <v>0</v>
      </c>
      <c r="F91" s="345"/>
    </row>
    <row r="92" spans="2:14" x14ac:dyDescent="0.2">
      <c r="B92" s="352">
        <v>4</v>
      </c>
      <c r="C92" s="353" t="s">
        <v>6</v>
      </c>
      <c r="D92" s="343">
        <f t="shared" si="0"/>
        <v>0</v>
      </c>
      <c r="E92" s="299">
        <f>bld_file!T30</f>
        <v>0</v>
      </c>
      <c r="F92" s="345"/>
    </row>
    <row r="93" spans="2:14" x14ac:dyDescent="0.2">
      <c r="B93" s="354">
        <v>5</v>
      </c>
      <c r="C93" s="349" t="s">
        <v>7</v>
      </c>
      <c r="D93" s="348">
        <f t="shared" si="0"/>
        <v>0</v>
      </c>
      <c r="E93" s="350">
        <f>bld_file!T31</f>
        <v>0</v>
      </c>
      <c r="F93" s="351"/>
    </row>
    <row r="96" spans="2:14" x14ac:dyDescent="0.2">
      <c r="B96" s="355" t="s">
        <v>243</v>
      </c>
      <c r="C96" s="356"/>
      <c r="D96" s="357"/>
    </row>
    <row r="97" spans="2:11" x14ac:dyDescent="0.2">
      <c r="B97" s="342" t="s">
        <v>244</v>
      </c>
      <c r="C97" s="299"/>
      <c r="D97" s="345"/>
    </row>
    <row r="98" spans="2:11" x14ac:dyDescent="0.2">
      <c r="B98" s="766" t="s">
        <v>2</v>
      </c>
      <c r="C98" s="660" t="s">
        <v>829</v>
      </c>
      <c r="D98" s="767"/>
    </row>
    <row r="99" spans="2:11" x14ac:dyDescent="0.2">
      <c r="B99" s="768" t="s">
        <v>3</v>
      </c>
      <c r="C99" s="311" t="s">
        <v>830</v>
      </c>
      <c r="D99" s="769"/>
    </row>
    <row r="100" spans="2:11" x14ac:dyDescent="0.2">
      <c r="B100" s="768" t="s">
        <v>4</v>
      </c>
      <c r="C100" s="311" t="s">
        <v>831</v>
      </c>
      <c r="D100" s="769"/>
    </row>
    <row r="101" spans="2:11" x14ac:dyDescent="0.2">
      <c r="B101" s="770" t="str">
        <f>language!$B$144</f>
        <v>Choisir</v>
      </c>
      <c r="C101" s="738"/>
      <c r="D101" s="771"/>
    </row>
    <row r="103" spans="2:11" x14ac:dyDescent="0.2">
      <c r="B103" s="355" t="s">
        <v>245</v>
      </c>
      <c r="C103" s="357"/>
    </row>
    <row r="104" spans="2:11" x14ac:dyDescent="0.2">
      <c r="B104" s="748">
        <v>1</v>
      </c>
      <c r="C104" s="357"/>
    </row>
    <row r="105" spans="2:11" x14ac:dyDescent="0.2">
      <c r="B105" s="749">
        <v>4</v>
      </c>
      <c r="C105" s="345"/>
    </row>
    <row r="106" spans="2:11" x14ac:dyDescent="0.2">
      <c r="B106" s="746" t="str">
        <f>language!$B$144</f>
        <v>Choisir</v>
      </c>
      <c r="C106" s="351"/>
    </row>
    <row r="108" spans="2:11" x14ac:dyDescent="0.2">
      <c r="B108" s="338" t="s">
        <v>270</v>
      </c>
      <c r="C108" s="341"/>
      <c r="D108" s="338"/>
      <c r="E108" s="338" t="s">
        <v>358</v>
      </c>
      <c r="F108" s="338"/>
      <c r="G108" s="338"/>
      <c r="H108" s="360"/>
    </row>
    <row r="109" spans="2:11" x14ac:dyDescent="0.2">
      <c r="B109" s="355"/>
      <c r="C109" s="357"/>
      <c r="D109" s="355"/>
      <c r="E109" s="356" t="s">
        <v>356</v>
      </c>
      <c r="F109" s="356" t="b">
        <f>IF(bld_file!C63&lt;&gt;"",CODE(bld_file!C63))</f>
        <v>0</v>
      </c>
      <c r="G109" s="356"/>
      <c r="H109" s="357"/>
      <c r="K109" s="298" t="e">
        <f>CODE(J109)</f>
        <v>#VALUE!</v>
      </c>
    </row>
    <row r="110" spans="2:11" x14ac:dyDescent="0.2">
      <c r="B110" s="358" t="s">
        <v>283</v>
      </c>
      <c r="C110" s="345"/>
      <c r="D110" s="342"/>
      <c r="E110" s="299" t="s">
        <v>357</v>
      </c>
      <c r="F110" s="311" t="str">
        <f>IF(bld_file!C63="","",IF(OR(F109=68,F109=100),B110,IF(OR(F109=69,F109=101),B111)))</f>
        <v/>
      </c>
      <c r="G110" s="299"/>
      <c r="H110" s="345"/>
    </row>
    <row r="111" spans="2:11" x14ac:dyDescent="0.2">
      <c r="B111" s="359" t="s">
        <v>271</v>
      </c>
      <c r="C111" s="351"/>
      <c r="D111" s="347"/>
      <c r="E111" s="361" t="str">
        <f>" Verfahren A:"</f>
        <v xml:space="preserve"> Verfahren A:</v>
      </c>
      <c r="F111" s="350" t="str">
        <f>IF(bld_file!C62="A",Donnees_Test!F110,"")</f>
        <v/>
      </c>
      <c r="G111" s="350"/>
      <c r="H111" s="351"/>
    </row>
    <row r="113" spans="2:8" x14ac:dyDescent="0.2">
      <c r="B113" s="338" t="s">
        <v>272</v>
      </c>
      <c r="C113" s="339"/>
      <c r="D113" s="339"/>
      <c r="E113" s="339"/>
      <c r="F113" s="341"/>
    </row>
    <row r="114" spans="2:8" x14ac:dyDescent="0.2">
      <c r="B114" s="362" t="str">
        <f>language!B142</f>
        <v>Les résultats du test sont conformes à la réglementation</v>
      </c>
      <c r="C114" s="299"/>
      <c r="D114" s="299"/>
      <c r="E114" s="299"/>
      <c r="F114" s="345"/>
    </row>
    <row r="115" spans="2:8" x14ac:dyDescent="0.2">
      <c r="B115" s="362" t="str">
        <f>language!B143</f>
        <v>Les résultats du test ne sont pas conformes à la réglementation</v>
      </c>
      <c r="C115" s="299"/>
      <c r="D115" s="299"/>
      <c r="E115" s="299"/>
      <c r="F115" s="345"/>
    </row>
    <row r="116" spans="2:8" x14ac:dyDescent="0.2">
      <c r="B116" s="363" t="str">
        <f>language!$B$144</f>
        <v>Choisir</v>
      </c>
      <c r="C116" s="350"/>
      <c r="D116" s="350"/>
      <c r="E116" s="350"/>
      <c r="F116" s="351"/>
    </row>
    <row r="118" spans="2:8" x14ac:dyDescent="0.2">
      <c r="B118" s="360" t="s">
        <v>273</v>
      </c>
      <c r="C118" s="339"/>
      <c r="D118" s="339"/>
      <c r="E118" s="339"/>
      <c r="F118" s="339"/>
      <c r="G118" s="339"/>
      <c r="H118" s="341"/>
    </row>
    <row r="119" spans="2:8" x14ac:dyDescent="0.2">
      <c r="B119" s="364" t="s">
        <v>16</v>
      </c>
      <c r="C119" s="355" t="str">
        <f>IF(AND(C43="",I43="",K50=""),"Der n50 wurde nicht ermittelt.",IF(F56="","nicht ermittelt",IF(K50&lt;&gt;"",IF(K50&gt;F56,B115,B116),IF(I43&lt;&gt;"",IF(I43&gt;F56,B115,B116),IF(C43&lt;&gt;"",IF(C43&gt;F56,B115,B116))))))</f>
        <v>Der n50 wurde nicht ermittelt.</v>
      </c>
      <c r="D119" s="356"/>
      <c r="E119" s="356"/>
      <c r="F119" s="356"/>
      <c r="G119" s="356"/>
      <c r="H119" s="357" t="str">
        <f>IF(AND(C43="",I43="",K50=""),"-",IF(K50&lt;&gt;"",K50,IF(I43&lt;&gt;"",I43,IF(C43&lt;&gt;"",C43))))</f>
        <v>-</v>
      </c>
    </row>
    <row r="120" spans="2:8" x14ac:dyDescent="0.2">
      <c r="B120" s="364" t="s">
        <v>274</v>
      </c>
      <c r="C120" s="342" t="str">
        <f>IF(AND(C45="",I45="",O56=""),"Der w50 wurde nicht ermittelt.",IF(I56="","nicht ermittelt",IF(O56&lt;&gt;"",IF(O56&gt;I56,B115,B116),IF(I45&lt;&gt;"",IF(I45&gt;I56,B115,B116),IF(C45&lt;&gt;"",IF(C45&gt;I56,B115,B116))))))</f>
        <v>Der w50 wurde nicht ermittelt.</v>
      </c>
      <c r="D120" s="299"/>
      <c r="E120" s="299"/>
      <c r="F120" s="299"/>
      <c r="G120" s="299"/>
      <c r="H120" s="345" t="str">
        <f>IF(AND(C45="",I45="",O56=""),"-",IF(O56&lt;&gt;"",O56,IF(I45&lt;&gt;"",I45,IF(C45&lt;&gt;"",C45))))</f>
        <v>-</v>
      </c>
    </row>
    <row r="121" spans="2:8" x14ac:dyDescent="0.2">
      <c r="B121" s="365" t="s">
        <v>275</v>
      </c>
      <c r="C121" s="347" t="str">
        <f>IF(AND(C46="",I46="",I53=""),"Der q50 wurde nicht ermittelt.",IF(K56="","nicht ermittelt",IF(I53&lt;&gt;"",IF(I53&gt;K56,B115,B116),IF(I46&lt;&gt;"",IF(I46&gt;K56,B115,B116),IF(C46&lt;&gt;"",IF(C46&gt;K56,B115,B116))))))</f>
        <v>Der q50 wurde nicht ermittelt.</v>
      </c>
      <c r="D121" s="350"/>
      <c r="E121" s="350"/>
      <c r="F121" s="350"/>
      <c r="G121" s="350"/>
      <c r="H121" s="351" t="str">
        <f>IF(AND(C46="",I46="",I53=""),"-",IF(I53&lt;&gt;"",I53,IF(I46&lt;&gt;"",I46,IF(C46&lt;&gt;"",C46))))</f>
        <v>-</v>
      </c>
    </row>
    <row r="124" spans="2:8" x14ac:dyDescent="0.2">
      <c r="B124" s="338" t="s">
        <v>294</v>
      </c>
      <c r="C124" s="339"/>
      <c r="D124" s="339"/>
      <c r="E124" s="339"/>
      <c r="F124" s="341"/>
    </row>
    <row r="125" spans="2:8" x14ac:dyDescent="0.2">
      <c r="B125" s="362" t="s">
        <v>295</v>
      </c>
      <c r="C125" s="299"/>
      <c r="D125" s="299"/>
      <c r="E125" s="299"/>
      <c r="F125" s="345"/>
    </row>
    <row r="126" spans="2:8" x14ac:dyDescent="0.2">
      <c r="B126" s="362" t="s">
        <v>296</v>
      </c>
      <c r="C126" s="299"/>
      <c r="D126" s="299"/>
      <c r="E126" s="299"/>
      <c r="F126" s="345"/>
    </row>
    <row r="127" spans="2:8" x14ac:dyDescent="0.2">
      <c r="B127" s="363" t="s">
        <v>297</v>
      </c>
      <c r="C127" s="350"/>
      <c r="D127" s="350"/>
      <c r="E127" s="350"/>
      <c r="F127" s="351"/>
    </row>
    <row r="129" spans="2:6" x14ac:dyDescent="0.2">
      <c r="B129" s="338" t="s">
        <v>531</v>
      </c>
      <c r="C129" s="339"/>
      <c r="D129" s="339"/>
      <c r="E129" s="339"/>
      <c r="F129" s="341"/>
    </row>
    <row r="130" spans="2:6" x14ac:dyDescent="0.2">
      <c r="B130" s="363" t="str">
        <f>language!$B$140</f>
        <v>Entrée</v>
      </c>
      <c r="C130" s="350"/>
      <c r="D130" s="350"/>
      <c r="E130" s="350"/>
      <c r="F130" s="351"/>
    </row>
    <row r="132" spans="2:6" x14ac:dyDescent="0.2">
      <c r="B132" s="338" t="s">
        <v>793</v>
      </c>
      <c r="C132" s="339"/>
      <c r="D132" s="339"/>
      <c r="E132" s="339"/>
      <c r="F132" s="341"/>
    </row>
    <row r="133" spans="2:6" x14ac:dyDescent="0.2">
      <c r="B133" s="662" t="s">
        <v>794</v>
      </c>
      <c r="D133" s="660" t="str">
        <f>IF(C46="","-",Berechnung!AD39)</f>
        <v>-</v>
      </c>
      <c r="F133" s="357"/>
    </row>
    <row r="134" spans="2:6" x14ac:dyDescent="0.2">
      <c r="B134" s="362" t="s">
        <v>526</v>
      </c>
      <c r="C134" s="661"/>
      <c r="D134" s="311" t="str">
        <f>IF(I46="","-",Berechnung!AD81)</f>
        <v>-</v>
      </c>
      <c r="F134" s="345"/>
    </row>
    <row r="135" spans="2:6" x14ac:dyDescent="0.2">
      <c r="B135" s="363" t="b">
        <f>IF(AND(C46&lt;&gt;"",I46&lt;&gt;""),IF(D133&lt;D134,C46,IF(D134&lt;D133,I46,"")))</f>
        <v>0</v>
      </c>
      <c r="C135" s="350"/>
      <c r="D135" s="350"/>
      <c r="E135" s="350"/>
      <c r="F135" s="351"/>
    </row>
    <row r="137" spans="2:6" x14ac:dyDescent="0.2">
      <c r="B137" s="338" t="s">
        <v>797</v>
      </c>
      <c r="C137" s="339"/>
      <c r="D137" s="339"/>
      <c r="E137" s="339"/>
      <c r="F137" s="341"/>
    </row>
    <row r="138" spans="2:6" x14ac:dyDescent="0.2">
      <c r="B138" s="355"/>
      <c r="C138" s="356"/>
      <c r="D138" s="660" t="s">
        <v>802</v>
      </c>
      <c r="E138" s="664" t="s">
        <v>16</v>
      </c>
      <c r="F138" s="357"/>
    </row>
    <row r="139" spans="2:6" x14ac:dyDescent="0.2">
      <c r="B139" s="362" t="s">
        <v>794</v>
      </c>
      <c r="C139" s="399"/>
      <c r="D139" s="311" t="str">
        <f>IF(C42="","-",Berechnung!AD35)</f>
        <v>-</v>
      </c>
      <c r="E139" s="663" t="str">
        <f>IF(C43="","-",Berechnung!AD36)</f>
        <v>-</v>
      </c>
      <c r="F139" s="345"/>
    </row>
    <row r="140" spans="2:6" x14ac:dyDescent="0.2">
      <c r="B140" s="362" t="s">
        <v>526</v>
      </c>
      <c r="C140" s="661"/>
      <c r="D140" s="311" t="str">
        <f>IF(I42="","-",Berechnung!AD77)</f>
        <v>-</v>
      </c>
      <c r="E140" s="663" t="str">
        <f>IF(I43="","-",Berechnung!AD78)</f>
        <v>-</v>
      </c>
      <c r="F140" s="345"/>
    </row>
    <row r="141" spans="2:6" x14ac:dyDescent="0.2">
      <c r="B141" s="362"/>
      <c r="C141" s="661"/>
      <c r="D141" s="311" t="s">
        <v>785</v>
      </c>
      <c r="E141" s="399" t="s">
        <v>786</v>
      </c>
      <c r="F141" s="345"/>
    </row>
    <row r="142" spans="2:6" x14ac:dyDescent="0.2">
      <c r="B142" s="362" t="s">
        <v>798</v>
      </c>
      <c r="C142" s="661"/>
      <c r="D142" s="311" t="e">
        <f>Berechnung!AA35</f>
        <v>#VALUE!</v>
      </c>
      <c r="E142" s="399" t="e">
        <f>Berechnung!AB35</f>
        <v>#VALUE!</v>
      </c>
      <c r="F142" s="345"/>
    </row>
    <row r="143" spans="2:6" x14ac:dyDescent="0.2">
      <c r="B143" s="362" t="s">
        <v>799</v>
      </c>
      <c r="C143" s="661"/>
      <c r="D143" s="311" t="e">
        <f>Berechnung!AA77</f>
        <v>#VALUE!</v>
      </c>
      <c r="E143" s="399" t="e">
        <f>Berechnung!AB77</f>
        <v>#VALUE!</v>
      </c>
      <c r="F143" s="345"/>
    </row>
    <row r="144" spans="2:6" x14ac:dyDescent="0.2">
      <c r="B144" s="362"/>
      <c r="C144" s="661"/>
      <c r="D144" s="670" t="e">
        <f>MIN(D142,D143)</f>
        <v>#VALUE!</v>
      </c>
      <c r="E144" s="383" t="e">
        <f>MAX(E142,E143)</f>
        <v>#VALUE!</v>
      </c>
      <c r="F144" s="345"/>
    </row>
    <row r="145" spans="2:6" x14ac:dyDescent="0.2">
      <c r="B145" s="665" t="s">
        <v>801</v>
      </c>
      <c r="C145" s="666"/>
      <c r="D145" s="667" t="e">
        <f>Berechnung!AA36</f>
        <v>#VALUE!</v>
      </c>
      <c r="E145" s="663" t="e">
        <f>Berechnung!AB36</f>
        <v>#VALUE!</v>
      </c>
      <c r="F145" s="345"/>
    </row>
    <row r="146" spans="2:6" x14ac:dyDescent="0.2">
      <c r="B146" s="665" t="s">
        <v>800</v>
      </c>
      <c r="C146" s="667"/>
      <c r="D146" s="667" t="e">
        <f>Berechnung!AA78</f>
        <v>#VALUE!</v>
      </c>
      <c r="E146" s="667" t="e">
        <f>Berechnung!AB78</f>
        <v>#VALUE!</v>
      </c>
      <c r="F146" s="345"/>
    </row>
    <row r="147" spans="2:6" x14ac:dyDescent="0.2">
      <c r="B147" s="668"/>
      <c r="C147" s="669"/>
      <c r="D147" s="671" t="e">
        <f>MIN(D145,D146)</f>
        <v>#VALUE!</v>
      </c>
      <c r="E147" s="671" t="e">
        <f>MAX(E145,E146)</f>
        <v>#VALUE!</v>
      </c>
      <c r="F147" s="351"/>
    </row>
    <row r="149" spans="2:6" x14ac:dyDescent="0.2">
      <c r="B149" s="338" t="s">
        <v>795</v>
      </c>
      <c r="C149" s="339"/>
      <c r="D149" s="339"/>
      <c r="E149" s="339"/>
      <c r="F149" s="341"/>
    </row>
    <row r="150" spans="2:6" x14ac:dyDescent="0.2">
      <c r="B150" s="662" t="str">
        <f>language!B135</f>
        <v>Dépressurisation</v>
      </c>
      <c r="C150" s="399"/>
      <c r="D150" s="660"/>
      <c r="F150" s="357"/>
    </row>
    <row r="151" spans="2:6" x14ac:dyDescent="0.2">
      <c r="B151" s="362" t="str">
        <f>language!B136</f>
        <v>Pressurisation</v>
      </c>
      <c r="C151" s="661"/>
      <c r="D151" s="311"/>
      <c r="F151" s="345"/>
    </row>
    <row r="152" spans="2:6" x14ac:dyDescent="0.2">
      <c r="B152" s="363" t="str">
        <f>language!$B$137</f>
        <v>Moyenne</v>
      </c>
      <c r="C152" s="350"/>
      <c r="D152" s="350"/>
      <c r="E152" s="350"/>
      <c r="F152" s="351"/>
    </row>
    <row r="154" spans="2:6" x14ac:dyDescent="0.2">
      <c r="B154" s="338" t="s">
        <v>820</v>
      </c>
      <c r="C154" s="339"/>
      <c r="D154" s="339"/>
      <c r="E154" s="339"/>
      <c r="F154" s="341"/>
    </row>
    <row r="155" spans="2:6" ht="16.5" x14ac:dyDescent="0.2">
      <c r="B155" s="735" t="s">
        <v>821</v>
      </c>
      <c r="C155" s="736" t="s">
        <v>792</v>
      </c>
      <c r="D155" s="660"/>
      <c r="E155" s="356"/>
      <c r="F155" s="357"/>
    </row>
    <row r="156" spans="2:6" ht="16.5" x14ac:dyDescent="0.3">
      <c r="B156" s="362" t="s">
        <v>822</v>
      </c>
      <c r="C156" s="737" t="s">
        <v>506</v>
      </c>
      <c r="D156" s="299"/>
      <c r="E156" s="299"/>
      <c r="F156" s="345"/>
    </row>
    <row r="157" spans="2:6" ht="16.5" x14ac:dyDescent="0.3">
      <c r="B157" s="362" t="s">
        <v>823</v>
      </c>
      <c r="C157" s="737" t="s">
        <v>15</v>
      </c>
      <c r="D157" s="299"/>
      <c r="E157" s="299"/>
      <c r="F157" s="345"/>
    </row>
    <row r="158" spans="2:6" x14ac:dyDescent="0.2">
      <c r="B158" s="362"/>
      <c r="C158" s="299"/>
      <c r="D158" s="299"/>
      <c r="E158" s="299"/>
      <c r="F158" s="345"/>
    </row>
    <row r="159" spans="2:6" x14ac:dyDescent="0.2">
      <c r="B159" s="747" t="str">
        <f>language!$B$144</f>
        <v>Choisir</v>
      </c>
      <c r="C159" s="738" t="s">
        <v>824</v>
      </c>
      <c r="D159" s="350"/>
      <c r="E159" s="350"/>
      <c r="F159" s="351"/>
    </row>
    <row r="162" spans="2:6" x14ac:dyDescent="0.2">
      <c r="B162" s="338" t="s">
        <v>833</v>
      </c>
      <c r="C162" s="339"/>
      <c r="D162" s="339"/>
      <c r="E162" s="339"/>
      <c r="F162" s="341"/>
    </row>
    <row r="163" spans="2:6" x14ac:dyDescent="0.2">
      <c r="B163" s="750">
        <v>0</v>
      </c>
      <c r="C163" s="334" t="s">
        <v>732</v>
      </c>
      <c r="D163" s="334"/>
      <c r="E163" s="334"/>
      <c r="F163" s="751"/>
    </row>
    <row r="164" spans="2:6" x14ac:dyDescent="0.2">
      <c r="B164" s="750">
        <v>1</v>
      </c>
      <c r="C164" s="334" t="s">
        <v>825</v>
      </c>
      <c r="D164" s="334"/>
      <c r="E164" s="334"/>
      <c r="F164" s="751"/>
    </row>
    <row r="165" spans="2:6" x14ac:dyDescent="0.2">
      <c r="B165" s="750">
        <v>2</v>
      </c>
      <c r="C165" s="334" t="s">
        <v>826</v>
      </c>
      <c r="D165" s="334"/>
      <c r="E165" s="334"/>
      <c r="F165" s="751"/>
    </row>
    <row r="166" spans="2:6" x14ac:dyDescent="0.2">
      <c r="B166" s="750">
        <v>3</v>
      </c>
      <c r="C166" s="334" t="s">
        <v>735</v>
      </c>
      <c r="D166" s="334"/>
      <c r="E166" s="334"/>
      <c r="F166" s="751"/>
    </row>
    <row r="167" spans="2:6" x14ac:dyDescent="0.2">
      <c r="B167" s="750">
        <v>4</v>
      </c>
      <c r="C167" s="334" t="s">
        <v>736</v>
      </c>
      <c r="E167" s="334"/>
      <c r="F167" s="751"/>
    </row>
    <row r="168" spans="2:6" x14ac:dyDescent="0.2">
      <c r="B168" s="750">
        <v>5</v>
      </c>
      <c r="C168" s="334" t="s">
        <v>827</v>
      </c>
      <c r="D168" s="334"/>
      <c r="E168" s="334"/>
      <c r="F168" s="751"/>
    </row>
    <row r="169" spans="2:6" x14ac:dyDescent="0.2">
      <c r="B169" s="750">
        <v>6</v>
      </c>
      <c r="C169" s="334" t="s">
        <v>737</v>
      </c>
      <c r="D169" s="334"/>
      <c r="E169" s="334"/>
      <c r="F169" s="751"/>
    </row>
    <row r="170" spans="2:6" x14ac:dyDescent="0.2">
      <c r="B170" s="750" t="s">
        <v>832</v>
      </c>
      <c r="C170" s="299" t="s">
        <v>219</v>
      </c>
      <c r="D170" s="299"/>
      <c r="E170" s="299"/>
      <c r="F170" s="345"/>
    </row>
    <row r="171" spans="2:6" x14ac:dyDescent="0.2">
      <c r="B171" s="747" t="str">
        <f>language!$B$144</f>
        <v>Choisir</v>
      </c>
      <c r="C171" s="752"/>
      <c r="D171" s="752"/>
      <c r="E171" s="752"/>
      <c r="F171" s="753"/>
    </row>
  </sheetData>
  <mergeCells count="41">
    <mergeCell ref="K51:L51"/>
    <mergeCell ref="B16:B17"/>
    <mergeCell ref="H16:H17"/>
    <mergeCell ref="E36:F36"/>
    <mergeCell ref="K36:L36"/>
    <mergeCell ref="K38:L38"/>
    <mergeCell ref="K39:L39"/>
    <mergeCell ref="K40:L40"/>
    <mergeCell ref="E43:F43"/>
    <mergeCell ref="K50:L50"/>
    <mergeCell ref="K43:L43"/>
    <mergeCell ref="E50:G50"/>
    <mergeCell ref="K45:L45"/>
    <mergeCell ref="K46:L46"/>
    <mergeCell ref="E45:F45"/>
    <mergeCell ref="K6:L6"/>
    <mergeCell ref="B59:L59"/>
    <mergeCell ref="B58:L58"/>
    <mergeCell ref="F55:L55"/>
    <mergeCell ref="E42:F42"/>
    <mergeCell ref="K42:L42"/>
    <mergeCell ref="B50:C50"/>
    <mergeCell ref="B51:C51"/>
    <mergeCell ref="K53:L53"/>
    <mergeCell ref="E53:G53"/>
    <mergeCell ref="K10:L10"/>
    <mergeCell ref="K11:L11"/>
    <mergeCell ref="F56:H56"/>
    <mergeCell ref="E38:F38"/>
    <mergeCell ref="E39:F39"/>
    <mergeCell ref="E51:G51"/>
    <mergeCell ref="H68:I68"/>
    <mergeCell ref="E67:F67"/>
    <mergeCell ref="H67:I67"/>
    <mergeCell ref="B63:F63"/>
    <mergeCell ref="E40:F40"/>
    <mergeCell ref="B62:F62"/>
    <mergeCell ref="B53:C53"/>
    <mergeCell ref="D61:F61"/>
    <mergeCell ref="E68:F68"/>
    <mergeCell ref="E46:F46"/>
  </mergeCells>
  <phoneticPr fontId="41" type="noConversion"/>
  <conditionalFormatting sqref="D17 F17 J17 L17">
    <cfRule type="cellIs" dxfId="13" priority="1" stopIfTrue="1" operator="lessThan">
      <formula>-5.1</formula>
    </cfRule>
  </conditionalFormatting>
  <conditionalFormatting sqref="C17 E17 I17 K17">
    <cfRule type="cellIs" dxfId="12" priority="2" stopIfTrue="1" operator="between">
      <formula>5.1</formula>
      <formula>500</formula>
    </cfRule>
  </conditionalFormatting>
  <conditionalFormatting sqref="B133">
    <cfRule type="expression" dxfId="11" priority="3" stopIfTrue="1">
      <formula>$D$133&lt;$D$134</formula>
    </cfRule>
  </conditionalFormatting>
  <conditionalFormatting sqref="B134">
    <cfRule type="expression" dxfId="10" priority="4" stopIfTrue="1">
      <formula>$D$134&lt;$D$133</formula>
    </cfRule>
  </conditionalFormatting>
  <conditionalFormatting sqref="B139 B150 B156:B157">
    <cfRule type="expression" dxfId="9" priority="5" stopIfTrue="1">
      <formula>$D$139&gt;$D$140</formula>
    </cfRule>
  </conditionalFormatting>
  <conditionalFormatting sqref="B151 B140">
    <cfRule type="expression" dxfId="8" priority="6" stopIfTrue="1">
      <formula>$D$140&gt;$D$139</formula>
    </cfRule>
  </conditionalFormatting>
  <conditionalFormatting sqref="J10">
    <cfRule type="cellIs" dxfId="7" priority="7" stopIfTrue="1" operator="equal">
      <formula>$B$171</formula>
    </cfRule>
  </conditionalFormatting>
  <conditionalFormatting sqref="J11">
    <cfRule type="cellIs" dxfId="6" priority="8" stopIfTrue="1" operator="equal">
      <formula>$B$101</formula>
    </cfRule>
  </conditionalFormatting>
  <conditionalFormatting sqref="L12">
    <cfRule type="cellIs" dxfId="5" priority="9" stopIfTrue="1" operator="equal">
      <formula>$B$106</formula>
    </cfRule>
  </conditionalFormatting>
  <conditionalFormatting sqref="F56:H56">
    <cfRule type="cellIs" dxfId="4" priority="10" stopIfTrue="1" operator="equal">
      <formula>$B$159</formula>
    </cfRule>
  </conditionalFormatting>
  <conditionalFormatting sqref="B58:L58">
    <cfRule type="cellIs" dxfId="3" priority="11" stopIfTrue="1" operator="equal">
      <formula>$B$116</formula>
    </cfRule>
  </conditionalFormatting>
  <conditionalFormatting sqref="E10:E11 F55:L55 I56 C23 C34 I23 I34">
    <cfRule type="cellIs" dxfId="2" priority="12" stopIfTrue="1" operator="equal">
      <formula>$B$130</formula>
    </cfRule>
  </conditionalFormatting>
  <dataValidations xWindow="435" yWindow="189" count="8">
    <dataValidation type="decimal" operator="greaterThan" allowBlank="1" showErrorMessage="1" errorTitle="Pressurisation" error="Valeur positive!" sqref="I24:I33" xr:uid="{00000000-0002-0000-0300-000000000000}">
      <formula1>0</formula1>
    </dataValidation>
    <dataValidation type="decimal" operator="greaterThan" allowBlank="1" showInputMessage="1" showErrorMessage="1" errorTitle="Ventilateur Pression" error="Valeur positive! " sqref="J24:J33 D24:D33" xr:uid="{00000000-0002-0000-0300-000001000000}">
      <formula1>0</formula1>
    </dataValidation>
    <dataValidation type="list" errorStyle="warning" allowBlank="1" errorTitle="Referenzmeßstellen" error="Sie haben einen Wert eingegeben, der nicht definiert ist." sqref="L12" xr:uid="{00000000-0002-0000-0300-000002000000}">
      <formula1>$B$104:$B$106</formula1>
    </dataValidation>
    <dataValidation type="decimal" operator="lessThan" allowBlank="1" showErrorMessage="1" errorTitle="Dépressurisation" error="Valeur négative!_x000a_" promptTitle="minus" sqref="C24:C33" xr:uid="{00000000-0002-0000-0300-000003000000}">
      <formula1>0</formula1>
    </dataValidation>
    <dataValidation type="list" allowBlank="1" sqref="B58" xr:uid="{00000000-0002-0000-0300-000004000000}">
      <formula1>$B$114:$B$116</formula1>
    </dataValidation>
    <dataValidation type="list" allowBlank="1" showInputMessage="1" sqref="F56:H56" xr:uid="{00000000-0002-0000-0300-000005000000}">
      <formula1>$B$155:$B$159</formula1>
    </dataValidation>
    <dataValidation type="list" allowBlank="1" sqref="J10" xr:uid="{00000000-0002-0000-0300-000006000000}">
      <formula1>$B$163:$B$171</formula1>
    </dataValidation>
    <dataValidation type="list" errorStyle="warning" allowBlank="1" errorTitle="Gebäudestandort" error="Bitte nur die Buchstaben_x000a_A, B oder C eingeben." promptTitle="Gebäudestandort" prompt="A: sehr geschütztes Gebäude_x000a_B: Teilweise exponiertes Gebäude_x000a_C: Sehr exponiertes Gebäude" sqref="J11" xr:uid="{00000000-0002-0000-0300-000007000000}">
      <formula1>$B$98:$B$101</formula1>
    </dataValidation>
  </dataValidations>
  <printOptions horizontalCentered="1"/>
  <pageMargins left="0.59055118110236227" right="0.43" top="0.74" bottom="0.82677165354330717" header="0.31496062992125984" footer="0.62992125984251968"/>
  <pageSetup paperSize="9" scale="83" pageOrder="overThenDown" orientation="portrait" blackAndWhite="1" horizontalDpi="300" verticalDpi="300" r:id="rId1"/>
  <headerFooter alignWithMargins="0">
    <oddFooter>&amp;L&amp;8                  &amp;F&amp;C&amp;8 08-2010fr TTE 3.6&amp;R2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83" r:id="rId4" name="Button 259">
              <controlPr defaultSize="0" print="0" autoFill="0" autoLine="0" autoPict="0" macro="[0]!tabLuftdruck">
                <anchor moveWithCells="1">
                  <from>
                    <xdr:col>1</xdr:col>
                    <xdr:colOff>28575</xdr:colOff>
                    <xdr:row>10</xdr:row>
                    <xdr:rowOff>171450</xdr:rowOff>
                  </from>
                  <to>
                    <xdr:col>3</xdr:col>
                    <xdr:colOff>447675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5" name="Button 262">
              <controlPr defaultSize="0" print="0" autoFill="0" autoLine="0" autoPict="0" macro="[0]!tabNatDruckdifferenzen">
                <anchor moveWithCells="1">
                  <from>
                    <xdr:col>1</xdr:col>
                    <xdr:colOff>66675</xdr:colOff>
                    <xdr:row>15</xdr:row>
                    <xdr:rowOff>38100</xdr:rowOff>
                  </from>
                  <to>
                    <xdr:col>1</xdr:col>
                    <xdr:colOff>676275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6" name="Button 263">
              <controlPr defaultSize="0" print="0" autoFill="0" autoLine="0" autoPict="0" macro="[0]!tabNatDruckdifferenzen">
                <anchor moveWithCells="1">
                  <from>
                    <xdr:col>7</xdr:col>
                    <xdr:colOff>38100</xdr:colOff>
                    <xdr:row>15</xdr:row>
                    <xdr:rowOff>28575</xdr:rowOff>
                  </from>
                  <to>
                    <xdr:col>7</xdr:col>
                    <xdr:colOff>647700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7" name="Button 264">
              <controlPr defaultSize="0" print="0" autoFill="0" autoLine="0" autoPict="0" macro="[0]!tabBemerkungen">
                <anchor moveWithCells="1">
                  <from>
                    <xdr:col>7</xdr:col>
                    <xdr:colOff>285750</xdr:colOff>
                    <xdr:row>67</xdr:row>
                    <xdr:rowOff>0</xdr:rowOff>
                  </from>
                  <to>
                    <xdr:col>8</xdr:col>
                    <xdr:colOff>409575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8" name="Button 265">
              <controlPr defaultSize="0" print="0" autoFill="0" autoLine="0" autoPict="0" macro="[0]!tabNatDruckdifferenzen">
                <anchor moveWithCells="1">
                  <from>
                    <xdr:col>4</xdr:col>
                    <xdr:colOff>381000</xdr:colOff>
                    <xdr:row>67</xdr:row>
                    <xdr:rowOff>0</xdr:rowOff>
                  </from>
                  <to>
                    <xdr:col>5</xdr:col>
                    <xdr:colOff>238125</xdr:colOff>
                    <xdr:row>68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2C010-D217-4C52-BE95-DB80B8C9C479}">
  <sheetPr codeName="Tabelle21">
    <pageSetUpPr fitToPage="1"/>
  </sheetPr>
  <dimension ref="A1:V130"/>
  <sheetViews>
    <sheetView showGridLines="0" topLeftCell="A91" zoomScaleNormal="100" workbookViewId="0">
      <selection activeCell="B114" sqref="B114"/>
    </sheetView>
  </sheetViews>
  <sheetFormatPr baseColWidth="10" defaultRowHeight="12.75" x14ac:dyDescent="0.2"/>
  <cols>
    <col min="1" max="1" width="1" style="298" customWidth="1"/>
    <col min="2" max="2" width="9.42578125" style="298" customWidth="1"/>
    <col min="3" max="6" width="9.7109375" style="298" customWidth="1"/>
    <col min="7" max="7" width="1" style="298" customWidth="1"/>
    <col min="8" max="8" width="9.42578125" style="298" customWidth="1"/>
    <col min="9" max="9" width="10.140625" style="298" customWidth="1"/>
    <col min="10" max="12" width="9.7109375" style="298" customWidth="1"/>
    <col min="13" max="13" width="1" style="298" customWidth="1"/>
    <col min="14" max="14" width="18" style="336" customWidth="1"/>
    <col min="15" max="16" width="10.7109375" style="298" customWidth="1"/>
    <col min="17" max="17" width="10.5703125" style="298" customWidth="1"/>
    <col min="18" max="18" width="39.7109375" style="306" customWidth="1"/>
    <col min="19" max="19" width="10.7109375" style="335" customWidth="1"/>
    <col min="20" max="21" width="10.7109375" style="298" customWidth="1"/>
    <col min="22" max="22" width="10.7109375" style="335" customWidth="1"/>
    <col min="23" max="23" width="10.7109375" style="298" customWidth="1"/>
    <col min="24" max="24" width="11.140625" style="298" customWidth="1"/>
    <col min="25" max="25" width="10.7109375" style="298" customWidth="1"/>
    <col min="26" max="16384" width="11.42578125" style="298"/>
  </cols>
  <sheetData>
    <row r="1" spans="1:14" ht="21" customHeight="1" x14ac:dyDescent="0.35">
      <c r="A1" s="231"/>
      <c r="B1" s="231"/>
      <c r="C1" s="231"/>
      <c r="D1" s="231"/>
      <c r="E1" s="231"/>
      <c r="F1" s="231"/>
      <c r="G1" s="535" t="str">
        <f>Batiment_Info!E1</f>
        <v>Test d'étanchéité à l'air</v>
      </c>
      <c r="H1" s="231"/>
      <c r="I1" s="231"/>
      <c r="J1" s="231"/>
      <c r="K1" s="536"/>
      <c r="L1" s="537"/>
      <c r="M1" s="231"/>
      <c r="N1" s="366"/>
    </row>
    <row r="2" spans="1:14" ht="15.75" x14ac:dyDescent="0.25">
      <c r="A2" s="231"/>
      <c r="B2" s="231"/>
      <c r="C2" s="231"/>
      <c r="D2" s="231"/>
      <c r="E2" s="231"/>
      <c r="F2" s="231"/>
      <c r="G2" s="538" t="str">
        <f>Batiment_Info!E2</f>
        <v>NF EN 13829</v>
      </c>
      <c r="H2" s="231"/>
      <c r="I2" s="231"/>
      <c r="J2" s="231"/>
      <c r="K2" s="231"/>
      <c r="L2" s="231"/>
      <c r="M2" s="231"/>
      <c r="N2" s="367"/>
    </row>
    <row r="3" spans="1:14" ht="15.75" x14ac:dyDescent="0.25">
      <c r="A3" s="231"/>
      <c r="B3" s="231"/>
      <c r="C3" s="231"/>
      <c r="D3" s="231"/>
      <c r="E3" s="231"/>
      <c r="F3" s="231"/>
      <c r="G3" s="538" t="str">
        <f>language!B155</f>
        <v>Flux zéro (valeur de référence) et précision</v>
      </c>
      <c r="H3" s="231"/>
      <c r="I3" s="231"/>
      <c r="J3" s="231"/>
      <c r="K3" s="231"/>
      <c r="L3" s="231"/>
      <c r="M3" s="231"/>
      <c r="N3" s="367"/>
    </row>
    <row r="4" spans="1:14" ht="12" customHeight="1" x14ac:dyDescent="0.2">
      <c r="A4" s="231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98"/>
    </row>
    <row r="5" spans="1:14" ht="14.25" x14ac:dyDescent="0.2">
      <c r="A5" s="231"/>
      <c r="B5" s="540" t="str">
        <f>Donnees_Test!B5</f>
        <v>Projet :</v>
      </c>
      <c r="C5" s="541" t="str">
        <f>CONCATENATE(Batiment_Info!B7," ",Batiment_Info!B8)</f>
        <v xml:space="preserve"> </v>
      </c>
      <c r="D5" s="542"/>
      <c r="E5" s="542"/>
      <c r="F5" s="543"/>
      <c r="G5" s="231"/>
      <c r="H5" s="596" t="str">
        <f>Donnees_Test!H5</f>
        <v>Technicien :</v>
      </c>
      <c r="I5" s="597" t="str">
        <f>Batiment_Info!G16</f>
        <v/>
      </c>
      <c r="J5" s="544"/>
      <c r="K5" s="542"/>
      <c r="L5" s="543"/>
      <c r="M5" s="231"/>
      <c r="N5" s="367"/>
    </row>
    <row r="6" spans="1:14" ht="14.25" x14ac:dyDescent="0.2">
      <c r="A6" s="231"/>
      <c r="B6" s="545"/>
      <c r="C6" s="546" t="str">
        <f>Batiment_Info!B10</f>
        <v/>
      </c>
      <c r="D6" s="547"/>
      <c r="E6" s="547"/>
      <c r="F6" s="548"/>
      <c r="G6" s="231"/>
      <c r="H6" s="598" t="str">
        <f>Donnees_Test!H6</f>
        <v>Date :</v>
      </c>
      <c r="I6" s="550" t="str">
        <f>Batiment_Info!D12</f>
        <v/>
      </c>
      <c r="J6" s="599"/>
      <c r="K6" s="930"/>
      <c r="L6" s="931"/>
      <c r="M6" s="231"/>
      <c r="N6" s="367"/>
    </row>
    <row r="7" spans="1:14" ht="10.5" customHeight="1" x14ac:dyDescent="0.25">
      <c r="A7" s="231"/>
      <c r="B7" s="437"/>
      <c r="C7" s="213"/>
      <c r="D7" s="516"/>
      <c r="E7" s="231"/>
      <c r="F7" s="231"/>
      <c r="G7" s="231"/>
      <c r="H7" s="231"/>
      <c r="I7" s="231"/>
      <c r="J7" s="231"/>
      <c r="K7" s="231"/>
      <c r="L7" s="231"/>
      <c r="M7" s="231"/>
      <c r="N7" s="367"/>
    </row>
    <row r="8" spans="1:14" ht="15" x14ac:dyDescent="0.25">
      <c r="A8" s="231"/>
      <c r="B8" s="453" t="str">
        <f>language!B156</f>
        <v>Dépressurisation</v>
      </c>
      <c r="C8" s="213"/>
      <c r="D8" s="516"/>
      <c r="E8" s="231"/>
      <c r="F8" s="231"/>
      <c r="G8" s="231"/>
      <c r="H8" s="453" t="str">
        <f>language!B157</f>
        <v>Pressurisation</v>
      </c>
      <c r="I8" s="231"/>
      <c r="J8" s="231"/>
      <c r="K8" s="231"/>
      <c r="L8" s="231"/>
      <c r="M8" s="231"/>
      <c r="N8" s="367"/>
    </row>
    <row r="9" spans="1:14" ht="5.45" customHeight="1" x14ac:dyDescent="0.2">
      <c r="A9" s="231"/>
      <c r="B9" s="231"/>
      <c r="C9" s="231"/>
      <c r="D9" s="536"/>
      <c r="E9" s="559"/>
      <c r="F9" s="231"/>
      <c r="G9" s="516"/>
      <c r="H9" s="231"/>
      <c r="I9" s="231"/>
      <c r="J9" s="231"/>
      <c r="K9" s="231"/>
      <c r="L9" s="231"/>
      <c r="M9" s="231"/>
      <c r="N9" s="367"/>
    </row>
    <row r="10" spans="1:14" ht="14.25" x14ac:dyDescent="0.2">
      <c r="A10" s="231"/>
      <c r="B10" s="924" t="str">
        <f>language!B158</f>
        <v>Valeur mesurée</v>
      </c>
      <c r="C10" s="921" t="str">
        <f>language!B159</f>
        <v>Différence de pression du flux zéro</v>
      </c>
      <c r="D10" s="922"/>
      <c r="E10" s="922"/>
      <c r="F10" s="923"/>
      <c r="G10" s="516"/>
      <c r="H10" s="924" t="str">
        <f>B10</f>
        <v>Valeur mesurée</v>
      </c>
      <c r="I10" s="921" t="str">
        <f>C10</f>
        <v>Différence de pression du flux zéro</v>
      </c>
      <c r="J10" s="922"/>
      <c r="K10" s="922"/>
      <c r="L10" s="923"/>
      <c r="M10" s="231"/>
      <c r="N10" s="367"/>
    </row>
    <row r="11" spans="1:14" ht="14.25" x14ac:dyDescent="0.2">
      <c r="A11" s="231"/>
      <c r="B11" s="925"/>
      <c r="C11" s="600" t="str">
        <f>language!B160</f>
        <v>Au début</v>
      </c>
      <c r="D11" s="601"/>
      <c r="E11" s="602" t="str">
        <f>language!B161</f>
        <v>A la fin</v>
      </c>
      <c r="F11" s="603"/>
      <c r="G11" s="516"/>
      <c r="H11" s="925"/>
      <c r="I11" s="600" t="str">
        <f>C11</f>
        <v>Au début</v>
      </c>
      <c r="J11" s="601"/>
      <c r="K11" s="602" t="str">
        <f>E11</f>
        <v>A la fin</v>
      </c>
      <c r="L11" s="603"/>
      <c r="M11" s="231"/>
      <c r="N11" s="367"/>
    </row>
    <row r="12" spans="1:14" ht="14.25" x14ac:dyDescent="0.2">
      <c r="A12" s="231"/>
      <c r="B12" s="604">
        <v>1</v>
      </c>
      <c r="C12" s="828"/>
      <c r="D12" s="825"/>
      <c r="E12" s="831"/>
      <c r="F12" s="834"/>
      <c r="G12" s="516"/>
      <c r="H12" s="604">
        <v>1</v>
      </c>
      <c r="I12" s="828"/>
      <c r="J12" s="825"/>
      <c r="K12" s="831"/>
      <c r="L12" s="834"/>
      <c r="M12" s="231"/>
      <c r="N12" s="367"/>
    </row>
    <row r="13" spans="1:14" ht="14.25" x14ac:dyDescent="0.2">
      <c r="A13" s="231"/>
      <c r="B13" s="605">
        <v>2</v>
      </c>
      <c r="C13" s="829"/>
      <c r="D13" s="826"/>
      <c r="E13" s="832"/>
      <c r="F13" s="835"/>
      <c r="G13" s="516"/>
      <c r="H13" s="605">
        <v>2</v>
      </c>
      <c r="I13" s="829"/>
      <c r="J13" s="826"/>
      <c r="K13" s="832"/>
      <c r="L13" s="835"/>
      <c r="M13" s="231"/>
      <c r="N13" s="367"/>
    </row>
    <row r="14" spans="1:14" ht="14.25" x14ac:dyDescent="0.2">
      <c r="A14" s="231"/>
      <c r="B14" s="605">
        <v>3</v>
      </c>
      <c r="C14" s="829"/>
      <c r="D14" s="826"/>
      <c r="E14" s="832"/>
      <c r="F14" s="835"/>
      <c r="G14" s="516"/>
      <c r="H14" s="605">
        <v>3</v>
      </c>
      <c r="I14" s="829"/>
      <c r="J14" s="826"/>
      <c r="K14" s="832"/>
      <c r="L14" s="835"/>
      <c r="M14" s="231"/>
      <c r="N14" s="367"/>
    </row>
    <row r="15" spans="1:14" ht="14.25" x14ac:dyDescent="0.2">
      <c r="A15" s="231"/>
      <c r="B15" s="605">
        <v>4</v>
      </c>
      <c r="C15" s="829"/>
      <c r="D15" s="826"/>
      <c r="E15" s="832"/>
      <c r="F15" s="835"/>
      <c r="G15" s="516"/>
      <c r="H15" s="605">
        <v>4</v>
      </c>
      <c r="I15" s="829"/>
      <c r="J15" s="826"/>
      <c r="K15" s="832"/>
      <c r="L15" s="835"/>
      <c r="M15" s="231"/>
      <c r="N15" s="367"/>
    </row>
    <row r="16" spans="1:14" ht="14.25" x14ac:dyDescent="0.2">
      <c r="A16" s="231"/>
      <c r="B16" s="605">
        <v>5</v>
      </c>
      <c r="C16" s="829"/>
      <c r="D16" s="826"/>
      <c r="E16" s="832"/>
      <c r="F16" s="835"/>
      <c r="G16" s="516"/>
      <c r="H16" s="605">
        <v>5</v>
      </c>
      <c r="I16" s="829"/>
      <c r="J16" s="826"/>
      <c r="K16" s="832"/>
      <c r="L16" s="835"/>
      <c r="M16" s="231"/>
      <c r="N16" s="367"/>
    </row>
    <row r="17" spans="1:14" ht="14.25" x14ac:dyDescent="0.2">
      <c r="A17" s="231"/>
      <c r="B17" s="605">
        <v>6</v>
      </c>
      <c r="C17" s="829"/>
      <c r="D17" s="826"/>
      <c r="E17" s="832"/>
      <c r="F17" s="835"/>
      <c r="G17" s="516"/>
      <c r="H17" s="605">
        <v>6</v>
      </c>
      <c r="I17" s="829"/>
      <c r="J17" s="826"/>
      <c r="K17" s="832"/>
      <c r="L17" s="835"/>
      <c r="M17" s="231"/>
      <c r="N17" s="367"/>
    </row>
    <row r="18" spans="1:14" ht="14.25" x14ac:dyDescent="0.2">
      <c r="A18" s="231"/>
      <c r="B18" s="605">
        <v>7</v>
      </c>
      <c r="C18" s="829"/>
      <c r="D18" s="826"/>
      <c r="E18" s="832"/>
      <c r="F18" s="835"/>
      <c r="G18" s="516"/>
      <c r="H18" s="605">
        <v>7</v>
      </c>
      <c r="I18" s="829"/>
      <c r="J18" s="826"/>
      <c r="K18" s="832"/>
      <c r="L18" s="835"/>
      <c r="M18" s="231"/>
      <c r="N18" s="367"/>
    </row>
    <row r="19" spans="1:14" ht="14.25" x14ac:dyDescent="0.2">
      <c r="A19" s="231"/>
      <c r="B19" s="605">
        <v>8</v>
      </c>
      <c r="C19" s="829"/>
      <c r="D19" s="826"/>
      <c r="E19" s="832"/>
      <c r="F19" s="835"/>
      <c r="G19" s="516"/>
      <c r="H19" s="605">
        <v>8</v>
      </c>
      <c r="I19" s="829"/>
      <c r="J19" s="826"/>
      <c r="K19" s="832"/>
      <c r="L19" s="835"/>
      <c r="M19" s="231"/>
      <c r="N19" s="367"/>
    </row>
    <row r="20" spans="1:14" ht="14.25" x14ac:dyDescent="0.2">
      <c r="A20" s="231"/>
      <c r="B20" s="605">
        <v>9</v>
      </c>
      <c r="C20" s="829"/>
      <c r="D20" s="826"/>
      <c r="E20" s="832"/>
      <c r="F20" s="835"/>
      <c r="G20" s="516"/>
      <c r="H20" s="605">
        <v>9</v>
      </c>
      <c r="I20" s="829"/>
      <c r="J20" s="826"/>
      <c r="K20" s="832"/>
      <c r="L20" s="835"/>
      <c r="M20" s="231"/>
      <c r="N20" s="367"/>
    </row>
    <row r="21" spans="1:14" ht="14.25" x14ac:dyDescent="0.2">
      <c r="A21" s="231"/>
      <c r="B21" s="605">
        <v>10</v>
      </c>
      <c r="C21" s="829"/>
      <c r="D21" s="826"/>
      <c r="E21" s="832"/>
      <c r="F21" s="835"/>
      <c r="G21" s="516"/>
      <c r="H21" s="605">
        <v>10</v>
      </c>
      <c r="I21" s="829"/>
      <c r="J21" s="826"/>
      <c r="K21" s="832"/>
      <c r="L21" s="835"/>
      <c r="M21" s="231"/>
      <c r="N21" s="367"/>
    </row>
    <row r="22" spans="1:14" ht="14.25" x14ac:dyDescent="0.2">
      <c r="A22" s="231"/>
      <c r="B22" s="605">
        <v>11</v>
      </c>
      <c r="C22" s="829"/>
      <c r="D22" s="826"/>
      <c r="E22" s="832"/>
      <c r="F22" s="835"/>
      <c r="G22" s="516"/>
      <c r="H22" s="605">
        <v>11</v>
      </c>
      <c r="I22" s="829"/>
      <c r="J22" s="826"/>
      <c r="K22" s="832"/>
      <c r="L22" s="835"/>
      <c r="M22" s="231"/>
      <c r="N22" s="367"/>
    </row>
    <row r="23" spans="1:14" ht="14.25" x14ac:dyDescent="0.2">
      <c r="A23" s="231"/>
      <c r="B23" s="605">
        <v>12</v>
      </c>
      <c r="C23" s="829"/>
      <c r="D23" s="826"/>
      <c r="E23" s="832"/>
      <c r="F23" s="835"/>
      <c r="G23" s="516"/>
      <c r="H23" s="605">
        <v>12</v>
      </c>
      <c r="I23" s="829"/>
      <c r="J23" s="826"/>
      <c r="K23" s="832"/>
      <c r="L23" s="835"/>
      <c r="M23" s="231"/>
      <c r="N23" s="367"/>
    </row>
    <row r="24" spans="1:14" ht="14.25" x14ac:dyDescent="0.2">
      <c r="A24" s="231"/>
      <c r="B24" s="605">
        <v>13</v>
      </c>
      <c r="C24" s="829"/>
      <c r="D24" s="826"/>
      <c r="E24" s="832"/>
      <c r="F24" s="835"/>
      <c r="G24" s="516"/>
      <c r="H24" s="605">
        <v>13</v>
      </c>
      <c r="I24" s="829"/>
      <c r="J24" s="826"/>
      <c r="K24" s="832"/>
      <c r="L24" s="835"/>
      <c r="M24" s="231"/>
      <c r="N24" s="367"/>
    </row>
    <row r="25" spans="1:14" ht="14.25" x14ac:dyDescent="0.2">
      <c r="A25" s="231"/>
      <c r="B25" s="605">
        <v>14</v>
      </c>
      <c r="C25" s="829"/>
      <c r="D25" s="826"/>
      <c r="E25" s="832"/>
      <c r="F25" s="835"/>
      <c r="G25" s="516"/>
      <c r="H25" s="605">
        <v>14</v>
      </c>
      <c r="I25" s="829"/>
      <c r="J25" s="826"/>
      <c r="K25" s="832"/>
      <c r="L25" s="835"/>
      <c r="M25" s="231"/>
      <c r="N25" s="367"/>
    </row>
    <row r="26" spans="1:14" ht="14.25" x14ac:dyDescent="0.2">
      <c r="A26" s="231"/>
      <c r="B26" s="605">
        <v>15</v>
      </c>
      <c r="C26" s="829"/>
      <c r="D26" s="826"/>
      <c r="E26" s="832"/>
      <c r="F26" s="835"/>
      <c r="G26" s="516"/>
      <c r="H26" s="605">
        <v>15</v>
      </c>
      <c r="I26" s="829"/>
      <c r="J26" s="826"/>
      <c r="K26" s="832"/>
      <c r="L26" s="835"/>
      <c r="M26" s="231"/>
      <c r="N26" s="367"/>
    </row>
    <row r="27" spans="1:14" ht="14.25" x14ac:dyDescent="0.2">
      <c r="A27" s="231"/>
      <c r="B27" s="605">
        <v>16</v>
      </c>
      <c r="C27" s="829"/>
      <c r="D27" s="826"/>
      <c r="E27" s="832"/>
      <c r="F27" s="835"/>
      <c r="G27" s="516"/>
      <c r="H27" s="605">
        <v>16</v>
      </c>
      <c r="I27" s="829"/>
      <c r="J27" s="826"/>
      <c r="K27" s="832"/>
      <c r="L27" s="835"/>
      <c r="M27" s="231"/>
      <c r="N27" s="367"/>
    </row>
    <row r="28" spans="1:14" ht="14.25" x14ac:dyDescent="0.2">
      <c r="A28" s="231"/>
      <c r="B28" s="605">
        <v>17</v>
      </c>
      <c r="C28" s="829"/>
      <c r="D28" s="826"/>
      <c r="E28" s="832"/>
      <c r="F28" s="835"/>
      <c r="G28" s="516"/>
      <c r="H28" s="605">
        <v>17</v>
      </c>
      <c r="I28" s="829"/>
      <c r="J28" s="826"/>
      <c r="K28" s="832"/>
      <c r="L28" s="835"/>
      <c r="M28" s="231"/>
      <c r="N28" s="367"/>
    </row>
    <row r="29" spans="1:14" ht="14.25" x14ac:dyDescent="0.2">
      <c r="A29" s="231"/>
      <c r="B29" s="605">
        <v>18</v>
      </c>
      <c r="C29" s="829"/>
      <c r="D29" s="826"/>
      <c r="E29" s="832"/>
      <c r="F29" s="835"/>
      <c r="G29" s="516"/>
      <c r="H29" s="605">
        <v>18</v>
      </c>
      <c r="I29" s="829"/>
      <c r="J29" s="826"/>
      <c r="K29" s="832"/>
      <c r="L29" s="835"/>
      <c r="M29" s="231"/>
      <c r="N29" s="367"/>
    </row>
    <row r="30" spans="1:14" ht="14.25" x14ac:dyDescent="0.2">
      <c r="A30" s="231"/>
      <c r="B30" s="605">
        <v>19</v>
      </c>
      <c r="C30" s="829"/>
      <c r="D30" s="826"/>
      <c r="E30" s="832"/>
      <c r="F30" s="835"/>
      <c r="G30" s="516"/>
      <c r="H30" s="605">
        <v>19</v>
      </c>
      <c r="I30" s="829"/>
      <c r="J30" s="826"/>
      <c r="K30" s="832"/>
      <c r="L30" s="835"/>
      <c r="M30" s="231"/>
      <c r="N30" s="367"/>
    </row>
    <row r="31" spans="1:14" ht="14.25" x14ac:dyDescent="0.2">
      <c r="A31" s="231"/>
      <c r="B31" s="605">
        <v>20</v>
      </c>
      <c r="C31" s="829"/>
      <c r="D31" s="826"/>
      <c r="E31" s="832"/>
      <c r="F31" s="835"/>
      <c r="G31" s="516"/>
      <c r="H31" s="605">
        <v>20</v>
      </c>
      <c r="I31" s="829"/>
      <c r="J31" s="826"/>
      <c r="K31" s="832"/>
      <c r="L31" s="835"/>
      <c r="M31" s="231"/>
      <c r="N31" s="367"/>
    </row>
    <row r="32" spans="1:14" ht="14.25" x14ac:dyDescent="0.2">
      <c r="A32" s="231"/>
      <c r="B32" s="605">
        <v>21</v>
      </c>
      <c r="C32" s="829"/>
      <c r="D32" s="826"/>
      <c r="E32" s="832"/>
      <c r="F32" s="835"/>
      <c r="G32" s="516"/>
      <c r="H32" s="605">
        <v>21</v>
      </c>
      <c r="I32" s="829"/>
      <c r="J32" s="826"/>
      <c r="K32" s="832"/>
      <c r="L32" s="835"/>
      <c r="M32" s="231"/>
      <c r="N32" s="367"/>
    </row>
    <row r="33" spans="1:14" ht="14.25" x14ac:dyDescent="0.2">
      <c r="A33" s="231"/>
      <c r="B33" s="605">
        <v>22</v>
      </c>
      <c r="C33" s="829"/>
      <c r="D33" s="826"/>
      <c r="E33" s="832"/>
      <c r="F33" s="835"/>
      <c r="G33" s="516"/>
      <c r="H33" s="605">
        <v>22</v>
      </c>
      <c r="I33" s="829"/>
      <c r="J33" s="826"/>
      <c r="K33" s="832"/>
      <c r="L33" s="835"/>
      <c r="M33" s="231"/>
      <c r="N33" s="367"/>
    </row>
    <row r="34" spans="1:14" ht="14.25" x14ac:dyDescent="0.2">
      <c r="A34" s="231"/>
      <c r="B34" s="605">
        <v>23</v>
      </c>
      <c r="C34" s="829"/>
      <c r="D34" s="826"/>
      <c r="E34" s="832"/>
      <c r="F34" s="835"/>
      <c r="G34" s="516"/>
      <c r="H34" s="605">
        <v>23</v>
      </c>
      <c r="I34" s="829"/>
      <c r="J34" s="826"/>
      <c r="K34" s="832"/>
      <c r="L34" s="835"/>
      <c r="M34" s="231"/>
      <c r="N34" s="367"/>
    </row>
    <row r="35" spans="1:14" ht="14.25" x14ac:dyDescent="0.2">
      <c r="A35" s="231"/>
      <c r="B35" s="605">
        <v>24</v>
      </c>
      <c r="C35" s="829"/>
      <c r="D35" s="826"/>
      <c r="E35" s="832"/>
      <c r="F35" s="835"/>
      <c r="G35" s="516"/>
      <c r="H35" s="605">
        <v>24</v>
      </c>
      <c r="I35" s="829"/>
      <c r="J35" s="826"/>
      <c r="K35" s="832"/>
      <c r="L35" s="835"/>
      <c r="M35" s="231"/>
      <c r="N35" s="367"/>
    </row>
    <row r="36" spans="1:14" ht="14.25" x14ac:dyDescent="0.2">
      <c r="A36" s="231"/>
      <c r="B36" s="605">
        <v>25</v>
      </c>
      <c r="C36" s="829"/>
      <c r="D36" s="826"/>
      <c r="E36" s="832"/>
      <c r="F36" s="835"/>
      <c r="G36" s="516"/>
      <c r="H36" s="605">
        <v>25</v>
      </c>
      <c r="I36" s="829"/>
      <c r="J36" s="826"/>
      <c r="K36" s="832"/>
      <c r="L36" s="835"/>
      <c r="M36" s="231"/>
      <c r="N36" s="367"/>
    </row>
    <row r="37" spans="1:14" ht="14.25" x14ac:dyDescent="0.2">
      <c r="A37" s="231"/>
      <c r="B37" s="605">
        <v>26</v>
      </c>
      <c r="C37" s="829"/>
      <c r="D37" s="826"/>
      <c r="E37" s="832"/>
      <c r="F37" s="835"/>
      <c r="G37" s="516"/>
      <c r="H37" s="605">
        <v>26</v>
      </c>
      <c r="I37" s="829"/>
      <c r="J37" s="826"/>
      <c r="K37" s="832"/>
      <c r="L37" s="835"/>
      <c r="M37" s="231"/>
      <c r="N37" s="367"/>
    </row>
    <row r="38" spans="1:14" ht="14.25" x14ac:dyDescent="0.2">
      <c r="A38" s="231"/>
      <c r="B38" s="605">
        <v>27</v>
      </c>
      <c r="C38" s="829"/>
      <c r="D38" s="826"/>
      <c r="E38" s="832"/>
      <c r="F38" s="835"/>
      <c r="G38" s="516"/>
      <c r="H38" s="605">
        <v>27</v>
      </c>
      <c r="I38" s="829"/>
      <c r="J38" s="826"/>
      <c r="K38" s="832"/>
      <c r="L38" s="835"/>
      <c r="M38" s="231"/>
      <c r="N38" s="367"/>
    </row>
    <row r="39" spans="1:14" ht="14.25" x14ac:dyDescent="0.2">
      <c r="A39" s="231"/>
      <c r="B39" s="605">
        <v>28</v>
      </c>
      <c r="C39" s="829"/>
      <c r="D39" s="826"/>
      <c r="E39" s="832"/>
      <c r="F39" s="835"/>
      <c r="G39" s="516"/>
      <c r="H39" s="605">
        <v>28</v>
      </c>
      <c r="I39" s="829"/>
      <c r="J39" s="826"/>
      <c r="K39" s="832"/>
      <c r="L39" s="835"/>
      <c r="M39" s="231"/>
      <c r="N39" s="367"/>
    </row>
    <row r="40" spans="1:14" ht="14.25" x14ac:dyDescent="0.2">
      <c r="A40" s="231"/>
      <c r="B40" s="605">
        <v>29</v>
      </c>
      <c r="C40" s="829"/>
      <c r="D40" s="826"/>
      <c r="E40" s="832"/>
      <c r="F40" s="835"/>
      <c r="G40" s="516"/>
      <c r="H40" s="605">
        <v>29</v>
      </c>
      <c r="I40" s="829"/>
      <c r="J40" s="826"/>
      <c r="K40" s="832"/>
      <c r="L40" s="835"/>
      <c r="M40" s="231"/>
      <c r="N40" s="367"/>
    </row>
    <row r="41" spans="1:14" ht="14.25" x14ac:dyDescent="0.2">
      <c r="A41" s="231"/>
      <c r="B41" s="606">
        <v>30</v>
      </c>
      <c r="C41" s="830"/>
      <c r="D41" s="827"/>
      <c r="E41" s="833"/>
      <c r="F41" s="836"/>
      <c r="G41" s="516"/>
      <c r="H41" s="607">
        <v>30</v>
      </c>
      <c r="I41" s="830"/>
      <c r="J41" s="827"/>
      <c r="K41" s="833"/>
      <c r="L41" s="836"/>
      <c r="M41" s="231"/>
      <c r="N41" s="367"/>
    </row>
    <row r="42" spans="1:14" ht="14.25" x14ac:dyDescent="0.2">
      <c r="A42" s="231"/>
      <c r="B42" s="608"/>
      <c r="C42" s="609"/>
      <c r="D42" s="610"/>
      <c r="E42" s="609"/>
      <c r="F42" s="610"/>
      <c r="G42" s="516"/>
      <c r="H42" s="608"/>
      <c r="I42" s="609"/>
      <c r="J42" s="610"/>
      <c r="K42" s="609"/>
      <c r="L42" s="610"/>
      <c r="M42" s="231"/>
      <c r="N42" s="367"/>
    </row>
    <row r="43" spans="1:14" ht="14.25" x14ac:dyDescent="0.2">
      <c r="A43" s="231"/>
      <c r="B43" s="611" t="str">
        <f>language!B162</f>
        <v>Moyenne des valeurs positives et négatives relativement à la pression du flux zéro</v>
      </c>
      <c r="C43" s="612"/>
      <c r="D43" s="613"/>
      <c r="E43" s="612"/>
      <c r="F43" s="613"/>
      <c r="G43" s="516"/>
      <c r="H43" s="614"/>
      <c r="I43" s="612"/>
      <c r="J43" s="613"/>
      <c r="K43" s="612"/>
      <c r="L43" s="613"/>
      <c r="M43" s="231"/>
      <c r="N43" s="367"/>
    </row>
    <row r="44" spans="1:14" ht="6" customHeight="1" x14ac:dyDescent="0.2">
      <c r="A44" s="231"/>
      <c r="B44" s="614"/>
      <c r="C44" s="612"/>
      <c r="D44" s="613"/>
      <c r="E44" s="612"/>
      <c r="F44" s="613"/>
      <c r="G44" s="516"/>
      <c r="H44" s="614"/>
      <c r="I44" s="612"/>
      <c r="J44" s="613"/>
      <c r="K44" s="612"/>
      <c r="L44" s="613"/>
      <c r="M44" s="231"/>
      <c r="N44" s="367"/>
    </row>
    <row r="45" spans="1:14" ht="15" x14ac:dyDescent="0.25">
      <c r="A45" s="231"/>
      <c r="B45" s="556"/>
      <c r="C45" s="615" t="s">
        <v>276</v>
      </c>
      <c r="D45" s="616" t="s">
        <v>279</v>
      </c>
      <c r="E45" s="617" t="s">
        <v>277</v>
      </c>
      <c r="F45" s="618" t="s">
        <v>278</v>
      </c>
      <c r="G45" s="516"/>
      <c r="H45" s="556"/>
      <c r="I45" s="615" t="s">
        <v>276</v>
      </c>
      <c r="J45" s="616" t="s">
        <v>279</v>
      </c>
      <c r="K45" s="617" t="s">
        <v>277</v>
      </c>
      <c r="L45" s="618" t="s">
        <v>278</v>
      </c>
      <c r="M45" s="231"/>
      <c r="N45" s="367"/>
    </row>
    <row r="46" spans="1:14" ht="14.25" x14ac:dyDescent="0.2">
      <c r="A46" s="231"/>
      <c r="B46" s="622" t="str">
        <f>language!B163</f>
        <v>Moyenne</v>
      </c>
      <c r="C46" s="281" t="str">
        <f>IF(AND(COUNTIF(C12:C41,"")=30,bld_file!AW43=""),"***",IF(bld_file!AW43&lt;&gt;"",bld_file!AW44,IF(COUNTIF(C12:C41,"&gt;0")=0,"-",SUMIF(C12:C41,"&gt;0")/COUNTIF(C12:C41,"&gt;0"))))</f>
        <v>***</v>
      </c>
      <c r="D46" s="282" t="str">
        <f>IF(AND(COUNTIF(C12:C41,"")=30,bld_file!AW43=""),"***",IF(bld_file!AW43&lt;&gt;"",bld_file!AW45,IF(COUNTIF(C12:C41,"&lt;0")=0,"-",SUMIF(C12:C41,"&lt;0")/COUNTIF(C12:C41,"&lt;0"))))</f>
        <v>***</v>
      </c>
      <c r="E46" s="283" t="str">
        <f>IF(AND(COUNTIF(E12:E41,"")=30,bld_file!AY43=""),"***",IF(bld_file!AY43&lt;&gt;"",bld_file!AY44,IF(COUNTIF(E12:E41,"&gt;0")=0,"-",SUMIF(E12:E41,"&gt;0")/COUNTIF(E12:E41,"&gt;0"))))</f>
        <v>***</v>
      </c>
      <c r="F46" s="284" t="str">
        <f>IF(AND(COUNTIF(E12:E41,"")=30,bld_file!AY43=""),"***",IF(bld_file!AY43&lt;&gt;"",bld_file!AY45,IF(COUNTIF(E12:E41,"&lt;0")=0,"-",SUMIF(E12:E41,"&lt;0")/COUNTIF(E12:E41,"&lt;0"))))</f>
        <v>***</v>
      </c>
      <c r="G46" s="619"/>
      <c r="H46" s="622" t="str">
        <f>B46</f>
        <v>Moyenne</v>
      </c>
      <c r="I46" s="281" t="str">
        <f>IF(AND(COUNTIF(I12:I41,"")=30,bld_file!BE43=""),"***",IF(bld_file!BE43&lt;&gt;"",bld_file!BE44,IF(COUNTIF(I12:I41,"&gt;0")=0,"-",SUMIF(I12:I41,"&gt;0")/COUNTIF(I12:I41,"&gt;0"))))</f>
        <v>***</v>
      </c>
      <c r="J46" s="282" t="str">
        <f>IF(AND(COUNTIF(I12:I41,"")=30,bld_file!BE43=""),"***",IF(bld_file!BE43&lt;&gt;"",bld_file!BE45,IF(COUNTIF(I12:I41,"&lt;0")=0,"-",SUMIF(I12:I41,"&lt;0")/COUNTIF(I12:I41,"&lt;0"))))</f>
        <v>***</v>
      </c>
      <c r="K46" s="283" t="str">
        <f>IF(AND(COUNTIF(K12:K41,"")=30,bld_file!BG43=""),"***",IF(bld_file!BG43&lt;&gt;"",bld_file!BG44,IF(COUNTIF(K12:K41,"&gt;0")=0,"-",SUMIF(K12:K41,"&gt;0")/COUNTIF(K12:K41,"&gt;0"))))</f>
        <v>***</v>
      </c>
      <c r="L46" s="284" t="str">
        <f>IF(AND(COUNTIF(K12:K41,"")=30,bld_file!BG43=""),"***",IF(bld_file!BG43&lt;&gt;"",bld_file!BG45,IF(COUNTIF(K12:K41,"&lt;0")=0,"-",SUMIF(K12:K41,"&lt;0")/COUNTIF(K12:K41,"&lt;0"))))</f>
        <v>***</v>
      </c>
      <c r="M46" s="231"/>
      <c r="N46" s="367"/>
    </row>
    <row r="47" spans="1:14" ht="14.25" x14ac:dyDescent="0.2">
      <c r="A47" s="231"/>
      <c r="B47" s="536"/>
      <c r="C47" s="536"/>
      <c r="D47" s="536"/>
      <c r="E47" s="536"/>
      <c r="F47" s="536"/>
      <c r="G47" s="536"/>
      <c r="H47" s="619"/>
      <c r="I47" s="619"/>
      <c r="J47" s="619"/>
      <c r="K47" s="619"/>
      <c r="L47" s="619"/>
      <c r="M47" s="231"/>
      <c r="N47" s="367"/>
    </row>
    <row r="48" spans="1:14" ht="14.25" x14ac:dyDescent="0.2">
      <c r="A48" s="231"/>
      <c r="B48" s="611" t="str">
        <f>language!B164</f>
        <v>Moyenne de toutes les valeurs de la différence de pression du flux zéro</v>
      </c>
      <c r="C48" s="536"/>
      <c r="D48" s="536"/>
      <c r="E48" s="536"/>
      <c r="F48" s="536"/>
      <c r="G48" s="536"/>
      <c r="H48" s="619"/>
      <c r="I48" s="619"/>
      <c r="J48" s="619"/>
      <c r="K48" s="619"/>
      <c r="L48" s="619"/>
      <c r="M48" s="231"/>
      <c r="N48" s="367"/>
    </row>
    <row r="49" spans="1:14" ht="6" customHeight="1" x14ac:dyDescent="0.2">
      <c r="A49" s="231"/>
      <c r="B49" s="620"/>
      <c r="C49" s="621"/>
      <c r="D49" s="621"/>
      <c r="E49" s="621"/>
      <c r="F49" s="621"/>
      <c r="G49" s="619"/>
      <c r="H49" s="620"/>
      <c r="I49" s="621"/>
      <c r="J49" s="621"/>
      <c r="K49" s="621"/>
      <c r="L49" s="621"/>
      <c r="M49" s="231"/>
      <c r="N49" s="367"/>
    </row>
    <row r="50" spans="1:14" ht="15" x14ac:dyDescent="0.25">
      <c r="A50" s="231"/>
      <c r="B50" s="556" t="str">
        <f>language!B165</f>
        <v>Flux zéro</v>
      </c>
      <c r="C50" s="928" t="s">
        <v>286</v>
      </c>
      <c r="D50" s="929"/>
      <c r="E50" s="926" t="s">
        <v>287</v>
      </c>
      <c r="F50" s="927"/>
      <c r="G50" s="619"/>
      <c r="H50" s="556" t="str">
        <f>B50</f>
        <v>Flux zéro</v>
      </c>
      <c r="I50" s="928" t="s">
        <v>286</v>
      </c>
      <c r="J50" s="929"/>
      <c r="K50" s="926" t="s">
        <v>288</v>
      </c>
      <c r="L50" s="927"/>
      <c r="M50" s="231"/>
      <c r="N50" s="367"/>
    </row>
    <row r="51" spans="1:14" ht="24" x14ac:dyDescent="0.2">
      <c r="A51" s="231"/>
      <c r="B51" s="631" t="str">
        <f>language!B166</f>
        <v>Valeur de référence</v>
      </c>
      <c r="C51" s="916" t="str">
        <f>IF(bld_file!AW43&lt;&gt;"",bld_file!AW43,IF(30-COUNTIF(C12:C41,"")=0,"***",AVERAGE(C12:C41)))</f>
        <v>***</v>
      </c>
      <c r="D51" s="917"/>
      <c r="E51" s="918" t="str">
        <f>IF(bld_file!AY43&lt;&gt;"",bld_file!AY43,IF(30-COUNTIF(E12:E41,"")=0,"***",AVERAGE(E12:E41)))</f>
        <v>***</v>
      </c>
      <c r="F51" s="919"/>
      <c r="G51" s="536"/>
      <c r="H51" s="631" t="str">
        <f>B51</f>
        <v>Valeur de référence</v>
      </c>
      <c r="I51" s="916" t="str">
        <f>IF(bld_file!BE43&lt;&gt;"",bld_file!BE43,IF(30-COUNTIF(I12:I41,"")=0,"***",AVERAGE(I12:I41)))</f>
        <v>***</v>
      </c>
      <c r="J51" s="917"/>
      <c r="K51" s="918" t="str">
        <f>IF(bld_file!BG43&lt;&gt;"",bld_file!BG43,IF(30-COUNTIF(K12:K41,"")=0,"***",AVERAGE(K12:K41)))</f>
        <v>***</v>
      </c>
      <c r="L51" s="919"/>
      <c r="M51" s="231"/>
      <c r="N51" s="367"/>
    </row>
    <row r="52" spans="1:14" ht="14.25" x14ac:dyDescent="0.2">
      <c r="A52" s="231"/>
      <c r="B52" s="623"/>
      <c r="C52" s="536"/>
      <c r="D52" s="536"/>
      <c r="E52" s="536"/>
      <c r="F52" s="536"/>
      <c r="G52" s="536"/>
      <c r="H52" s="623"/>
      <c r="I52" s="536"/>
      <c r="J52" s="536"/>
      <c r="K52" s="536"/>
      <c r="L52" s="536"/>
      <c r="M52" s="231"/>
      <c r="N52" s="367"/>
    </row>
    <row r="53" spans="1:14" x14ac:dyDescent="0.2">
      <c r="A53" s="231"/>
      <c r="B53" s="522" t="str">
        <f>language!B167</f>
        <v>Note :</v>
      </c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</row>
    <row r="54" spans="1:14" ht="15.75" x14ac:dyDescent="0.25">
      <c r="A54" s="231"/>
      <c r="B54" s="251"/>
      <c r="C54" s="251"/>
      <c r="D54" s="251"/>
      <c r="E54" s="251"/>
      <c r="F54" s="251"/>
      <c r="G54" s="276"/>
      <c r="H54" s="251"/>
      <c r="I54" s="251"/>
      <c r="J54" s="251"/>
      <c r="K54" s="251"/>
      <c r="L54" s="251"/>
      <c r="M54" s="231"/>
    </row>
    <row r="55" spans="1:14" ht="15.75" x14ac:dyDescent="0.25">
      <c r="A55" s="231"/>
      <c r="B55" s="258"/>
      <c r="C55" s="258"/>
      <c r="D55" s="258"/>
      <c r="E55" s="258"/>
      <c r="F55" s="258"/>
      <c r="G55" s="277"/>
      <c r="H55" s="258"/>
      <c r="I55" s="258"/>
      <c r="J55" s="258"/>
      <c r="K55" s="258"/>
      <c r="L55" s="258"/>
      <c r="M55" s="231"/>
    </row>
    <row r="56" spans="1:14" ht="15.75" x14ac:dyDescent="0.25">
      <c r="A56" s="231"/>
      <c r="B56" s="258"/>
      <c r="C56" s="258"/>
      <c r="D56" s="258"/>
      <c r="E56" s="258"/>
      <c r="F56" s="258"/>
      <c r="G56" s="277"/>
      <c r="H56" s="258"/>
      <c r="I56" s="258"/>
      <c r="J56" s="258"/>
      <c r="K56" s="258"/>
      <c r="L56" s="258"/>
      <c r="M56" s="231"/>
    </row>
    <row r="57" spans="1:14" ht="15.75" x14ac:dyDescent="0.25">
      <c r="A57" s="231"/>
      <c r="B57" s="231"/>
      <c r="C57" s="231"/>
      <c r="D57" s="231"/>
      <c r="E57" s="231"/>
      <c r="F57" s="231"/>
      <c r="G57" s="538"/>
      <c r="H57" s="231"/>
      <c r="I57" s="231"/>
      <c r="J57" s="231"/>
      <c r="K57" s="231"/>
      <c r="L57" s="231"/>
      <c r="M57" s="231"/>
    </row>
    <row r="58" spans="1:14" ht="15" x14ac:dyDescent="0.25">
      <c r="A58" s="231"/>
      <c r="B58" s="708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31"/>
    </row>
    <row r="59" spans="1:14" ht="5.45" customHeight="1" x14ac:dyDescent="0.2">
      <c r="A59" s="231"/>
      <c r="B59" s="213"/>
      <c r="C59" s="213"/>
      <c r="D59" s="619"/>
      <c r="E59" s="709"/>
      <c r="F59" s="213"/>
      <c r="G59" s="516"/>
      <c r="H59" s="213"/>
      <c r="I59" s="213"/>
      <c r="J59" s="213"/>
      <c r="K59" s="213"/>
      <c r="L59" s="213"/>
      <c r="M59" s="231"/>
      <c r="N59" s="367"/>
    </row>
    <row r="60" spans="1:14" x14ac:dyDescent="0.2">
      <c r="A60" s="231"/>
      <c r="B60" s="710"/>
      <c r="C60" s="238"/>
      <c r="D60" s="238"/>
      <c r="E60" s="238"/>
      <c r="F60" s="238"/>
      <c r="G60" s="238"/>
      <c r="H60" s="238"/>
      <c r="I60" s="920"/>
      <c r="J60" s="920"/>
      <c r="K60" s="920"/>
      <c r="L60" s="920"/>
      <c r="M60" s="231"/>
    </row>
    <row r="61" spans="1:14" x14ac:dyDescent="0.2">
      <c r="A61" s="231"/>
      <c r="B61" s="458"/>
      <c r="C61" s="712"/>
      <c r="D61" s="713"/>
      <c r="E61" s="516"/>
      <c r="F61" s="516"/>
      <c r="G61" s="516"/>
      <c r="H61" s="516"/>
      <c r="I61" s="714"/>
      <c r="J61" s="213"/>
      <c r="K61" s="714"/>
      <c r="L61" s="711"/>
      <c r="M61" s="231"/>
    </row>
    <row r="62" spans="1:14" x14ac:dyDescent="0.2">
      <c r="A62" s="231"/>
      <c r="B62" s="458"/>
      <c r="C62" s="712"/>
      <c r="D62" s="713"/>
      <c r="E62" s="516"/>
      <c r="F62" s="516"/>
      <c r="G62" s="516"/>
      <c r="H62" s="516"/>
      <c r="I62" s="714"/>
      <c r="J62" s="715"/>
      <c r="K62" s="716"/>
      <c r="L62" s="715"/>
      <c r="M62" s="231"/>
    </row>
    <row r="63" spans="1:14" x14ac:dyDescent="0.2">
      <c r="A63" s="231"/>
      <c r="B63" s="458"/>
      <c r="C63" s="712"/>
      <c r="D63" s="713"/>
      <c r="E63" s="516"/>
      <c r="F63" s="516"/>
      <c r="G63" s="516"/>
      <c r="H63" s="516"/>
      <c r="I63" s="714"/>
      <c r="J63" s="213"/>
      <c r="K63" s="714"/>
      <c r="L63" s="711"/>
      <c r="M63" s="231"/>
    </row>
    <row r="64" spans="1:14" x14ac:dyDescent="0.2">
      <c r="A64" s="231"/>
      <c r="B64" s="458"/>
      <c r="C64" s="712"/>
      <c r="D64" s="712"/>
      <c r="E64" s="712"/>
      <c r="F64" s="712"/>
      <c r="G64" s="516"/>
      <c r="H64" s="516"/>
      <c r="I64" s="714"/>
      <c r="J64" s="213"/>
      <c r="K64" s="714"/>
      <c r="L64" s="711"/>
      <c r="M64" s="231"/>
    </row>
    <row r="65" spans="2:12" x14ac:dyDescent="0.2">
      <c r="B65" s="837"/>
      <c r="C65" s="299"/>
      <c r="D65" s="838"/>
      <c r="F65" s="398" t="str">
        <f>language!B183</f>
        <v>Page précedente :</v>
      </c>
      <c r="H65" s="399" t="str">
        <f>language!B184</f>
        <v xml:space="preserve">Page suivante : </v>
      </c>
      <c r="J65" s="299"/>
      <c r="K65" s="839"/>
      <c r="L65" s="840"/>
    </row>
    <row r="66" spans="2:12" x14ac:dyDescent="0.2">
      <c r="B66" s="837"/>
      <c r="C66" s="838"/>
      <c r="D66" s="838"/>
      <c r="E66" s="864"/>
      <c r="F66" s="864"/>
      <c r="H66" s="864"/>
      <c r="I66" s="864"/>
      <c r="J66" s="299"/>
      <c r="K66" s="839"/>
      <c r="L66" s="840"/>
    </row>
    <row r="67" spans="2:12" x14ac:dyDescent="0.2">
      <c r="B67" s="343"/>
      <c r="C67" s="418"/>
      <c r="D67" s="418"/>
      <c r="J67" s="299"/>
      <c r="K67" s="839"/>
      <c r="L67" s="840"/>
    </row>
    <row r="74" spans="2:12" x14ac:dyDescent="0.2">
      <c r="G74" s="335"/>
    </row>
    <row r="76" spans="2:12" ht="13.5" customHeight="1" x14ac:dyDescent="0.2"/>
    <row r="79" spans="2:12" x14ac:dyDescent="0.2">
      <c r="C79" s="306"/>
      <c r="D79" s="335"/>
    </row>
    <row r="80" spans="2:12" x14ac:dyDescent="0.2">
      <c r="C80" s="306"/>
      <c r="D80" s="335"/>
    </row>
    <row r="81" spans="3:22" x14ac:dyDescent="0.2">
      <c r="C81" s="306"/>
      <c r="D81" s="335"/>
      <c r="G81" s="335"/>
    </row>
    <row r="82" spans="3:22" x14ac:dyDescent="0.2">
      <c r="D82" s="335"/>
    </row>
    <row r="83" spans="3:22" x14ac:dyDescent="0.2">
      <c r="C83" s="306"/>
      <c r="D83" s="335"/>
    </row>
    <row r="84" spans="3:22" x14ac:dyDescent="0.2">
      <c r="D84" s="335"/>
    </row>
    <row r="85" spans="3:22" x14ac:dyDescent="0.2">
      <c r="D85" s="335"/>
    </row>
    <row r="86" spans="3:22" x14ac:dyDescent="0.2">
      <c r="D86" s="335"/>
    </row>
    <row r="87" spans="3:22" x14ac:dyDescent="0.2">
      <c r="D87" s="335"/>
    </row>
    <row r="88" spans="3:22" x14ac:dyDescent="0.2">
      <c r="D88" s="335"/>
      <c r="Q88" s="299"/>
      <c r="R88" s="299"/>
      <c r="S88" s="299"/>
      <c r="T88" s="299"/>
      <c r="U88" s="299"/>
      <c r="V88" s="343"/>
    </row>
    <row r="89" spans="3:22" x14ac:dyDescent="0.2">
      <c r="D89" s="335"/>
      <c r="Q89" s="299"/>
      <c r="R89" s="299"/>
      <c r="S89" s="396"/>
      <c r="T89" s="299"/>
      <c r="U89" s="299"/>
      <c r="V89" s="343"/>
    </row>
    <row r="90" spans="3:22" x14ac:dyDescent="0.2">
      <c r="D90" s="335"/>
      <c r="Q90" s="299"/>
      <c r="R90" s="299"/>
      <c r="S90" s="396"/>
      <c r="T90" s="299"/>
      <c r="U90" s="396"/>
      <c r="V90" s="396"/>
    </row>
    <row r="91" spans="3:22" x14ac:dyDescent="0.2">
      <c r="Q91" s="299"/>
      <c r="R91" s="299"/>
      <c r="S91" s="396"/>
      <c r="T91" s="299"/>
      <c r="U91" s="396"/>
      <c r="V91" s="396"/>
    </row>
    <row r="92" spans="3:22" x14ac:dyDescent="0.2">
      <c r="Q92" s="299"/>
      <c r="R92" s="299"/>
      <c r="S92" s="396"/>
      <c r="T92" s="299"/>
      <c r="U92" s="396"/>
      <c r="V92" s="396"/>
    </row>
    <row r="93" spans="3:22" x14ac:dyDescent="0.2">
      <c r="Q93" s="299"/>
      <c r="R93" s="299"/>
      <c r="S93" s="396"/>
      <c r="T93" s="299"/>
      <c r="U93" s="396"/>
      <c r="V93" s="396"/>
    </row>
    <row r="94" spans="3:22" x14ac:dyDescent="0.2">
      <c r="Q94" s="299"/>
      <c r="R94" s="299"/>
      <c r="S94" s="396"/>
      <c r="T94" s="299"/>
      <c r="U94" s="396"/>
      <c r="V94" s="396"/>
    </row>
    <row r="95" spans="3:22" x14ac:dyDescent="0.2">
      <c r="Q95" s="299"/>
      <c r="R95" s="299"/>
      <c r="S95" s="396"/>
      <c r="T95" s="299"/>
      <c r="U95" s="396"/>
      <c r="V95" s="396"/>
    </row>
    <row r="96" spans="3:22" x14ac:dyDescent="0.2">
      <c r="Q96" s="299"/>
      <c r="R96" s="299"/>
      <c r="S96" s="396"/>
      <c r="T96" s="397"/>
      <c r="U96" s="396"/>
      <c r="V96" s="396"/>
    </row>
    <row r="97" spans="2:22" x14ac:dyDescent="0.2">
      <c r="Q97" s="299"/>
      <c r="R97" s="299"/>
      <c r="S97" s="396"/>
      <c r="T97" s="397"/>
      <c r="U97" s="396"/>
      <c r="V97" s="396"/>
    </row>
    <row r="98" spans="2:22" x14ac:dyDescent="0.2">
      <c r="Q98" s="299"/>
      <c r="R98" s="299"/>
      <c r="S98" s="396"/>
      <c r="T98" s="397"/>
      <c r="U98" s="396"/>
      <c r="V98" s="396"/>
    </row>
    <row r="99" spans="2:22" x14ac:dyDescent="0.2">
      <c r="R99" s="298"/>
      <c r="S99" s="298"/>
    </row>
    <row r="105" spans="2:22" x14ac:dyDescent="0.2">
      <c r="S105" s="298"/>
      <c r="V105" s="298"/>
    </row>
    <row r="106" spans="2:22" ht="15.75" x14ac:dyDescent="0.25">
      <c r="B106" s="400" t="str">
        <f>language!B186</f>
        <v>Pression barométrique</v>
      </c>
      <c r="F106" s="335"/>
      <c r="G106" s="335"/>
      <c r="H106" s="335"/>
      <c r="I106" s="401"/>
      <c r="J106" s="335"/>
      <c r="K106" s="335"/>
      <c r="L106" s="335"/>
      <c r="R106" s="298"/>
      <c r="S106" s="298"/>
      <c r="V106" s="298"/>
    </row>
    <row r="107" spans="2:22" ht="16.5" thickBot="1" x14ac:dyDescent="0.3">
      <c r="B107" s="400"/>
      <c r="F107" s="335"/>
      <c r="G107" s="335"/>
      <c r="H107" s="335"/>
      <c r="I107" s="335"/>
      <c r="J107" s="335"/>
      <c r="K107" s="335"/>
      <c r="L107" s="335"/>
      <c r="R107" s="298"/>
      <c r="S107" s="298"/>
      <c r="V107" s="298"/>
    </row>
    <row r="108" spans="2:22" ht="13.5" thickBot="1" x14ac:dyDescent="0.25">
      <c r="B108" s="402" t="str">
        <f>language!B187</f>
        <v>Standard (EN 13829)</v>
      </c>
      <c r="C108" s="333"/>
      <c r="D108" s="333"/>
      <c r="E108" s="333"/>
      <c r="F108" s="333"/>
      <c r="G108" s="403"/>
      <c r="H108" s="403"/>
      <c r="I108" s="333"/>
      <c r="J108" s="403"/>
      <c r="K108" s="403"/>
      <c r="L108" s="403"/>
      <c r="M108" s="404"/>
      <c r="R108" s="298"/>
      <c r="S108" s="298"/>
      <c r="V108" s="298"/>
    </row>
    <row r="109" spans="2:22" ht="13.5" thickBot="1" x14ac:dyDescent="0.25">
      <c r="B109" s="310" t="str">
        <f>language!B188</f>
        <v>Standard</v>
      </c>
      <c r="C109" s="299"/>
      <c r="D109" s="299"/>
      <c r="E109" s="299"/>
      <c r="F109" s="405">
        <f>IF(bld_file!C68=0,101325)</f>
        <v>101325</v>
      </c>
      <c r="G109" s="299"/>
      <c r="H109" s="406" t="s">
        <v>422</v>
      </c>
      <c r="I109" s="407">
        <v>5</v>
      </c>
      <c r="J109" s="343"/>
      <c r="K109" s="343" t="str">
        <f>language!B194</f>
        <v>(Standard):</v>
      </c>
      <c r="L109" s="343"/>
      <c r="M109" s="314"/>
      <c r="R109" s="298"/>
      <c r="S109" s="298"/>
      <c r="V109" s="298"/>
    </row>
    <row r="110" spans="2:22" ht="13.5" thickBot="1" x14ac:dyDescent="0.25">
      <c r="B110" s="408" t="str">
        <f>language!B189</f>
        <v>Alternativ 1:</v>
      </c>
      <c r="C110" s="299"/>
      <c r="D110" s="299"/>
      <c r="E110" s="299"/>
      <c r="F110" s="299"/>
      <c r="G110" s="343"/>
      <c r="H110" s="343"/>
      <c r="I110" s="393"/>
      <c r="J110" s="343"/>
      <c r="K110" s="343"/>
      <c r="L110" s="343"/>
      <c r="M110" s="314"/>
    </row>
    <row r="111" spans="2:22" ht="13.5" thickBot="1" x14ac:dyDescent="0.25">
      <c r="B111" s="310" t="str">
        <f>language!B190</f>
        <v>Pression barométrique</v>
      </c>
      <c r="C111" s="299"/>
      <c r="D111" s="299"/>
      <c r="E111" s="299"/>
      <c r="F111" s="409" t="str">
        <f>IF(bld_file!C68=1,bld_file!C69,"")</f>
        <v/>
      </c>
      <c r="G111" s="299"/>
      <c r="H111" s="406" t="s">
        <v>422</v>
      </c>
      <c r="I111" s="407">
        <v>2</v>
      </c>
      <c r="J111" s="343"/>
      <c r="K111" s="343" t="str">
        <f>language!B195</f>
        <v>(mesuré):</v>
      </c>
      <c r="L111" s="343"/>
      <c r="M111" s="314"/>
      <c r="S111" s="298"/>
      <c r="V111" s="298"/>
    </row>
    <row r="112" spans="2:22" ht="13.5" thickBot="1" x14ac:dyDescent="0.25">
      <c r="B112" s="408" t="str">
        <f>language!B191</f>
        <v>Alternative 2:</v>
      </c>
      <c r="C112" s="299"/>
      <c r="D112" s="299"/>
      <c r="E112" s="299"/>
      <c r="F112" s="299"/>
      <c r="G112" s="343"/>
      <c r="H112" s="343"/>
      <c r="I112" s="343"/>
      <c r="J112" s="343"/>
      <c r="K112" s="343"/>
      <c r="L112" s="343"/>
      <c r="M112" s="314"/>
      <c r="S112" s="298"/>
      <c r="V112" s="298"/>
    </row>
    <row r="113" spans="2:22" ht="13.5" thickBot="1" x14ac:dyDescent="0.25">
      <c r="B113" s="310" t="str">
        <f>language!B192</f>
        <v>Pression barométrique</v>
      </c>
      <c r="C113" s="299"/>
      <c r="D113" s="299"/>
      <c r="E113" s="299"/>
      <c r="F113" s="405" t="str">
        <f>IF($B$114="","",101325*(1-(0.0065/293)*$B$114)^5.2553)</f>
        <v/>
      </c>
      <c r="G113" s="343"/>
      <c r="H113" s="406" t="s">
        <v>422</v>
      </c>
      <c r="I113" s="407">
        <v>2</v>
      </c>
      <c r="J113" s="343"/>
      <c r="K113" s="343" t="str">
        <f>language!B196</f>
        <v>(Altitude):</v>
      </c>
      <c r="L113" s="343"/>
      <c r="M113" s="314"/>
      <c r="S113" s="298"/>
      <c r="V113" s="298"/>
    </row>
    <row r="114" spans="2:22" ht="13.5" thickBot="1" x14ac:dyDescent="0.25">
      <c r="B114" s="410" t="str">
        <f>IF(bld_file!$C$68=2,bld_file!$C$70,"")</f>
        <v/>
      </c>
      <c r="C114" s="299" t="str">
        <f>language!B193</f>
        <v>(m) altitude du site</v>
      </c>
      <c r="D114" s="299"/>
      <c r="E114" s="299"/>
      <c r="F114" s="411"/>
      <c r="G114" s="343"/>
      <c r="H114" s="343"/>
      <c r="I114" s="412" t="str">
        <f>language!B197</f>
        <v>(Recommandation: www.flib.de)</v>
      </c>
      <c r="J114" s="343"/>
      <c r="K114" s="343"/>
      <c r="L114" s="343"/>
      <c r="M114" s="314"/>
      <c r="S114" s="298"/>
      <c r="V114" s="298"/>
    </row>
    <row r="115" spans="2:22" ht="13.5" thickBot="1" x14ac:dyDescent="0.25">
      <c r="B115" s="323"/>
      <c r="C115" s="413"/>
      <c r="D115" s="413"/>
      <c r="E115" s="413"/>
      <c r="F115" s="413"/>
      <c r="G115" s="414"/>
      <c r="H115" s="414"/>
      <c r="I115" s="414"/>
      <c r="J115" s="414"/>
      <c r="K115" s="414"/>
      <c r="L115" s="414"/>
      <c r="M115" s="415"/>
    </row>
    <row r="116" spans="2:22" x14ac:dyDescent="0.2">
      <c r="F116" s="335"/>
      <c r="G116" s="335"/>
      <c r="H116" s="335"/>
      <c r="I116" s="335"/>
      <c r="J116" s="335"/>
      <c r="K116" s="335"/>
      <c r="L116" s="335"/>
    </row>
    <row r="117" spans="2:22" x14ac:dyDescent="0.2">
      <c r="F117" s="335"/>
      <c r="G117" s="335"/>
      <c r="H117" s="335"/>
      <c r="I117" s="335"/>
      <c r="J117" s="335"/>
      <c r="K117" s="335"/>
      <c r="L117" s="335"/>
    </row>
    <row r="118" spans="2:22" ht="15.75" x14ac:dyDescent="0.25">
      <c r="B118" s="400" t="str">
        <f>language!B199</f>
        <v>Incertitude sur les points de mesure de depressurisation et pressurisation</v>
      </c>
      <c r="F118" s="335"/>
      <c r="G118" s="335"/>
      <c r="H118" s="401"/>
      <c r="I118" s="337"/>
      <c r="J118" s="335"/>
      <c r="K118" s="335"/>
      <c r="L118" s="335"/>
    </row>
    <row r="119" spans="2:22" ht="13.5" thickBot="1" x14ac:dyDescent="0.25">
      <c r="F119" s="335"/>
      <c r="G119" s="335"/>
      <c r="H119" s="335"/>
      <c r="I119" s="335"/>
      <c r="J119" s="335"/>
      <c r="K119" s="335"/>
      <c r="L119" s="335"/>
    </row>
    <row r="120" spans="2:22" ht="13.5" thickBot="1" x14ac:dyDescent="0.25">
      <c r="B120" s="315"/>
      <c r="C120" s="333"/>
      <c r="D120" s="333"/>
      <c r="E120" s="333"/>
      <c r="F120" s="333"/>
      <c r="G120" s="403"/>
      <c r="H120" s="403"/>
      <c r="I120" s="403"/>
      <c r="J120" s="403"/>
      <c r="K120" s="403"/>
      <c r="L120" s="404"/>
    </row>
    <row r="121" spans="2:22" ht="13.5" thickBot="1" x14ac:dyDescent="0.25">
      <c r="B121" s="310" t="str">
        <f>language!B200</f>
        <v>Incertitude sur les points de mesure de depressurisation et pressurisation</v>
      </c>
      <c r="C121" s="299"/>
      <c r="D121" s="299"/>
      <c r="E121" s="299"/>
      <c r="F121" s="299"/>
      <c r="G121" s="343"/>
      <c r="H121" s="406" t="s">
        <v>422</v>
      </c>
      <c r="I121" s="407">
        <v>7</v>
      </c>
      <c r="J121" s="299"/>
      <c r="K121" s="343"/>
      <c r="L121" s="314"/>
    </row>
    <row r="122" spans="2:22" x14ac:dyDescent="0.2">
      <c r="B122" s="310"/>
      <c r="C122" s="299"/>
      <c r="D122" s="299"/>
      <c r="E122" s="299"/>
      <c r="F122" s="299"/>
      <c r="G122" s="343"/>
      <c r="H122" s="343"/>
      <c r="I122" s="412" t="str">
        <f>language!B201</f>
        <v>(Recommandation: www.flib.de)</v>
      </c>
      <c r="J122" s="343"/>
      <c r="K122" s="343"/>
      <c r="L122" s="314"/>
    </row>
    <row r="123" spans="2:22" ht="13.5" thickBot="1" x14ac:dyDescent="0.25">
      <c r="B123" s="323"/>
      <c r="C123" s="413"/>
      <c r="D123" s="413"/>
      <c r="E123" s="413"/>
      <c r="F123" s="413"/>
      <c r="G123" s="414"/>
      <c r="H123" s="414"/>
      <c r="I123" s="414"/>
      <c r="J123" s="414"/>
      <c r="K123" s="414"/>
      <c r="L123" s="415"/>
    </row>
    <row r="130" spans="3:13" x14ac:dyDescent="0.2">
      <c r="C130" s="416"/>
      <c r="M130" s="298">
        <f>30-COUNTIF(N12:N41,"")</f>
        <v>0</v>
      </c>
    </row>
  </sheetData>
  <sheetProtection sheet="1" objects="1" scenarios="1"/>
  <mergeCells count="17">
    <mergeCell ref="K6:L6"/>
    <mergeCell ref="K51:L51"/>
    <mergeCell ref="K60:L60"/>
    <mergeCell ref="K50:L50"/>
    <mergeCell ref="I50:J50"/>
    <mergeCell ref="C10:F10"/>
    <mergeCell ref="I10:L10"/>
    <mergeCell ref="B10:B11"/>
    <mergeCell ref="H10:H11"/>
    <mergeCell ref="E50:F50"/>
    <mergeCell ref="C50:D50"/>
    <mergeCell ref="E66:F66"/>
    <mergeCell ref="H66:I66"/>
    <mergeCell ref="I51:J51"/>
    <mergeCell ref="C51:D51"/>
    <mergeCell ref="E51:F51"/>
    <mergeCell ref="I60:J60"/>
  </mergeCells>
  <phoneticPr fontId="41" type="noConversion"/>
  <conditionalFormatting sqref="D46 F46 J46 L46">
    <cfRule type="cellIs" dxfId="1" priority="1" stopIfTrue="1" operator="lessThan">
      <formula>-5</formula>
    </cfRule>
  </conditionalFormatting>
  <conditionalFormatting sqref="C46 E46 I46 K46">
    <cfRule type="cellIs" dxfId="0" priority="2" stopIfTrue="1" operator="between">
      <formula>5.01</formula>
      <formula>500</formula>
    </cfRule>
  </conditionalFormatting>
  <dataValidations count="2">
    <dataValidation operator="greaterThan" allowBlank="1" showInputMessage="1" showErrorMessage="1" errorTitle="Natürliche Druckdifferenz" error="Positive Werte eingeben!" sqref="I12:I44 C12:C44 E12:E44 K12:K44" xr:uid="{00000000-0002-0000-0400-000000000000}"/>
    <dataValidation operator="lessThan" allowBlank="1" showInputMessage="1" showErrorMessage="1" errorTitle="Naturliche Druckdiffernz" error="Negative Werte eingeben." sqref="D42:D44 F42:F44 J42:J44 L13:L39 F13:F39 J13:J39 L42:L44 D34:D39" xr:uid="{00000000-0002-0000-0400-000001000000}"/>
  </dataValidations>
  <printOptions horizontalCentered="1"/>
  <pageMargins left="0.59055118110236227" right="0.11811023622047245" top="0.78" bottom="1" header="0.31496062992125984" footer="0.59"/>
  <pageSetup paperSize="9" scale="82" pageOrder="overThenDown" orientation="portrait" blackAndWhite="1" horizontalDpi="300" verticalDpi="300" r:id="rId1"/>
  <headerFooter alignWithMargins="0">
    <oddFooter>&amp;L&amp;8 &amp;F&amp;C&amp;8 08-2010fr TTE 3.6&amp;RAnnexe B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80" r:id="rId4" name="Button 188">
              <controlPr defaultSize="0" print="0" autoFill="0" autoLine="0" autoPict="0" macro="[0]!tabProtokoll">
                <anchor moveWithCells="1">
                  <from>
                    <xdr:col>8</xdr:col>
                    <xdr:colOff>590550</xdr:colOff>
                    <xdr:row>105</xdr:row>
                    <xdr:rowOff>28575</xdr:rowOff>
                  </from>
                  <to>
                    <xdr:col>10</xdr:col>
                    <xdr:colOff>95250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1" r:id="rId5" name="Button 189">
              <controlPr defaultSize="0" print="0" autoFill="0" autoLine="0" autoPict="0" macro="[0]!tabProtokoll">
                <anchor moveWithCells="1">
                  <from>
                    <xdr:col>7</xdr:col>
                    <xdr:colOff>285750</xdr:colOff>
                    <xdr:row>65</xdr:row>
                    <xdr:rowOff>47625</xdr:rowOff>
                  </from>
                  <to>
                    <xdr:col>8</xdr:col>
                    <xdr:colOff>485775</xdr:colOff>
                    <xdr:row>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2" r:id="rId6" name="Button 190">
              <controlPr defaultSize="0" print="0" autoFill="0" autoLine="0" autoPict="0" macro="[0]!tabGebäudedaten">
                <anchor moveWithCells="1">
                  <from>
                    <xdr:col>4</xdr:col>
                    <xdr:colOff>285750</xdr:colOff>
                    <xdr:row>65</xdr:row>
                    <xdr:rowOff>47625</xdr:rowOff>
                  </from>
                  <to>
                    <xdr:col>5</xdr:col>
                    <xdr:colOff>428625</xdr:colOff>
                    <xdr:row>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3" r:id="rId7" name="Button 191">
              <controlPr defaultSize="0" print="0" autoFill="0" autoLine="0" autoPict="0" macro="[0]!tabProtokoll">
                <anchor moveWithCells="1">
                  <from>
                    <xdr:col>3</xdr:col>
                    <xdr:colOff>400050</xdr:colOff>
                    <xdr:row>7</xdr:row>
                    <xdr:rowOff>19050</xdr:rowOff>
                  </from>
                  <to>
                    <xdr:col>4</xdr:col>
                    <xdr:colOff>581025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4" r:id="rId8" name="Button 192">
              <controlPr defaultSize="0" print="0" autoFill="0" autoLine="0" autoPict="0" macro="[0]!tabProtokoll">
                <anchor moveWithCells="1">
                  <from>
                    <xdr:col>9</xdr:col>
                    <xdr:colOff>381000</xdr:colOff>
                    <xdr:row>7</xdr:row>
                    <xdr:rowOff>19050</xdr:rowOff>
                  </from>
                  <to>
                    <xdr:col>10</xdr:col>
                    <xdr:colOff>561975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6" r:id="rId9" name="Button 194">
              <controlPr defaultSize="0" print="0" autoFill="0" autoLine="0" autoPict="0" macro="[0]!tabFehlerrechnung">
                <anchor moveWithCells="1">
                  <from>
                    <xdr:col>11</xdr:col>
                    <xdr:colOff>171450</xdr:colOff>
                    <xdr:row>117</xdr:row>
                    <xdr:rowOff>76200</xdr:rowOff>
                  </from>
                  <to>
                    <xdr:col>12</xdr:col>
                    <xdr:colOff>38100</xdr:colOff>
                    <xdr:row>118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46CE-38F0-4F44-944B-1254343FFDE3}">
  <sheetPr codeName="Tabelle3"/>
  <dimension ref="A1:C2744"/>
  <sheetViews>
    <sheetView workbookViewId="0"/>
  </sheetViews>
  <sheetFormatPr baseColWidth="10" defaultRowHeight="12.75" x14ac:dyDescent="0.2"/>
  <cols>
    <col min="1" max="1" width="40.85546875" style="638" customWidth="1"/>
    <col min="2" max="2" width="1.85546875" style="426" customWidth="1"/>
    <col min="3" max="3" width="40.85546875" style="426" customWidth="1"/>
    <col min="4" max="6" width="11.42578125" style="298"/>
    <col min="7" max="7" width="19.85546875" style="298" customWidth="1"/>
    <col min="8" max="16384" width="11.42578125" style="298"/>
  </cols>
  <sheetData>
    <row r="1" spans="1:3" s="395" customFormat="1" ht="23.25" x14ac:dyDescent="0.35">
      <c r="A1" s="584"/>
      <c r="B1" s="585" t="str">
        <f>Batiment_Info!E1</f>
        <v>Test d'étanchéité à l'air</v>
      </c>
      <c r="C1" s="586"/>
    </row>
    <row r="2" spans="1:3" s="395" customFormat="1" ht="15.75" x14ac:dyDescent="0.25">
      <c r="A2" s="584"/>
      <c r="B2" s="587" t="str">
        <f>Batiment_Info!E2</f>
        <v>NF EN 13829</v>
      </c>
      <c r="C2" s="588"/>
    </row>
    <row r="3" spans="1:3" s="395" customFormat="1" ht="15.75" x14ac:dyDescent="0.25">
      <c r="A3" s="536"/>
      <c r="B3" s="589" t="str">
        <f>language!B204</f>
        <v>Commentaires</v>
      </c>
      <c r="C3" s="590"/>
    </row>
    <row r="4" spans="1:3" s="395" customFormat="1" ht="15.75" x14ac:dyDescent="0.25">
      <c r="A4" s="584"/>
      <c r="B4" s="587"/>
      <c r="C4" s="588"/>
    </row>
    <row r="5" spans="1:3" s="395" customFormat="1" x14ac:dyDescent="0.2">
      <c r="A5" s="591" t="str">
        <f>CONCATENATE(Donnees_Test!B5," ",CONCATENATE(Batiment_Info!B7," ",Batiment_Info!B8))</f>
        <v xml:space="preserve">Projet :  </v>
      </c>
      <c r="B5" s="592"/>
      <c r="C5" s="593" t="str">
        <f>CONCATENATE(Donnees_Test!H5," ",Batiment_Info!G16)</f>
        <v xml:space="preserve">Technicien : </v>
      </c>
    </row>
    <row r="6" spans="1:3" s="395" customFormat="1" x14ac:dyDescent="0.2">
      <c r="A6" s="594" t="str">
        <f>CONCATENATE("            ",Batiment_Info!B10)</f>
        <v xml:space="preserve">            </v>
      </c>
      <c r="B6" s="592"/>
      <c r="C6" s="595" t="str">
        <f>Batiment_Info!D12</f>
        <v/>
      </c>
    </row>
    <row r="7" spans="1:3" s="395" customFormat="1" x14ac:dyDescent="0.2">
      <c r="A7" s="634"/>
      <c r="B7" s="423"/>
      <c r="C7" s="424"/>
    </row>
    <row r="8" spans="1:3" s="395" customFormat="1" x14ac:dyDescent="0.2">
      <c r="A8" s="635"/>
      <c r="B8" s="423"/>
      <c r="C8" s="424"/>
    </row>
    <row r="9" spans="1:3" x14ac:dyDescent="0.2">
      <c r="A9" s="636"/>
      <c r="B9" s="425"/>
      <c r="C9" s="425"/>
    </row>
    <row r="10" spans="1:3" x14ac:dyDescent="0.2">
      <c r="A10" s="637"/>
      <c r="B10" s="425"/>
      <c r="C10" s="425"/>
    </row>
    <row r="11" spans="1:3" x14ac:dyDescent="0.2">
      <c r="A11" s="636"/>
      <c r="B11" s="425"/>
      <c r="C11" s="425"/>
    </row>
    <row r="12" spans="1:3" x14ac:dyDescent="0.2">
      <c r="A12" s="636"/>
      <c r="B12" s="425"/>
      <c r="C12" s="425"/>
    </row>
    <row r="13" spans="1:3" x14ac:dyDescent="0.2">
      <c r="A13" s="636"/>
      <c r="B13" s="425"/>
      <c r="C13" s="425"/>
    </row>
    <row r="14" spans="1:3" x14ac:dyDescent="0.2">
      <c r="A14" s="636"/>
      <c r="B14" s="425"/>
      <c r="C14" s="425"/>
    </row>
    <row r="15" spans="1:3" x14ac:dyDescent="0.2">
      <c r="A15" s="636"/>
      <c r="B15" s="425"/>
      <c r="C15" s="425"/>
    </row>
    <row r="16" spans="1:3" x14ac:dyDescent="0.2">
      <c r="A16" s="636"/>
      <c r="B16" s="425"/>
      <c r="C16" s="425"/>
    </row>
    <row r="17" spans="1:3" x14ac:dyDescent="0.2">
      <c r="A17" s="636"/>
      <c r="B17" s="425"/>
      <c r="C17" s="425"/>
    </row>
    <row r="18" spans="1:3" x14ac:dyDescent="0.2">
      <c r="A18" s="636"/>
      <c r="B18" s="425"/>
      <c r="C18" s="425"/>
    </row>
    <row r="19" spans="1:3" x14ac:dyDescent="0.2">
      <c r="A19" s="636"/>
      <c r="B19" s="425"/>
      <c r="C19" s="425"/>
    </row>
    <row r="20" spans="1:3" x14ac:dyDescent="0.2">
      <c r="A20" s="636"/>
      <c r="B20" s="425"/>
      <c r="C20" s="425"/>
    </row>
    <row r="21" spans="1:3" x14ac:dyDescent="0.2">
      <c r="A21" s="636"/>
      <c r="B21" s="425"/>
      <c r="C21" s="425"/>
    </row>
    <row r="22" spans="1:3" x14ac:dyDescent="0.2">
      <c r="A22" s="636"/>
      <c r="B22" s="425"/>
      <c r="C22" s="425"/>
    </row>
    <row r="23" spans="1:3" x14ac:dyDescent="0.2">
      <c r="A23" s="636"/>
      <c r="B23" s="425"/>
      <c r="C23" s="425"/>
    </row>
    <row r="24" spans="1:3" x14ac:dyDescent="0.2">
      <c r="A24" s="636"/>
      <c r="B24" s="425"/>
      <c r="C24" s="425"/>
    </row>
    <row r="25" spans="1:3" x14ac:dyDescent="0.2">
      <c r="A25" s="636"/>
      <c r="B25" s="425"/>
      <c r="C25" s="425"/>
    </row>
    <row r="26" spans="1:3" x14ac:dyDescent="0.2">
      <c r="A26" s="636"/>
      <c r="B26" s="425"/>
      <c r="C26" s="425"/>
    </row>
    <row r="27" spans="1:3" x14ac:dyDescent="0.2">
      <c r="A27" s="636"/>
      <c r="B27" s="425"/>
      <c r="C27" s="425"/>
    </row>
    <row r="28" spans="1:3" x14ac:dyDescent="0.2">
      <c r="A28" s="636"/>
      <c r="B28" s="425"/>
      <c r="C28" s="425"/>
    </row>
    <row r="29" spans="1:3" x14ac:dyDescent="0.2">
      <c r="A29" s="636"/>
      <c r="B29" s="425"/>
      <c r="C29" s="425"/>
    </row>
    <row r="30" spans="1:3" x14ac:dyDescent="0.2">
      <c r="A30" s="636"/>
      <c r="B30" s="425"/>
      <c r="C30" s="425"/>
    </row>
    <row r="31" spans="1:3" x14ac:dyDescent="0.2">
      <c r="A31" s="636"/>
      <c r="B31" s="425"/>
      <c r="C31" s="425"/>
    </row>
    <row r="32" spans="1:3" x14ac:dyDescent="0.2">
      <c r="A32" s="636"/>
      <c r="B32" s="425"/>
      <c r="C32" s="425"/>
    </row>
    <row r="33" spans="1:3" x14ac:dyDescent="0.2">
      <c r="A33" s="636"/>
      <c r="B33" s="425"/>
      <c r="C33" s="425"/>
    </row>
    <row r="34" spans="1:3" x14ac:dyDescent="0.2">
      <c r="A34" s="636"/>
      <c r="B34" s="425"/>
      <c r="C34" s="425"/>
    </row>
    <row r="35" spans="1:3" x14ac:dyDescent="0.2">
      <c r="A35" s="636"/>
      <c r="B35" s="425"/>
      <c r="C35" s="425"/>
    </row>
    <row r="36" spans="1:3" x14ac:dyDescent="0.2">
      <c r="A36" s="636"/>
      <c r="B36" s="425"/>
      <c r="C36" s="425"/>
    </row>
    <row r="37" spans="1:3" x14ac:dyDescent="0.2">
      <c r="A37" s="636"/>
      <c r="B37" s="425"/>
      <c r="C37" s="425"/>
    </row>
    <row r="38" spans="1:3" x14ac:dyDescent="0.2">
      <c r="A38" s="636"/>
      <c r="B38" s="425"/>
      <c r="C38" s="425"/>
    </row>
    <row r="39" spans="1:3" x14ac:dyDescent="0.2">
      <c r="A39" s="636"/>
      <c r="B39" s="425"/>
      <c r="C39" s="425"/>
    </row>
    <row r="40" spans="1:3" x14ac:dyDescent="0.2">
      <c r="A40" s="636"/>
      <c r="B40" s="425"/>
      <c r="C40" s="425"/>
    </row>
    <row r="41" spans="1:3" x14ac:dyDescent="0.2">
      <c r="A41" s="636"/>
      <c r="B41" s="425"/>
      <c r="C41" s="425"/>
    </row>
    <row r="42" spans="1:3" x14ac:dyDescent="0.2">
      <c r="A42" s="636"/>
      <c r="B42" s="425"/>
      <c r="C42" s="425"/>
    </row>
    <row r="43" spans="1:3" x14ac:dyDescent="0.2">
      <c r="A43" s="636"/>
      <c r="B43" s="425"/>
      <c r="C43" s="425"/>
    </row>
    <row r="44" spans="1:3" x14ac:dyDescent="0.2">
      <c r="A44" s="636"/>
      <c r="B44" s="425"/>
      <c r="C44" s="425"/>
    </row>
    <row r="45" spans="1:3" x14ac:dyDescent="0.2">
      <c r="A45" s="636"/>
      <c r="B45" s="425"/>
      <c r="C45" s="425"/>
    </row>
    <row r="46" spans="1:3" x14ac:dyDescent="0.2">
      <c r="A46" s="636"/>
      <c r="B46" s="425"/>
      <c r="C46" s="425"/>
    </row>
    <row r="47" spans="1:3" x14ac:dyDescent="0.2">
      <c r="A47" s="636"/>
      <c r="B47" s="425"/>
      <c r="C47" s="425"/>
    </row>
    <row r="48" spans="1:3" x14ac:dyDescent="0.2">
      <c r="A48" s="636"/>
      <c r="B48" s="425"/>
      <c r="C48" s="425"/>
    </row>
    <row r="49" spans="1:3" x14ac:dyDescent="0.2">
      <c r="A49" s="636"/>
      <c r="B49" s="425"/>
      <c r="C49" s="425"/>
    </row>
    <row r="50" spans="1:3" x14ac:dyDescent="0.2">
      <c r="A50" s="636"/>
      <c r="B50" s="425"/>
      <c r="C50" s="425"/>
    </row>
    <row r="51" spans="1:3" x14ac:dyDescent="0.2">
      <c r="A51" s="636"/>
      <c r="B51" s="425"/>
      <c r="C51" s="425"/>
    </row>
    <row r="52" spans="1:3" x14ac:dyDescent="0.2">
      <c r="A52" s="636"/>
      <c r="B52" s="425"/>
      <c r="C52" s="425"/>
    </row>
    <row r="53" spans="1:3" x14ac:dyDescent="0.2">
      <c r="A53" s="636"/>
      <c r="B53" s="425"/>
      <c r="C53" s="425"/>
    </row>
    <row r="54" spans="1:3" x14ac:dyDescent="0.2">
      <c r="A54" s="636"/>
      <c r="B54" s="425"/>
      <c r="C54" s="425"/>
    </row>
    <row r="55" spans="1:3" x14ac:dyDescent="0.2">
      <c r="A55" s="636"/>
      <c r="B55" s="425"/>
      <c r="C55" s="425"/>
    </row>
    <row r="56" spans="1:3" x14ac:dyDescent="0.2">
      <c r="A56" s="636"/>
      <c r="B56" s="425"/>
      <c r="C56" s="425"/>
    </row>
    <row r="57" spans="1:3" x14ac:dyDescent="0.2">
      <c r="A57" s="636"/>
      <c r="B57" s="425"/>
      <c r="C57" s="425"/>
    </row>
    <row r="58" spans="1:3" x14ac:dyDescent="0.2">
      <c r="A58" s="636"/>
      <c r="B58" s="425"/>
      <c r="C58" s="425"/>
    </row>
    <row r="59" spans="1:3" x14ac:dyDescent="0.2">
      <c r="A59" s="636"/>
      <c r="B59" s="425"/>
      <c r="C59" s="425"/>
    </row>
    <row r="60" spans="1:3" x14ac:dyDescent="0.2">
      <c r="A60" s="636"/>
      <c r="B60" s="425"/>
      <c r="C60" s="425"/>
    </row>
    <row r="61" spans="1:3" x14ac:dyDescent="0.2">
      <c r="A61" s="636"/>
      <c r="B61" s="425"/>
      <c r="C61" s="425"/>
    </row>
    <row r="62" spans="1:3" x14ac:dyDescent="0.2">
      <c r="A62" s="636"/>
      <c r="B62" s="425"/>
      <c r="C62" s="425"/>
    </row>
    <row r="63" spans="1:3" x14ac:dyDescent="0.2">
      <c r="A63" s="636"/>
      <c r="B63" s="425"/>
      <c r="C63" s="425"/>
    </row>
    <row r="64" spans="1:3" x14ac:dyDescent="0.2">
      <c r="A64" s="636"/>
      <c r="B64" s="425"/>
      <c r="C64" s="425"/>
    </row>
    <row r="65" spans="1:3" x14ac:dyDescent="0.2">
      <c r="A65" s="636"/>
      <c r="B65" s="425"/>
      <c r="C65" s="425"/>
    </row>
    <row r="66" spans="1:3" x14ac:dyDescent="0.2">
      <c r="A66" s="636"/>
      <c r="B66" s="425"/>
      <c r="C66" s="425"/>
    </row>
    <row r="67" spans="1:3" x14ac:dyDescent="0.2">
      <c r="A67" s="636"/>
      <c r="B67" s="425"/>
      <c r="C67" s="425"/>
    </row>
    <row r="68" spans="1:3" x14ac:dyDescent="0.2">
      <c r="A68" s="636"/>
      <c r="B68" s="425"/>
      <c r="C68" s="425"/>
    </row>
    <row r="69" spans="1:3" x14ac:dyDescent="0.2">
      <c r="A69" s="636"/>
      <c r="B69" s="425"/>
      <c r="C69" s="425"/>
    </row>
    <row r="70" spans="1:3" x14ac:dyDescent="0.2">
      <c r="A70" s="636"/>
      <c r="B70" s="425"/>
      <c r="C70" s="425"/>
    </row>
    <row r="71" spans="1:3" x14ac:dyDescent="0.2">
      <c r="A71" s="636"/>
      <c r="B71" s="425"/>
      <c r="C71" s="425"/>
    </row>
    <row r="72" spans="1:3" x14ac:dyDescent="0.2">
      <c r="A72" s="636"/>
      <c r="B72" s="425"/>
      <c r="C72" s="425"/>
    </row>
    <row r="73" spans="1:3" x14ac:dyDescent="0.2">
      <c r="A73" s="636"/>
      <c r="B73" s="425"/>
      <c r="C73" s="425"/>
    </row>
    <row r="74" spans="1:3" x14ac:dyDescent="0.2">
      <c r="A74" s="636"/>
      <c r="B74" s="425"/>
      <c r="C74" s="425"/>
    </row>
    <row r="75" spans="1:3" x14ac:dyDescent="0.2">
      <c r="A75" s="636"/>
      <c r="B75" s="425"/>
      <c r="C75" s="425"/>
    </row>
    <row r="76" spans="1:3" x14ac:dyDescent="0.2">
      <c r="A76" s="636"/>
      <c r="B76" s="425"/>
      <c r="C76" s="425"/>
    </row>
    <row r="77" spans="1:3" x14ac:dyDescent="0.2">
      <c r="A77" s="636"/>
      <c r="B77" s="425"/>
      <c r="C77" s="425"/>
    </row>
    <row r="78" spans="1:3" x14ac:dyDescent="0.2">
      <c r="A78" s="636"/>
      <c r="B78" s="425"/>
      <c r="C78" s="425"/>
    </row>
    <row r="79" spans="1:3" x14ac:dyDescent="0.2">
      <c r="A79" s="636"/>
      <c r="B79" s="425"/>
      <c r="C79" s="425"/>
    </row>
    <row r="80" spans="1:3" x14ac:dyDescent="0.2">
      <c r="A80" s="636"/>
      <c r="B80" s="425"/>
      <c r="C80" s="425"/>
    </row>
    <row r="81" spans="1:3" x14ac:dyDescent="0.2">
      <c r="A81" s="636"/>
      <c r="B81" s="425"/>
      <c r="C81" s="425"/>
    </row>
    <row r="82" spans="1:3" x14ac:dyDescent="0.2">
      <c r="A82" s="636"/>
      <c r="B82" s="425"/>
      <c r="C82" s="425"/>
    </row>
    <row r="83" spans="1:3" x14ac:dyDescent="0.2">
      <c r="A83" s="636"/>
      <c r="B83" s="425"/>
      <c r="C83" s="425"/>
    </row>
    <row r="84" spans="1:3" x14ac:dyDescent="0.2">
      <c r="A84" s="636"/>
      <c r="B84" s="425"/>
      <c r="C84" s="425"/>
    </row>
    <row r="85" spans="1:3" x14ac:dyDescent="0.2">
      <c r="A85" s="636"/>
      <c r="B85" s="425"/>
      <c r="C85" s="425"/>
    </row>
    <row r="86" spans="1:3" x14ac:dyDescent="0.2">
      <c r="A86" s="636"/>
      <c r="B86" s="425"/>
      <c r="C86" s="425"/>
    </row>
    <row r="87" spans="1:3" x14ac:dyDescent="0.2">
      <c r="A87" s="636"/>
      <c r="B87" s="425"/>
      <c r="C87" s="425"/>
    </row>
    <row r="88" spans="1:3" x14ac:dyDescent="0.2">
      <c r="A88" s="636"/>
      <c r="B88" s="425"/>
      <c r="C88" s="425"/>
    </row>
    <row r="89" spans="1:3" x14ac:dyDescent="0.2">
      <c r="A89" s="636"/>
      <c r="B89" s="425"/>
      <c r="C89" s="425"/>
    </row>
    <row r="90" spans="1:3" x14ac:dyDescent="0.2">
      <c r="A90" s="636"/>
      <c r="B90" s="425"/>
      <c r="C90" s="425"/>
    </row>
    <row r="91" spans="1:3" x14ac:dyDescent="0.2">
      <c r="A91" s="636"/>
      <c r="B91" s="425"/>
      <c r="C91" s="425"/>
    </row>
    <row r="92" spans="1:3" x14ac:dyDescent="0.2">
      <c r="A92" s="636"/>
      <c r="B92" s="425"/>
      <c r="C92" s="425"/>
    </row>
    <row r="93" spans="1:3" x14ac:dyDescent="0.2">
      <c r="A93" s="636"/>
      <c r="B93" s="425"/>
      <c r="C93" s="425"/>
    </row>
    <row r="94" spans="1:3" x14ac:dyDescent="0.2">
      <c r="A94" s="636"/>
      <c r="B94" s="425"/>
      <c r="C94" s="425"/>
    </row>
    <row r="95" spans="1:3" x14ac:dyDescent="0.2">
      <c r="A95" s="636"/>
      <c r="B95" s="425"/>
      <c r="C95" s="425"/>
    </row>
    <row r="96" spans="1:3" x14ac:dyDescent="0.2">
      <c r="A96" s="636"/>
      <c r="B96" s="425"/>
      <c r="C96" s="425"/>
    </row>
    <row r="97" spans="1:3" x14ac:dyDescent="0.2">
      <c r="A97" s="636"/>
      <c r="B97" s="425"/>
      <c r="C97" s="425"/>
    </row>
    <row r="98" spans="1:3" x14ac:dyDescent="0.2">
      <c r="A98" s="636"/>
      <c r="B98" s="425"/>
      <c r="C98" s="425"/>
    </row>
    <row r="99" spans="1:3" x14ac:dyDescent="0.2">
      <c r="A99" s="636"/>
      <c r="B99" s="425"/>
      <c r="C99" s="425"/>
    </row>
    <row r="100" spans="1:3" x14ac:dyDescent="0.2">
      <c r="A100" s="636"/>
      <c r="B100" s="425"/>
      <c r="C100" s="425"/>
    </row>
    <row r="101" spans="1:3" x14ac:dyDescent="0.2">
      <c r="A101" s="636"/>
      <c r="B101" s="425"/>
      <c r="C101" s="425"/>
    </row>
    <row r="102" spans="1:3" x14ac:dyDescent="0.2">
      <c r="A102" s="636"/>
      <c r="B102" s="425"/>
      <c r="C102" s="425"/>
    </row>
    <row r="103" spans="1:3" x14ac:dyDescent="0.2">
      <c r="A103" s="636"/>
      <c r="B103" s="425"/>
      <c r="C103" s="425"/>
    </row>
    <row r="104" spans="1:3" x14ac:dyDescent="0.2">
      <c r="A104" s="636"/>
      <c r="B104" s="425"/>
      <c r="C104" s="425"/>
    </row>
    <row r="105" spans="1:3" x14ac:dyDescent="0.2">
      <c r="A105" s="636"/>
      <c r="B105" s="425"/>
      <c r="C105" s="425"/>
    </row>
    <row r="106" spans="1:3" x14ac:dyDescent="0.2">
      <c r="A106" s="636"/>
      <c r="B106" s="425"/>
      <c r="C106" s="425"/>
    </row>
    <row r="107" spans="1:3" x14ac:dyDescent="0.2">
      <c r="A107" s="636"/>
      <c r="B107" s="425"/>
      <c r="C107" s="425"/>
    </row>
    <row r="108" spans="1:3" x14ac:dyDescent="0.2">
      <c r="A108" s="636"/>
      <c r="B108" s="425"/>
      <c r="C108" s="425"/>
    </row>
    <row r="109" spans="1:3" x14ac:dyDescent="0.2">
      <c r="A109" s="636"/>
      <c r="B109" s="425"/>
      <c r="C109" s="425"/>
    </row>
    <row r="110" spans="1:3" x14ac:dyDescent="0.2">
      <c r="A110" s="636"/>
      <c r="B110" s="425"/>
      <c r="C110" s="425"/>
    </row>
    <row r="111" spans="1:3" x14ac:dyDescent="0.2">
      <c r="A111" s="636"/>
      <c r="B111" s="425"/>
      <c r="C111" s="425"/>
    </row>
    <row r="112" spans="1:3" x14ac:dyDescent="0.2">
      <c r="A112" s="636"/>
      <c r="B112" s="425"/>
      <c r="C112" s="425"/>
    </row>
    <row r="113" spans="1:3" x14ac:dyDescent="0.2">
      <c r="A113" s="636"/>
      <c r="B113" s="425"/>
      <c r="C113" s="425"/>
    </row>
    <row r="114" spans="1:3" x14ac:dyDescent="0.2">
      <c r="A114" s="636"/>
      <c r="B114" s="425"/>
      <c r="C114" s="425"/>
    </row>
    <row r="115" spans="1:3" x14ac:dyDescent="0.2">
      <c r="A115" s="636"/>
      <c r="B115" s="425"/>
      <c r="C115" s="425"/>
    </row>
    <row r="116" spans="1:3" x14ac:dyDescent="0.2">
      <c r="A116" s="636"/>
      <c r="B116" s="425"/>
      <c r="C116" s="425"/>
    </row>
    <row r="117" spans="1:3" x14ac:dyDescent="0.2">
      <c r="A117" s="636"/>
      <c r="B117" s="425"/>
      <c r="C117" s="425"/>
    </row>
    <row r="118" spans="1:3" x14ac:dyDescent="0.2">
      <c r="A118" s="636"/>
      <c r="B118" s="425"/>
      <c r="C118" s="425"/>
    </row>
    <row r="119" spans="1:3" x14ac:dyDescent="0.2">
      <c r="A119" s="636"/>
      <c r="B119" s="425"/>
      <c r="C119" s="425"/>
    </row>
    <row r="120" spans="1:3" x14ac:dyDescent="0.2">
      <c r="A120" s="636"/>
      <c r="B120" s="425"/>
      <c r="C120" s="425"/>
    </row>
    <row r="121" spans="1:3" x14ac:dyDescent="0.2">
      <c r="A121" s="636"/>
      <c r="B121" s="425"/>
      <c r="C121" s="425"/>
    </row>
    <row r="122" spans="1:3" x14ac:dyDescent="0.2">
      <c r="A122" s="636"/>
      <c r="B122" s="425"/>
      <c r="C122" s="425"/>
    </row>
    <row r="123" spans="1:3" x14ac:dyDescent="0.2">
      <c r="A123" s="636"/>
      <c r="B123" s="425"/>
      <c r="C123" s="425"/>
    </row>
    <row r="124" spans="1:3" x14ac:dyDescent="0.2">
      <c r="A124" s="636"/>
      <c r="B124" s="425"/>
      <c r="C124" s="425"/>
    </row>
    <row r="125" spans="1:3" x14ac:dyDescent="0.2">
      <c r="A125" s="636"/>
      <c r="B125" s="425"/>
      <c r="C125" s="425"/>
    </row>
    <row r="126" spans="1:3" x14ac:dyDescent="0.2">
      <c r="A126" s="636"/>
      <c r="B126" s="425"/>
      <c r="C126" s="425"/>
    </row>
    <row r="127" spans="1:3" x14ac:dyDescent="0.2">
      <c r="A127" s="636"/>
      <c r="B127" s="425"/>
      <c r="C127" s="425"/>
    </row>
    <row r="128" spans="1:3" x14ac:dyDescent="0.2">
      <c r="A128" s="636"/>
      <c r="B128" s="425"/>
      <c r="C128" s="425"/>
    </row>
    <row r="129" spans="1:3" x14ac:dyDescent="0.2">
      <c r="A129" s="636"/>
      <c r="B129" s="425"/>
      <c r="C129" s="425"/>
    </row>
    <row r="130" spans="1:3" x14ac:dyDescent="0.2">
      <c r="A130" s="636"/>
      <c r="B130" s="425"/>
      <c r="C130" s="425"/>
    </row>
    <row r="131" spans="1:3" x14ac:dyDescent="0.2">
      <c r="A131" s="636"/>
      <c r="B131" s="425"/>
      <c r="C131" s="425"/>
    </row>
    <row r="132" spans="1:3" x14ac:dyDescent="0.2">
      <c r="A132" s="636"/>
      <c r="B132" s="425"/>
      <c r="C132" s="425"/>
    </row>
    <row r="133" spans="1:3" x14ac:dyDescent="0.2">
      <c r="A133" s="636"/>
      <c r="B133" s="425"/>
      <c r="C133" s="425"/>
    </row>
    <row r="134" spans="1:3" x14ac:dyDescent="0.2">
      <c r="A134" s="636"/>
      <c r="B134" s="425"/>
      <c r="C134" s="425"/>
    </row>
    <row r="135" spans="1:3" x14ac:dyDescent="0.2">
      <c r="A135" s="636"/>
      <c r="B135" s="425"/>
      <c r="C135" s="425"/>
    </row>
    <row r="136" spans="1:3" x14ac:dyDescent="0.2">
      <c r="A136" s="636"/>
      <c r="B136" s="425"/>
      <c r="C136" s="425"/>
    </row>
    <row r="137" spans="1:3" x14ac:dyDescent="0.2">
      <c r="A137" s="636"/>
      <c r="B137" s="425"/>
      <c r="C137" s="425"/>
    </row>
    <row r="138" spans="1:3" x14ac:dyDescent="0.2">
      <c r="A138" s="636"/>
      <c r="B138" s="425"/>
      <c r="C138" s="425"/>
    </row>
    <row r="139" spans="1:3" x14ac:dyDescent="0.2">
      <c r="A139" s="636"/>
      <c r="B139" s="425"/>
      <c r="C139" s="425"/>
    </row>
    <row r="140" spans="1:3" x14ac:dyDescent="0.2">
      <c r="A140" s="636"/>
      <c r="B140" s="425"/>
      <c r="C140" s="425"/>
    </row>
    <row r="141" spans="1:3" x14ac:dyDescent="0.2">
      <c r="A141" s="636"/>
      <c r="B141" s="425"/>
      <c r="C141" s="425"/>
    </row>
    <row r="142" spans="1:3" x14ac:dyDescent="0.2">
      <c r="A142" s="636"/>
      <c r="B142" s="425"/>
      <c r="C142" s="425"/>
    </row>
    <row r="143" spans="1:3" x14ac:dyDescent="0.2">
      <c r="A143" s="636"/>
      <c r="B143" s="425"/>
      <c r="C143" s="425"/>
    </row>
    <row r="144" spans="1:3" x14ac:dyDescent="0.2">
      <c r="A144" s="636"/>
      <c r="B144" s="425"/>
      <c r="C144" s="425"/>
    </row>
    <row r="145" spans="1:3" x14ac:dyDescent="0.2">
      <c r="A145" s="636"/>
      <c r="B145" s="425"/>
      <c r="C145" s="425"/>
    </row>
    <row r="146" spans="1:3" x14ac:dyDescent="0.2">
      <c r="A146" s="636"/>
      <c r="B146" s="425"/>
      <c r="C146" s="425"/>
    </row>
    <row r="147" spans="1:3" x14ac:dyDescent="0.2">
      <c r="A147" s="636"/>
      <c r="B147" s="425"/>
      <c r="C147" s="425"/>
    </row>
    <row r="148" spans="1:3" x14ac:dyDescent="0.2">
      <c r="A148" s="636"/>
      <c r="B148" s="425"/>
      <c r="C148" s="425"/>
    </row>
    <row r="149" spans="1:3" x14ac:dyDescent="0.2">
      <c r="A149" s="636"/>
      <c r="B149" s="425"/>
      <c r="C149" s="425"/>
    </row>
    <row r="150" spans="1:3" x14ac:dyDescent="0.2">
      <c r="A150" s="636"/>
      <c r="B150" s="425"/>
      <c r="C150" s="425"/>
    </row>
    <row r="151" spans="1:3" x14ac:dyDescent="0.2">
      <c r="A151" s="636"/>
      <c r="B151" s="425"/>
      <c r="C151" s="425"/>
    </row>
    <row r="152" spans="1:3" x14ac:dyDescent="0.2">
      <c r="A152" s="636"/>
      <c r="B152" s="425"/>
      <c r="C152" s="425"/>
    </row>
    <row r="153" spans="1:3" x14ac:dyDescent="0.2">
      <c r="A153" s="636"/>
      <c r="B153" s="425"/>
      <c r="C153" s="425"/>
    </row>
    <row r="154" spans="1:3" x14ac:dyDescent="0.2">
      <c r="A154" s="636"/>
      <c r="B154" s="425"/>
      <c r="C154" s="425"/>
    </row>
    <row r="155" spans="1:3" x14ac:dyDescent="0.2">
      <c r="A155" s="636"/>
      <c r="B155" s="425"/>
      <c r="C155" s="425"/>
    </row>
    <row r="156" spans="1:3" x14ac:dyDescent="0.2">
      <c r="A156" s="636"/>
      <c r="B156" s="425"/>
      <c r="C156" s="425"/>
    </row>
    <row r="157" spans="1:3" x14ac:dyDescent="0.2">
      <c r="A157" s="636"/>
      <c r="B157" s="425"/>
      <c r="C157" s="425"/>
    </row>
    <row r="158" spans="1:3" x14ac:dyDescent="0.2">
      <c r="A158" s="636"/>
      <c r="B158" s="425"/>
      <c r="C158" s="425"/>
    </row>
    <row r="159" spans="1:3" x14ac:dyDescent="0.2">
      <c r="A159" s="636"/>
      <c r="B159" s="425"/>
      <c r="C159" s="425"/>
    </row>
    <row r="160" spans="1:3" x14ac:dyDescent="0.2">
      <c r="A160" s="636"/>
      <c r="B160" s="425"/>
      <c r="C160" s="425"/>
    </row>
    <row r="161" spans="1:3" x14ac:dyDescent="0.2">
      <c r="A161" s="636"/>
      <c r="B161" s="425"/>
      <c r="C161" s="425"/>
    </row>
    <row r="162" spans="1:3" x14ac:dyDescent="0.2">
      <c r="A162" s="636"/>
      <c r="B162" s="425"/>
      <c r="C162" s="425"/>
    </row>
    <row r="163" spans="1:3" x14ac:dyDescent="0.2">
      <c r="A163" s="636"/>
      <c r="B163" s="425"/>
      <c r="C163" s="425"/>
    </row>
    <row r="164" spans="1:3" x14ac:dyDescent="0.2">
      <c r="A164" s="636"/>
      <c r="B164" s="425"/>
      <c r="C164" s="425"/>
    </row>
    <row r="165" spans="1:3" x14ac:dyDescent="0.2">
      <c r="A165" s="636"/>
      <c r="B165" s="425"/>
      <c r="C165" s="425"/>
    </row>
    <row r="166" spans="1:3" x14ac:dyDescent="0.2">
      <c r="A166" s="636"/>
      <c r="B166" s="425"/>
      <c r="C166" s="425"/>
    </row>
    <row r="167" spans="1:3" x14ac:dyDescent="0.2">
      <c r="A167" s="636"/>
      <c r="B167" s="425"/>
      <c r="C167" s="425"/>
    </row>
    <row r="168" spans="1:3" x14ac:dyDescent="0.2">
      <c r="A168" s="636"/>
      <c r="B168" s="425"/>
      <c r="C168" s="425"/>
    </row>
    <row r="169" spans="1:3" x14ac:dyDescent="0.2">
      <c r="A169" s="636"/>
      <c r="B169" s="425"/>
      <c r="C169" s="425"/>
    </row>
    <row r="170" spans="1:3" x14ac:dyDescent="0.2">
      <c r="A170" s="636"/>
      <c r="B170" s="425"/>
      <c r="C170" s="425"/>
    </row>
    <row r="171" spans="1:3" x14ac:dyDescent="0.2">
      <c r="A171" s="636"/>
      <c r="B171" s="425"/>
      <c r="C171" s="425"/>
    </row>
    <row r="172" spans="1:3" x14ac:dyDescent="0.2">
      <c r="A172" s="636"/>
      <c r="B172" s="425"/>
      <c r="C172" s="425"/>
    </row>
    <row r="173" spans="1:3" x14ac:dyDescent="0.2">
      <c r="A173" s="636"/>
      <c r="B173" s="425"/>
      <c r="C173" s="425"/>
    </row>
    <row r="174" spans="1:3" x14ac:dyDescent="0.2">
      <c r="A174" s="636"/>
      <c r="B174" s="425"/>
      <c r="C174" s="425"/>
    </row>
    <row r="175" spans="1:3" x14ac:dyDescent="0.2">
      <c r="A175" s="636"/>
      <c r="B175" s="425"/>
      <c r="C175" s="425"/>
    </row>
    <row r="176" spans="1:3" x14ac:dyDescent="0.2">
      <c r="A176" s="636"/>
      <c r="B176" s="425"/>
      <c r="C176" s="425"/>
    </row>
    <row r="177" spans="1:3" x14ac:dyDescent="0.2">
      <c r="A177" s="636"/>
      <c r="B177" s="425"/>
      <c r="C177" s="425"/>
    </row>
    <row r="178" spans="1:3" x14ac:dyDescent="0.2">
      <c r="A178" s="636"/>
      <c r="B178" s="425"/>
      <c r="C178" s="425"/>
    </row>
    <row r="179" spans="1:3" x14ac:dyDescent="0.2">
      <c r="A179" s="636"/>
      <c r="B179" s="425"/>
      <c r="C179" s="425"/>
    </row>
    <row r="180" spans="1:3" x14ac:dyDescent="0.2">
      <c r="A180" s="636"/>
      <c r="B180" s="425"/>
      <c r="C180" s="425"/>
    </row>
    <row r="181" spans="1:3" x14ac:dyDescent="0.2">
      <c r="A181" s="636"/>
      <c r="B181" s="425"/>
      <c r="C181" s="425"/>
    </row>
    <row r="182" spans="1:3" x14ac:dyDescent="0.2">
      <c r="A182" s="636"/>
      <c r="B182" s="425"/>
      <c r="C182" s="425"/>
    </row>
    <row r="183" spans="1:3" x14ac:dyDescent="0.2">
      <c r="A183" s="636"/>
      <c r="B183" s="425"/>
      <c r="C183" s="425"/>
    </row>
    <row r="184" spans="1:3" x14ac:dyDescent="0.2">
      <c r="A184" s="636"/>
      <c r="B184" s="425"/>
      <c r="C184" s="425"/>
    </row>
    <row r="185" spans="1:3" x14ac:dyDescent="0.2">
      <c r="A185" s="636"/>
      <c r="B185" s="425"/>
      <c r="C185" s="425"/>
    </row>
    <row r="186" spans="1:3" x14ac:dyDescent="0.2">
      <c r="A186" s="636"/>
      <c r="B186" s="425"/>
      <c r="C186" s="425"/>
    </row>
    <row r="187" spans="1:3" x14ac:dyDescent="0.2">
      <c r="A187" s="636"/>
      <c r="B187" s="425"/>
      <c r="C187" s="425"/>
    </row>
    <row r="188" spans="1:3" x14ac:dyDescent="0.2">
      <c r="A188" s="636"/>
      <c r="B188" s="425"/>
      <c r="C188" s="425"/>
    </row>
    <row r="189" spans="1:3" x14ac:dyDescent="0.2">
      <c r="A189" s="636"/>
      <c r="B189" s="425"/>
      <c r="C189" s="425"/>
    </row>
    <row r="190" spans="1:3" x14ac:dyDescent="0.2">
      <c r="A190" s="636"/>
      <c r="B190" s="425"/>
      <c r="C190" s="425"/>
    </row>
    <row r="191" spans="1:3" x14ac:dyDescent="0.2">
      <c r="A191" s="636"/>
      <c r="B191" s="425"/>
      <c r="C191" s="425"/>
    </row>
    <row r="192" spans="1:3" x14ac:dyDescent="0.2">
      <c r="A192" s="636"/>
      <c r="B192" s="425"/>
      <c r="C192" s="425"/>
    </row>
    <row r="193" spans="1:3" x14ac:dyDescent="0.2">
      <c r="A193" s="636"/>
      <c r="B193" s="425"/>
      <c r="C193" s="425"/>
    </row>
    <row r="194" spans="1:3" x14ac:dyDescent="0.2">
      <c r="A194" s="636"/>
      <c r="B194" s="425"/>
      <c r="C194" s="425"/>
    </row>
    <row r="195" spans="1:3" x14ac:dyDescent="0.2">
      <c r="A195" s="636"/>
      <c r="B195" s="425"/>
      <c r="C195" s="425"/>
    </row>
    <row r="196" spans="1:3" x14ac:dyDescent="0.2">
      <c r="A196" s="636"/>
      <c r="B196" s="425"/>
      <c r="C196" s="425"/>
    </row>
    <row r="197" spans="1:3" x14ac:dyDescent="0.2">
      <c r="A197" s="636"/>
      <c r="B197" s="425"/>
      <c r="C197" s="425"/>
    </row>
    <row r="198" spans="1:3" x14ac:dyDescent="0.2">
      <c r="A198" s="636"/>
      <c r="B198" s="425"/>
      <c r="C198" s="425"/>
    </row>
    <row r="199" spans="1:3" x14ac:dyDescent="0.2">
      <c r="A199" s="636"/>
      <c r="B199" s="425"/>
      <c r="C199" s="425"/>
    </row>
    <row r="200" spans="1:3" x14ac:dyDescent="0.2">
      <c r="A200" s="636"/>
      <c r="B200" s="425"/>
      <c r="C200" s="425"/>
    </row>
    <row r="201" spans="1:3" x14ac:dyDescent="0.2">
      <c r="A201" s="636"/>
      <c r="B201" s="425"/>
      <c r="C201" s="425"/>
    </row>
    <row r="202" spans="1:3" x14ac:dyDescent="0.2">
      <c r="A202" s="636"/>
      <c r="B202" s="425"/>
      <c r="C202" s="425"/>
    </row>
    <row r="203" spans="1:3" x14ac:dyDescent="0.2">
      <c r="A203" s="636"/>
      <c r="B203" s="425"/>
      <c r="C203" s="425"/>
    </row>
    <row r="204" spans="1:3" x14ac:dyDescent="0.2">
      <c r="A204" s="636"/>
      <c r="B204" s="425"/>
      <c r="C204" s="425"/>
    </row>
    <row r="205" spans="1:3" x14ac:dyDescent="0.2">
      <c r="A205" s="636"/>
      <c r="B205" s="425"/>
      <c r="C205" s="425"/>
    </row>
    <row r="206" spans="1:3" x14ac:dyDescent="0.2">
      <c r="A206" s="636"/>
      <c r="B206" s="425"/>
      <c r="C206" s="425"/>
    </row>
    <row r="207" spans="1:3" x14ac:dyDescent="0.2">
      <c r="A207" s="636"/>
      <c r="B207" s="425"/>
      <c r="C207" s="425"/>
    </row>
    <row r="208" spans="1:3" x14ac:dyDescent="0.2">
      <c r="A208" s="636"/>
      <c r="B208" s="425"/>
      <c r="C208" s="425"/>
    </row>
    <row r="209" spans="1:3" x14ac:dyDescent="0.2">
      <c r="A209" s="636"/>
      <c r="B209" s="425"/>
      <c r="C209" s="425"/>
    </row>
    <row r="210" spans="1:3" x14ac:dyDescent="0.2">
      <c r="A210" s="636"/>
      <c r="B210" s="425"/>
      <c r="C210" s="425"/>
    </row>
    <row r="211" spans="1:3" x14ac:dyDescent="0.2">
      <c r="A211" s="636"/>
      <c r="B211" s="425"/>
      <c r="C211" s="425"/>
    </row>
    <row r="212" spans="1:3" x14ac:dyDescent="0.2">
      <c r="A212" s="636"/>
      <c r="B212" s="425"/>
      <c r="C212" s="425"/>
    </row>
    <row r="213" spans="1:3" x14ac:dyDescent="0.2">
      <c r="A213" s="636"/>
      <c r="B213" s="425"/>
      <c r="C213" s="425"/>
    </row>
    <row r="214" spans="1:3" x14ac:dyDescent="0.2">
      <c r="A214" s="636"/>
      <c r="B214" s="425"/>
      <c r="C214" s="425"/>
    </row>
    <row r="215" spans="1:3" x14ac:dyDescent="0.2">
      <c r="A215" s="636"/>
      <c r="B215" s="425"/>
      <c r="C215" s="425"/>
    </row>
    <row r="216" spans="1:3" x14ac:dyDescent="0.2">
      <c r="A216" s="636"/>
      <c r="B216" s="425"/>
      <c r="C216" s="425"/>
    </row>
    <row r="217" spans="1:3" x14ac:dyDescent="0.2">
      <c r="A217" s="636"/>
      <c r="B217" s="425"/>
      <c r="C217" s="425"/>
    </row>
    <row r="218" spans="1:3" x14ac:dyDescent="0.2">
      <c r="A218" s="636"/>
      <c r="B218" s="425"/>
      <c r="C218" s="425"/>
    </row>
    <row r="219" spans="1:3" x14ac:dyDescent="0.2">
      <c r="A219" s="636"/>
      <c r="B219" s="425"/>
      <c r="C219" s="425"/>
    </row>
    <row r="220" spans="1:3" x14ac:dyDescent="0.2">
      <c r="A220" s="636"/>
      <c r="B220" s="425"/>
      <c r="C220" s="425"/>
    </row>
    <row r="221" spans="1:3" x14ac:dyDescent="0.2">
      <c r="A221" s="636"/>
      <c r="B221" s="425"/>
      <c r="C221" s="425"/>
    </row>
    <row r="222" spans="1:3" x14ac:dyDescent="0.2">
      <c r="A222" s="636"/>
      <c r="B222" s="425"/>
      <c r="C222" s="425"/>
    </row>
    <row r="223" spans="1:3" x14ac:dyDescent="0.2">
      <c r="A223" s="636"/>
      <c r="B223" s="425"/>
      <c r="C223" s="425"/>
    </row>
    <row r="224" spans="1:3" x14ac:dyDescent="0.2">
      <c r="A224" s="636"/>
      <c r="B224" s="425"/>
      <c r="C224" s="425"/>
    </row>
    <row r="225" spans="1:3" x14ac:dyDescent="0.2">
      <c r="A225" s="636"/>
      <c r="B225" s="425"/>
      <c r="C225" s="425"/>
    </row>
    <row r="226" spans="1:3" x14ac:dyDescent="0.2">
      <c r="A226" s="636"/>
      <c r="B226" s="425"/>
      <c r="C226" s="425"/>
    </row>
    <row r="227" spans="1:3" x14ac:dyDescent="0.2">
      <c r="A227" s="636"/>
      <c r="B227" s="425"/>
      <c r="C227" s="425"/>
    </row>
    <row r="228" spans="1:3" x14ac:dyDescent="0.2">
      <c r="A228" s="636"/>
      <c r="B228" s="425"/>
      <c r="C228" s="425"/>
    </row>
    <row r="229" spans="1:3" x14ac:dyDescent="0.2">
      <c r="A229" s="636"/>
      <c r="B229" s="425"/>
      <c r="C229" s="425"/>
    </row>
    <row r="230" spans="1:3" x14ac:dyDescent="0.2">
      <c r="A230" s="636"/>
      <c r="B230" s="425"/>
      <c r="C230" s="425"/>
    </row>
    <row r="231" spans="1:3" x14ac:dyDescent="0.2">
      <c r="A231" s="636"/>
      <c r="B231" s="425"/>
      <c r="C231" s="425"/>
    </row>
    <row r="232" spans="1:3" x14ac:dyDescent="0.2">
      <c r="A232" s="636"/>
      <c r="B232" s="425"/>
      <c r="C232" s="425"/>
    </row>
    <row r="233" spans="1:3" x14ac:dyDescent="0.2">
      <c r="A233" s="636"/>
      <c r="B233" s="425"/>
      <c r="C233" s="425"/>
    </row>
    <row r="234" spans="1:3" x14ac:dyDescent="0.2">
      <c r="A234" s="636"/>
      <c r="B234" s="425"/>
      <c r="C234" s="425"/>
    </row>
    <row r="235" spans="1:3" x14ac:dyDescent="0.2">
      <c r="A235" s="636"/>
      <c r="B235" s="425"/>
      <c r="C235" s="425"/>
    </row>
    <row r="236" spans="1:3" x14ac:dyDescent="0.2">
      <c r="A236" s="636"/>
      <c r="B236" s="425"/>
      <c r="C236" s="425"/>
    </row>
    <row r="237" spans="1:3" x14ac:dyDescent="0.2">
      <c r="A237" s="636"/>
      <c r="B237" s="425"/>
      <c r="C237" s="425"/>
    </row>
    <row r="238" spans="1:3" x14ac:dyDescent="0.2">
      <c r="A238" s="636"/>
      <c r="B238" s="425"/>
      <c r="C238" s="425"/>
    </row>
    <row r="239" spans="1:3" x14ac:dyDescent="0.2">
      <c r="A239" s="636"/>
      <c r="B239" s="425"/>
      <c r="C239" s="425"/>
    </row>
    <row r="240" spans="1:3" x14ac:dyDescent="0.2">
      <c r="A240" s="636"/>
      <c r="B240" s="425"/>
      <c r="C240" s="425"/>
    </row>
    <row r="241" spans="1:3" x14ac:dyDescent="0.2">
      <c r="A241" s="636"/>
      <c r="B241" s="425"/>
      <c r="C241" s="425"/>
    </row>
    <row r="242" spans="1:3" x14ac:dyDescent="0.2">
      <c r="A242" s="636"/>
      <c r="B242" s="425"/>
      <c r="C242" s="425"/>
    </row>
    <row r="243" spans="1:3" x14ac:dyDescent="0.2">
      <c r="A243" s="636"/>
      <c r="B243" s="425"/>
      <c r="C243" s="425"/>
    </row>
    <row r="244" spans="1:3" x14ac:dyDescent="0.2">
      <c r="A244" s="636"/>
      <c r="B244" s="425"/>
      <c r="C244" s="425"/>
    </row>
    <row r="245" spans="1:3" x14ac:dyDescent="0.2">
      <c r="A245" s="636"/>
      <c r="B245" s="425"/>
      <c r="C245" s="425"/>
    </row>
    <row r="246" spans="1:3" x14ac:dyDescent="0.2">
      <c r="A246" s="636"/>
      <c r="B246" s="425"/>
      <c r="C246" s="425"/>
    </row>
    <row r="247" spans="1:3" x14ac:dyDescent="0.2">
      <c r="A247" s="636"/>
      <c r="B247" s="425"/>
      <c r="C247" s="425"/>
    </row>
    <row r="248" spans="1:3" x14ac:dyDescent="0.2">
      <c r="A248" s="636"/>
      <c r="B248" s="425"/>
      <c r="C248" s="425"/>
    </row>
    <row r="249" spans="1:3" x14ac:dyDescent="0.2">
      <c r="A249" s="636"/>
      <c r="B249" s="425"/>
      <c r="C249" s="425"/>
    </row>
    <row r="250" spans="1:3" x14ac:dyDescent="0.2">
      <c r="A250" s="636"/>
      <c r="B250" s="425"/>
      <c r="C250" s="425"/>
    </row>
    <row r="251" spans="1:3" x14ac:dyDescent="0.2">
      <c r="A251" s="636"/>
      <c r="B251" s="425"/>
      <c r="C251" s="425"/>
    </row>
    <row r="252" spans="1:3" x14ac:dyDescent="0.2">
      <c r="A252" s="636"/>
      <c r="B252" s="425"/>
      <c r="C252" s="425"/>
    </row>
    <row r="253" spans="1:3" x14ac:dyDescent="0.2">
      <c r="A253" s="636"/>
      <c r="B253" s="425"/>
      <c r="C253" s="425"/>
    </row>
    <row r="254" spans="1:3" x14ac:dyDescent="0.2">
      <c r="A254" s="636"/>
      <c r="B254" s="425"/>
      <c r="C254" s="425"/>
    </row>
    <row r="255" spans="1:3" x14ac:dyDescent="0.2">
      <c r="A255" s="636"/>
      <c r="B255" s="425"/>
      <c r="C255" s="425"/>
    </row>
    <row r="256" spans="1:3" x14ac:dyDescent="0.2">
      <c r="A256" s="636"/>
      <c r="B256" s="425"/>
      <c r="C256" s="425"/>
    </row>
    <row r="257" spans="1:3" x14ac:dyDescent="0.2">
      <c r="A257" s="636"/>
      <c r="B257" s="425"/>
      <c r="C257" s="425"/>
    </row>
    <row r="258" spans="1:3" x14ac:dyDescent="0.2">
      <c r="A258" s="636"/>
      <c r="B258" s="425"/>
      <c r="C258" s="425"/>
    </row>
    <row r="259" spans="1:3" x14ac:dyDescent="0.2">
      <c r="A259" s="636"/>
      <c r="B259" s="425"/>
      <c r="C259" s="425"/>
    </row>
    <row r="260" spans="1:3" x14ac:dyDescent="0.2">
      <c r="A260" s="636"/>
      <c r="B260" s="425"/>
      <c r="C260" s="425"/>
    </row>
    <row r="261" spans="1:3" x14ac:dyDescent="0.2">
      <c r="A261" s="636"/>
      <c r="B261" s="425"/>
      <c r="C261" s="425"/>
    </row>
    <row r="262" spans="1:3" x14ac:dyDescent="0.2">
      <c r="A262" s="636"/>
      <c r="B262" s="425"/>
      <c r="C262" s="425"/>
    </row>
    <row r="263" spans="1:3" x14ac:dyDescent="0.2">
      <c r="A263" s="636"/>
      <c r="B263" s="425"/>
      <c r="C263" s="425"/>
    </row>
    <row r="264" spans="1:3" x14ac:dyDescent="0.2">
      <c r="A264" s="636"/>
      <c r="B264" s="425"/>
      <c r="C264" s="425"/>
    </row>
    <row r="265" spans="1:3" x14ac:dyDescent="0.2">
      <c r="A265" s="636"/>
      <c r="B265" s="425"/>
      <c r="C265" s="425"/>
    </row>
    <row r="266" spans="1:3" x14ac:dyDescent="0.2">
      <c r="A266" s="636"/>
      <c r="B266" s="425"/>
      <c r="C266" s="425"/>
    </row>
    <row r="267" spans="1:3" x14ac:dyDescent="0.2">
      <c r="A267" s="636"/>
      <c r="B267" s="425"/>
      <c r="C267" s="425"/>
    </row>
    <row r="268" spans="1:3" x14ac:dyDescent="0.2">
      <c r="A268" s="636"/>
      <c r="B268" s="425"/>
      <c r="C268" s="425"/>
    </row>
    <row r="269" spans="1:3" x14ac:dyDescent="0.2">
      <c r="A269" s="636"/>
      <c r="B269" s="425"/>
      <c r="C269" s="425"/>
    </row>
    <row r="270" spans="1:3" x14ac:dyDescent="0.2">
      <c r="A270" s="636"/>
      <c r="B270" s="425"/>
      <c r="C270" s="425"/>
    </row>
    <row r="271" spans="1:3" x14ac:dyDescent="0.2">
      <c r="A271" s="636"/>
      <c r="B271" s="425"/>
      <c r="C271" s="425"/>
    </row>
    <row r="272" spans="1:3" x14ac:dyDescent="0.2">
      <c r="A272" s="636"/>
      <c r="B272" s="425"/>
      <c r="C272" s="425"/>
    </row>
    <row r="273" spans="1:3" x14ac:dyDescent="0.2">
      <c r="A273" s="636"/>
      <c r="B273" s="425"/>
      <c r="C273" s="425"/>
    </row>
    <row r="274" spans="1:3" x14ac:dyDescent="0.2">
      <c r="A274" s="636"/>
      <c r="B274" s="425"/>
      <c r="C274" s="425"/>
    </row>
    <row r="275" spans="1:3" x14ac:dyDescent="0.2">
      <c r="A275" s="636"/>
      <c r="B275" s="425"/>
      <c r="C275" s="425"/>
    </row>
    <row r="276" spans="1:3" x14ac:dyDescent="0.2">
      <c r="A276" s="636"/>
      <c r="B276" s="425"/>
      <c r="C276" s="425"/>
    </row>
    <row r="277" spans="1:3" x14ac:dyDescent="0.2">
      <c r="A277" s="636"/>
      <c r="B277" s="425"/>
      <c r="C277" s="425"/>
    </row>
    <row r="278" spans="1:3" x14ac:dyDescent="0.2">
      <c r="A278" s="636"/>
      <c r="B278" s="425"/>
      <c r="C278" s="425"/>
    </row>
    <row r="279" spans="1:3" x14ac:dyDescent="0.2">
      <c r="A279" s="636"/>
      <c r="B279" s="425"/>
      <c r="C279" s="425"/>
    </row>
    <row r="280" spans="1:3" x14ac:dyDescent="0.2">
      <c r="A280" s="636"/>
      <c r="B280" s="425"/>
      <c r="C280" s="425"/>
    </row>
    <row r="281" spans="1:3" x14ac:dyDescent="0.2">
      <c r="A281" s="636"/>
      <c r="B281" s="425"/>
      <c r="C281" s="425"/>
    </row>
    <row r="282" spans="1:3" x14ac:dyDescent="0.2">
      <c r="A282" s="636"/>
      <c r="B282" s="425"/>
      <c r="C282" s="425"/>
    </row>
    <row r="283" spans="1:3" x14ac:dyDescent="0.2">
      <c r="A283" s="636"/>
      <c r="B283" s="425"/>
      <c r="C283" s="425"/>
    </row>
    <row r="284" spans="1:3" x14ac:dyDescent="0.2">
      <c r="A284" s="636"/>
      <c r="B284" s="425"/>
      <c r="C284" s="425"/>
    </row>
    <row r="285" spans="1:3" x14ac:dyDescent="0.2">
      <c r="A285" s="636"/>
      <c r="B285" s="425"/>
      <c r="C285" s="425"/>
    </row>
    <row r="286" spans="1:3" x14ac:dyDescent="0.2">
      <c r="A286" s="636"/>
      <c r="B286" s="425"/>
      <c r="C286" s="425"/>
    </row>
    <row r="287" spans="1:3" x14ac:dyDescent="0.2">
      <c r="A287" s="636"/>
      <c r="B287" s="425"/>
      <c r="C287" s="425"/>
    </row>
    <row r="288" spans="1:3" x14ac:dyDescent="0.2">
      <c r="A288" s="636"/>
      <c r="B288" s="425"/>
      <c r="C288" s="425"/>
    </row>
    <row r="289" spans="1:3" x14ac:dyDescent="0.2">
      <c r="A289" s="636"/>
      <c r="B289" s="425"/>
      <c r="C289" s="425"/>
    </row>
    <row r="290" spans="1:3" x14ac:dyDescent="0.2">
      <c r="A290" s="636"/>
      <c r="B290" s="425"/>
      <c r="C290" s="425"/>
    </row>
    <row r="291" spans="1:3" x14ac:dyDescent="0.2">
      <c r="A291" s="636"/>
      <c r="B291" s="425"/>
      <c r="C291" s="425"/>
    </row>
    <row r="292" spans="1:3" x14ac:dyDescent="0.2">
      <c r="A292" s="636"/>
      <c r="B292" s="425"/>
      <c r="C292" s="425"/>
    </row>
    <row r="293" spans="1:3" x14ac:dyDescent="0.2">
      <c r="A293" s="636"/>
      <c r="B293" s="425"/>
      <c r="C293" s="425"/>
    </row>
    <row r="294" spans="1:3" x14ac:dyDescent="0.2">
      <c r="A294" s="636"/>
      <c r="B294" s="425"/>
      <c r="C294" s="425"/>
    </row>
    <row r="295" spans="1:3" x14ac:dyDescent="0.2">
      <c r="A295" s="636"/>
      <c r="B295" s="425"/>
      <c r="C295" s="425"/>
    </row>
    <row r="296" spans="1:3" x14ac:dyDescent="0.2">
      <c r="A296" s="636"/>
      <c r="B296" s="425"/>
      <c r="C296" s="425"/>
    </row>
    <row r="297" spans="1:3" x14ac:dyDescent="0.2">
      <c r="A297" s="636"/>
      <c r="B297" s="425"/>
      <c r="C297" s="425"/>
    </row>
    <row r="298" spans="1:3" x14ac:dyDescent="0.2">
      <c r="A298" s="636"/>
      <c r="B298" s="425"/>
      <c r="C298" s="425"/>
    </row>
    <row r="299" spans="1:3" x14ac:dyDescent="0.2">
      <c r="A299" s="636"/>
      <c r="B299" s="425"/>
      <c r="C299" s="425"/>
    </row>
    <row r="300" spans="1:3" x14ac:dyDescent="0.2">
      <c r="A300" s="636"/>
      <c r="B300" s="425"/>
      <c r="C300" s="425"/>
    </row>
    <row r="301" spans="1:3" x14ac:dyDescent="0.2">
      <c r="A301" s="636"/>
      <c r="B301" s="425"/>
      <c r="C301" s="425"/>
    </row>
    <row r="302" spans="1:3" x14ac:dyDescent="0.2">
      <c r="A302" s="636"/>
      <c r="B302" s="425"/>
      <c r="C302" s="425"/>
    </row>
    <row r="303" spans="1:3" x14ac:dyDescent="0.2">
      <c r="A303" s="636"/>
      <c r="B303" s="425"/>
      <c r="C303" s="425"/>
    </row>
    <row r="304" spans="1:3" x14ac:dyDescent="0.2">
      <c r="A304" s="636"/>
      <c r="B304" s="425"/>
      <c r="C304" s="425"/>
    </row>
    <row r="305" spans="1:3" x14ac:dyDescent="0.2">
      <c r="A305" s="636"/>
      <c r="B305" s="425"/>
      <c r="C305" s="425"/>
    </row>
    <row r="306" spans="1:3" x14ac:dyDescent="0.2">
      <c r="A306" s="636"/>
      <c r="B306" s="425"/>
      <c r="C306" s="425"/>
    </row>
    <row r="307" spans="1:3" x14ac:dyDescent="0.2">
      <c r="A307" s="636"/>
      <c r="B307" s="425"/>
      <c r="C307" s="425"/>
    </row>
    <row r="308" spans="1:3" x14ac:dyDescent="0.2">
      <c r="A308" s="636"/>
      <c r="B308" s="425"/>
      <c r="C308" s="425"/>
    </row>
    <row r="309" spans="1:3" x14ac:dyDescent="0.2">
      <c r="A309" s="636"/>
      <c r="B309" s="425"/>
      <c r="C309" s="425"/>
    </row>
    <row r="310" spans="1:3" x14ac:dyDescent="0.2">
      <c r="A310" s="636"/>
      <c r="B310" s="425"/>
      <c r="C310" s="425"/>
    </row>
    <row r="311" spans="1:3" x14ac:dyDescent="0.2">
      <c r="A311" s="636"/>
      <c r="B311" s="425"/>
      <c r="C311" s="425"/>
    </row>
    <row r="312" spans="1:3" x14ac:dyDescent="0.2">
      <c r="A312" s="636"/>
      <c r="B312" s="425"/>
      <c r="C312" s="425"/>
    </row>
    <row r="313" spans="1:3" x14ac:dyDescent="0.2">
      <c r="A313" s="636"/>
      <c r="B313" s="425"/>
      <c r="C313" s="425"/>
    </row>
    <row r="314" spans="1:3" x14ac:dyDescent="0.2">
      <c r="A314" s="636"/>
      <c r="B314" s="425"/>
      <c r="C314" s="425"/>
    </row>
    <row r="315" spans="1:3" x14ac:dyDescent="0.2">
      <c r="A315" s="636"/>
      <c r="B315" s="425"/>
      <c r="C315" s="425"/>
    </row>
    <row r="316" spans="1:3" x14ac:dyDescent="0.2">
      <c r="A316" s="636"/>
      <c r="B316" s="425"/>
      <c r="C316" s="425"/>
    </row>
    <row r="317" spans="1:3" x14ac:dyDescent="0.2">
      <c r="A317" s="636"/>
      <c r="B317" s="425"/>
      <c r="C317" s="425"/>
    </row>
    <row r="318" spans="1:3" x14ac:dyDescent="0.2">
      <c r="A318" s="636"/>
      <c r="B318" s="425"/>
      <c r="C318" s="425"/>
    </row>
    <row r="319" spans="1:3" x14ac:dyDescent="0.2">
      <c r="A319" s="636"/>
      <c r="B319" s="425"/>
      <c r="C319" s="425"/>
    </row>
    <row r="320" spans="1:3" x14ac:dyDescent="0.2">
      <c r="A320" s="636"/>
      <c r="B320" s="425"/>
      <c r="C320" s="425"/>
    </row>
    <row r="321" spans="1:3" x14ac:dyDescent="0.2">
      <c r="A321" s="636"/>
      <c r="B321" s="425"/>
      <c r="C321" s="425"/>
    </row>
    <row r="322" spans="1:3" x14ac:dyDescent="0.2">
      <c r="A322" s="636"/>
      <c r="B322" s="425"/>
      <c r="C322" s="425"/>
    </row>
    <row r="323" spans="1:3" x14ac:dyDescent="0.2">
      <c r="A323" s="636"/>
      <c r="B323" s="425"/>
      <c r="C323" s="425"/>
    </row>
    <row r="324" spans="1:3" x14ac:dyDescent="0.2">
      <c r="A324" s="636"/>
      <c r="B324" s="425"/>
      <c r="C324" s="425"/>
    </row>
    <row r="325" spans="1:3" x14ac:dyDescent="0.2">
      <c r="A325" s="636"/>
      <c r="B325" s="425"/>
      <c r="C325" s="425"/>
    </row>
    <row r="326" spans="1:3" x14ac:dyDescent="0.2">
      <c r="A326" s="636"/>
      <c r="B326" s="425"/>
      <c r="C326" s="425"/>
    </row>
    <row r="327" spans="1:3" x14ac:dyDescent="0.2">
      <c r="A327" s="636"/>
      <c r="B327" s="425"/>
      <c r="C327" s="425"/>
    </row>
    <row r="328" spans="1:3" x14ac:dyDescent="0.2">
      <c r="A328" s="636"/>
      <c r="B328" s="425"/>
      <c r="C328" s="425"/>
    </row>
    <row r="329" spans="1:3" x14ac:dyDescent="0.2">
      <c r="A329" s="636"/>
      <c r="B329" s="425"/>
      <c r="C329" s="425"/>
    </row>
    <row r="330" spans="1:3" x14ac:dyDescent="0.2">
      <c r="A330" s="636"/>
      <c r="B330" s="425"/>
      <c r="C330" s="425"/>
    </row>
    <row r="331" spans="1:3" x14ac:dyDescent="0.2">
      <c r="A331" s="636"/>
      <c r="B331" s="425"/>
      <c r="C331" s="425"/>
    </row>
    <row r="332" spans="1:3" x14ac:dyDescent="0.2">
      <c r="A332" s="636"/>
      <c r="B332" s="425"/>
      <c r="C332" s="425"/>
    </row>
    <row r="333" spans="1:3" x14ac:dyDescent="0.2">
      <c r="A333" s="636"/>
      <c r="B333" s="425"/>
      <c r="C333" s="425"/>
    </row>
    <row r="334" spans="1:3" x14ac:dyDescent="0.2">
      <c r="A334" s="636"/>
      <c r="B334" s="425"/>
      <c r="C334" s="425"/>
    </row>
    <row r="335" spans="1:3" x14ac:dyDescent="0.2">
      <c r="A335" s="636"/>
      <c r="B335" s="425"/>
      <c r="C335" s="425"/>
    </row>
    <row r="336" spans="1:3" x14ac:dyDescent="0.2">
      <c r="A336" s="636"/>
      <c r="B336" s="425"/>
      <c r="C336" s="425"/>
    </row>
    <row r="337" spans="1:3" x14ac:dyDescent="0.2">
      <c r="A337" s="636"/>
      <c r="B337" s="425"/>
      <c r="C337" s="425"/>
    </row>
    <row r="338" spans="1:3" x14ac:dyDescent="0.2">
      <c r="A338" s="636"/>
      <c r="B338" s="425"/>
      <c r="C338" s="425"/>
    </row>
    <row r="339" spans="1:3" x14ac:dyDescent="0.2">
      <c r="A339" s="636"/>
      <c r="B339" s="425"/>
      <c r="C339" s="425"/>
    </row>
    <row r="340" spans="1:3" x14ac:dyDescent="0.2">
      <c r="A340" s="636"/>
      <c r="B340" s="425"/>
      <c r="C340" s="425"/>
    </row>
    <row r="341" spans="1:3" x14ac:dyDescent="0.2">
      <c r="A341" s="636"/>
      <c r="B341" s="425"/>
      <c r="C341" s="425"/>
    </row>
    <row r="342" spans="1:3" x14ac:dyDescent="0.2">
      <c r="A342" s="636"/>
      <c r="B342" s="425"/>
      <c r="C342" s="425"/>
    </row>
    <row r="343" spans="1:3" x14ac:dyDescent="0.2">
      <c r="A343" s="636"/>
      <c r="B343" s="425"/>
      <c r="C343" s="425"/>
    </row>
    <row r="344" spans="1:3" x14ac:dyDescent="0.2">
      <c r="A344" s="636"/>
      <c r="B344" s="425"/>
      <c r="C344" s="425"/>
    </row>
    <row r="345" spans="1:3" x14ac:dyDescent="0.2">
      <c r="A345" s="636"/>
      <c r="B345" s="425"/>
      <c r="C345" s="425"/>
    </row>
    <row r="346" spans="1:3" x14ac:dyDescent="0.2">
      <c r="A346" s="636"/>
      <c r="B346" s="425"/>
      <c r="C346" s="425"/>
    </row>
    <row r="347" spans="1:3" x14ac:dyDescent="0.2">
      <c r="A347" s="636"/>
      <c r="B347" s="425"/>
      <c r="C347" s="425"/>
    </row>
    <row r="348" spans="1:3" x14ac:dyDescent="0.2">
      <c r="A348" s="636"/>
      <c r="B348" s="425"/>
      <c r="C348" s="425"/>
    </row>
    <row r="349" spans="1:3" x14ac:dyDescent="0.2">
      <c r="A349" s="636"/>
      <c r="B349" s="425"/>
      <c r="C349" s="425"/>
    </row>
    <row r="350" spans="1:3" x14ac:dyDescent="0.2">
      <c r="A350" s="636"/>
      <c r="B350" s="425"/>
      <c r="C350" s="425"/>
    </row>
    <row r="351" spans="1:3" x14ac:dyDescent="0.2">
      <c r="A351" s="636"/>
      <c r="B351" s="425"/>
      <c r="C351" s="425"/>
    </row>
    <row r="352" spans="1:3" x14ac:dyDescent="0.2">
      <c r="A352" s="636"/>
      <c r="B352" s="425"/>
      <c r="C352" s="425"/>
    </row>
    <row r="353" spans="1:3" x14ac:dyDescent="0.2">
      <c r="A353" s="636"/>
      <c r="B353" s="425"/>
      <c r="C353" s="425"/>
    </row>
    <row r="354" spans="1:3" x14ac:dyDescent="0.2">
      <c r="A354" s="636"/>
      <c r="B354" s="425"/>
      <c r="C354" s="425"/>
    </row>
    <row r="355" spans="1:3" x14ac:dyDescent="0.2">
      <c r="A355" s="636"/>
      <c r="B355" s="425"/>
      <c r="C355" s="425"/>
    </row>
    <row r="356" spans="1:3" x14ac:dyDescent="0.2">
      <c r="A356" s="636"/>
      <c r="B356" s="425"/>
      <c r="C356" s="425"/>
    </row>
    <row r="357" spans="1:3" x14ac:dyDescent="0.2">
      <c r="A357" s="636"/>
      <c r="B357" s="425"/>
      <c r="C357" s="425"/>
    </row>
    <row r="358" spans="1:3" x14ac:dyDescent="0.2">
      <c r="A358" s="636"/>
      <c r="B358" s="425"/>
      <c r="C358" s="425"/>
    </row>
    <row r="359" spans="1:3" x14ac:dyDescent="0.2">
      <c r="A359" s="636"/>
      <c r="B359" s="425"/>
      <c r="C359" s="425"/>
    </row>
    <row r="360" spans="1:3" x14ac:dyDescent="0.2">
      <c r="A360" s="636"/>
      <c r="B360" s="425"/>
      <c r="C360" s="425"/>
    </row>
    <row r="361" spans="1:3" x14ac:dyDescent="0.2">
      <c r="A361" s="636"/>
      <c r="B361" s="425"/>
      <c r="C361" s="425"/>
    </row>
    <row r="362" spans="1:3" x14ac:dyDescent="0.2">
      <c r="A362" s="636"/>
      <c r="B362" s="425"/>
      <c r="C362" s="425"/>
    </row>
    <row r="363" spans="1:3" x14ac:dyDescent="0.2">
      <c r="A363" s="636"/>
      <c r="B363" s="425"/>
      <c r="C363" s="425"/>
    </row>
    <row r="364" spans="1:3" x14ac:dyDescent="0.2">
      <c r="A364" s="636"/>
      <c r="B364" s="425"/>
      <c r="C364" s="425"/>
    </row>
    <row r="365" spans="1:3" x14ac:dyDescent="0.2">
      <c r="A365" s="636"/>
      <c r="B365" s="425"/>
      <c r="C365" s="425"/>
    </row>
    <row r="366" spans="1:3" x14ac:dyDescent="0.2">
      <c r="A366" s="636"/>
      <c r="B366" s="425"/>
      <c r="C366" s="425"/>
    </row>
    <row r="367" spans="1:3" x14ac:dyDescent="0.2">
      <c r="A367" s="636"/>
      <c r="B367" s="425"/>
      <c r="C367" s="425"/>
    </row>
    <row r="368" spans="1:3" x14ac:dyDescent="0.2">
      <c r="A368" s="636"/>
      <c r="B368" s="425"/>
      <c r="C368" s="425"/>
    </row>
    <row r="369" spans="1:3" x14ac:dyDescent="0.2">
      <c r="A369" s="636"/>
      <c r="B369" s="425"/>
      <c r="C369" s="425"/>
    </row>
    <row r="370" spans="1:3" x14ac:dyDescent="0.2">
      <c r="A370" s="636"/>
      <c r="B370" s="425"/>
      <c r="C370" s="425"/>
    </row>
    <row r="371" spans="1:3" x14ac:dyDescent="0.2">
      <c r="A371" s="636"/>
      <c r="B371" s="425"/>
      <c r="C371" s="425"/>
    </row>
    <row r="372" spans="1:3" x14ac:dyDescent="0.2">
      <c r="A372" s="636"/>
      <c r="B372" s="425"/>
      <c r="C372" s="425"/>
    </row>
    <row r="373" spans="1:3" x14ac:dyDescent="0.2">
      <c r="A373" s="636"/>
      <c r="B373" s="425"/>
      <c r="C373" s="425"/>
    </row>
    <row r="374" spans="1:3" x14ac:dyDescent="0.2">
      <c r="A374" s="636"/>
      <c r="B374" s="425"/>
      <c r="C374" s="425"/>
    </row>
    <row r="375" spans="1:3" x14ac:dyDescent="0.2">
      <c r="A375" s="636"/>
      <c r="B375" s="425"/>
      <c r="C375" s="425"/>
    </row>
    <row r="376" spans="1:3" x14ac:dyDescent="0.2">
      <c r="A376" s="636"/>
      <c r="B376" s="425"/>
      <c r="C376" s="425"/>
    </row>
    <row r="377" spans="1:3" x14ac:dyDescent="0.2">
      <c r="A377" s="636"/>
      <c r="B377" s="425"/>
      <c r="C377" s="425"/>
    </row>
    <row r="378" spans="1:3" x14ac:dyDescent="0.2">
      <c r="A378" s="636"/>
      <c r="B378" s="425"/>
      <c r="C378" s="425"/>
    </row>
    <row r="379" spans="1:3" x14ac:dyDescent="0.2">
      <c r="A379" s="636"/>
      <c r="B379" s="425"/>
      <c r="C379" s="425"/>
    </row>
    <row r="380" spans="1:3" x14ac:dyDescent="0.2">
      <c r="A380" s="636"/>
      <c r="B380" s="425"/>
      <c r="C380" s="425"/>
    </row>
    <row r="381" spans="1:3" x14ac:dyDescent="0.2">
      <c r="A381" s="636"/>
      <c r="B381" s="425"/>
      <c r="C381" s="425"/>
    </row>
    <row r="382" spans="1:3" x14ac:dyDescent="0.2">
      <c r="A382" s="636"/>
      <c r="B382" s="425"/>
      <c r="C382" s="425"/>
    </row>
    <row r="383" spans="1:3" x14ac:dyDescent="0.2">
      <c r="A383" s="636"/>
      <c r="B383" s="425"/>
      <c r="C383" s="425"/>
    </row>
    <row r="384" spans="1:3" x14ac:dyDescent="0.2">
      <c r="A384" s="636"/>
      <c r="B384" s="425"/>
      <c r="C384" s="425"/>
    </row>
    <row r="385" spans="1:3" x14ac:dyDescent="0.2">
      <c r="A385" s="636"/>
      <c r="B385" s="425"/>
      <c r="C385" s="425"/>
    </row>
    <row r="386" spans="1:3" x14ac:dyDescent="0.2">
      <c r="A386" s="636"/>
      <c r="B386" s="425"/>
      <c r="C386" s="425"/>
    </row>
    <row r="387" spans="1:3" x14ac:dyDescent="0.2">
      <c r="A387" s="636"/>
      <c r="B387" s="425"/>
      <c r="C387" s="425"/>
    </row>
    <row r="388" spans="1:3" x14ac:dyDescent="0.2">
      <c r="A388" s="636"/>
      <c r="B388" s="425"/>
      <c r="C388" s="425"/>
    </row>
    <row r="389" spans="1:3" x14ac:dyDescent="0.2">
      <c r="A389" s="636"/>
      <c r="B389" s="425"/>
      <c r="C389" s="425"/>
    </row>
    <row r="390" spans="1:3" x14ac:dyDescent="0.2">
      <c r="A390" s="636"/>
      <c r="B390" s="425"/>
      <c r="C390" s="425"/>
    </row>
    <row r="391" spans="1:3" x14ac:dyDescent="0.2">
      <c r="A391" s="636"/>
      <c r="B391" s="425"/>
      <c r="C391" s="425"/>
    </row>
    <row r="392" spans="1:3" x14ac:dyDescent="0.2">
      <c r="A392" s="636"/>
      <c r="B392" s="425"/>
      <c r="C392" s="425"/>
    </row>
    <row r="393" spans="1:3" x14ac:dyDescent="0.2">
      <c r="A393" s="636"/>
      <c r="B393" s="425"/>
      <c r="C393" s="425"/>
    </row>
    <row r="394" spans="1:3" x14ac:dyDescent="0.2">
      <c r="A394" s="636"/>
      <c r="B394" s="425"/>
      <c r="C394" s="425"/>
    </row>
    <row r="395" spans="1:3" x14ac:dyDescent="0.2">
      <c r="A395" s="636"/>
      <c r="B395" s="425"/>
      <c r="C395" s="425"/>
    </row>
    <row r="396" spans="1:3" x14ac:dyDescent="0.2">
      <c r="A396" s="636"/>
      <c r="B396" s="425"/>
      <c r="C396" s="425"/>
    </row>
    <row r="397" spans="1:3" x14ac:dyDescent="0.2">
      <c r="A397" s="636"/>
      <c r="B397" s="425"/>
      <c r="C397" s="425"/>
    </row>
    <row r="398" spans="1:3" x14ac:dyDescent="0.2">
      <c r="A398" s="636"/>
      <c r="B398" s="425"/>
      <c r="C398" s="425"/>
    </row>
    <row r="399" spans="1:3" x14ac:dyDescent="0.2">
      <c r="A399" s="636"/>
      <c r="B399" s="425"/>
      <c r="C399" s="425"/>
    </row>
    <row r="400" spans="1:3" x14ac:dyDescent="0.2">
      <c r="A400" s="636"/>
      <c r="B400" s="425"/>
      <c r="C400" s="425"/>
    </row>
    <row r="401" spans="1:3" x14ac:dyDescent="0.2">
      <c r="A401" s="636"/>
      <c r="B401" s="425"/>
      <c r="C401" s="425"/>
    </row>
    <row r="402" spans="1:3" x14ac:dyDescent="0.2">
      <c r="A402" s="636"/>
      <c r="B402" s="425"/>
      <c r="C402" s="425"/>
    </row>
    <row r="403" spans="1:3" x14ac:dyDescent="0.2">
      <c r="A403" s="636"/>
      <c r="B403" s="425"/>
      <c r="C403" s="425"/>
    </row>
    <row r="404" spans="1:3" x14ac:dyDescent="0.2">
      <c r="A404" s="636"/>
      <c r="B404" s="425"/>
      <c r="C404" s="425"/>
    </row>
    <row r="405" spans="1:3" x14ac:dyDescent="0.2">
      <c r="A405" s="636"/>
      <c r="B405" s="425"/>
      <c r="C405" s="425"/>
    </row>
    <row r="406" spans="1:3" x14ac:dyDescent="0.2">
      <c r="A406" s="636"/>
      <c r="B406" s="425"/>
      <c r="C406" s="425"/>
    </row>
    <row r="407" spans="1:3" x14ac:dyDescent="0.2">
      <c r="A407" s="636"/>
      <c r="B407" s="425"/>
      <c r="C407" s="425"/>
    </row>
    <row r="408" spans="1:3" x14ac:dyDescent="0.2">
      <c r="A408" s="636"/>
      <c r="B408" s="425"/>
      <c r="C408" s="425"/>
    </row>
    <row r="409" spans="1:3" x14ac:dyDescent="0.2">
      <c r="A409" s="636"/>
      <c r="B409" s="425"/>
      <c r="C409" s="425"/>
    </row>
    <row r="410" spans="1:3" x14ac:dyDescent="0.2">
      <c r="A410" s="636"/>
      <c r="B410" s="425"/>
      <c r="C410" s="425"/>
    </row>
    <row r="411" spans="1:3" x14ac:dyDescent="0.2">
      <c r="A411" s="636"/>
      <c r="B411" s="425"/>
      <c r="C411" s="425"/>
    </row>
    <row r="412" spans="1:3" x14ac:dyDescent="0.2">
      <c r="A412" s="636"/>
      <c r="B412" s="425"/>
      <c r="C412" s="425"/>
    </row>
    <row r="413" spans="1:3" x14ac:dyDescent="0.2">
      <c r="A413" s="636"/>
      <c r="B413" s="425"/>
      <c r="C413" s="425"/>
    </row>
    <row r="414" spans="1:3" x14ac:dyDescent="0.2">
      <c r="A414" s="636"/>
      <c r="B414" s="425"/>
      <c r="C414" s="425"/>
    </row>
    <row r="415" spans="1:3" x14ac:dyDescent="0.2">
      <c r="A415" s="636"/>
      <c r="B415" s="425"/>
      <c r="C415" s="425"/>
    </row>
    <row r="416" spans="1:3" x14ac:dyDescent="0.2">
      <c r="A416" s="636"/>
      <c r="B416" s="425"/>
      <c r="C416" s="425"/>
    </row>
    <row r="417" spans="1:3" x14ac:dyDescent="0.2">
      <c r="A417" s="636"/>
      <c r="B417" s="425"/>
      <c r="C417" s="425"/>
    </row>
    <row r="418" spans="1:3" x14ac:dyDescent="0.2">
      <c r="A418" s="636"/>
      <c r="B418" s="425"/>
      <c r="C418" s="425"/>
    </row>
    <row r="419" spans="1:3" x14ac:dyDescent="0.2">
      <c r="A419" s="636"/>
      <c r="B419" s="425"/>
      <c r="C419" s="425"/>
    </row>
    <row r="420" spans="1:3" x14ac:dyDescent="0.2">
      <c r="A420" s="636"/>
      <c r="B420" s="425"/>
      <c r="C420" s="425"/>
    </row>
    <row r="421" spans="1:3" x14ac:dyDescent="0.2">
      <c r="A421" s="636"/>
      <c r="B421" s="425"/>
      <c r="C421" s="425"/>
    </row>
    <row r="422" spans="1:3" x14ac:dyDescent="0.2">
      <c r="A422" s="636"/>
      <c r="B422" s="425"/>
      <c r="C422" s="425"/>
    </row>
    <row r="423" spans="1:3" x14ac:dyDescent="0.2">
      <c r="A423" s="636"/>
      <c r="B423" s="425"/>
      <c r="C423" s="425"/>
    </row>
    <row r="424" spans="1:3" x14ac:dyDescent="0.2">
      <c r="A424" s="636"/>
      <c r="B424" s="425"/>
      <c r="C424" s="425"/>
    </row>
    <row r="425" spans="1:3" x14ac:dyDescent="0.2">
      <c r="A425" s="636"/>
      <c r="B425" s="425"/>
      <c r="C425" s="425"/>
    </row>
    <row r="426" spans="1:3" x14ac:dyDescent="0.2">
      <c r="A426" s="636"/>
      <c r="B426" s="425"/>
      <c r="C426" s="425"/>
    </row>
    <row r="427" spans="1:3" x14ac:dyDescent="0.2">
      <c r="A427" s="636"/>
      <c r="B427" s="425"/>
      <c r="C427" s="425"/>
    </row>
    <row r="428" spans="1:3" x14ac:dyDescent="0.2">
      <c r="A428" s="636"/>
      <c r="B428" s="425"/>
      <c r="C428" s="425"/>
    </row>
    <row r="429" spans="1:3" x14ac:dyDescent="0.2">
      <c r="A429" s="636"/>
      <c r="B429" s="425"/>
      <c r="C429" s="425"/>
    </row>
    <row r="430" spans="1:3" x14ac:dyDescent="0.2">
      <c r="A430" s="636"/>
      <c r="B430" s="425"/>
      <c r="C430" s="425"/>
    </row>
    <row r="431" spans="1:3" x14ac:dyDescent="0.2">
      <c r="A431" s="636"/>
      <c r="B431" s="425"/>
      <c r="C431" s="425"/>
    </row>
    <row r="432" spans="1:3" x14ac:dyDescent="0.2">
      <c r="A432" s="636"/>
      <c r="B432" s="425"/>
      <c r="C432" s="425"/>
    </row>
    <row r="433" spans="1:3" x14ac:dyDescent="0.2">
      <c r="A433" s="636"/>
      <c r="B433" s="425"/>
      <c r="C433" s="425"/>
    </row>
    <row r="434" spans="1:3" x14ac:dyDescent="0.2">
      <c r="A434" s="636"/>
      <c r="B434" s="425"/>
      <c r="C434" s="425"/>
    </row>
    <row r="435" spans="1:3" x14ac:dyDescent="0.2">
      <c r="A435" s="636"/>
      <c r="B435" s="425"/>
      <c r="C435" s="425"/>
    </row>
    <row r="436" spans="1:3" x14ac:dyDescent="0.2">
      <c r="A436" s="636"/>
      <c r="B436" s="425"/>
      <c r="C436" s="425"/>
    </row>
    <row r="437" spans="1:3" x14ac:dyDescent="0.2">
      <c r="A437" s="636"/>
      <c r="B437" s="425"/>
      <c r="C437" s="425"/>
    </row>
    <row r="438" spans="1:3" x14ac:dyDescent="0.2">
      <c r="A438" s="636"/>
      <c r="B438" s="425"/>
      <c r="C438" s="425"/>
    </row>
    <row r="439" spans="1:3" x14ac:dyDescent="0.2">
      <c r="A439" s="636"/>
      <c r="B439" s="425"/>
      <c r="C439" s="425"/>
    </row>
    <row r="440" spans="1:3" x14ac:dyDescent="0.2">
      <c r="A440" s="636"/>
      <c r="B440" s="425"/>
      <c r="C440" s="425"/>
    </row>
    <row r="441" spans="1:3" x14ac:dyDescent="0.2">
      <c r="A441" s="636"/>
      <c r="B441" s="425"/>
      <c r="C441" s="425"/>
    </row>
    <row r="442" spans="1:3" x14ac:dyDescent="0.2">
      <c r="A442" s="636"/>
      <c r="B442" s="425"/>
      <c r="C442" s="425"/>
    </row>
    <row r="443" spans="1:3" x14ac:dyDescent="0.2">
      <c r="A443" s="636"/>
      <c r="B443" s="425"/>
      <c r="C443" s="425"/>
    </row>
    <row r="444" spans="1:3" x14ac:dyDescent="0.2">
      <c r="A444" s="636"/>
      <c r="B444" s="425"/>
      <c r="C444" s="425"/>
    </row>
    <row r="445" spans="1:3" x14ac:dyDescent="0.2">
      <c r="A445" s="636"/>
      <c r="B445" s="425"/>
      <c r="C445" s="425"/>
    </row>
    <row r="446" spans="1:3" x14ac:dyDescent="0.2">
      <c r="A446" s="636"/>
      <c r="B446" s="425"/>
      <c r="C446" s="425"/>
    </row>
    <row r="447" spans="1:3" x14ac:dyDescent="0.2">
      <c r="A447" s="636"/>
      <c r="B447" s="425"/>
      <c r="C447" s="425"/>
    </row>
    <row r="448" spans="1:3" x14ac:dyDescent="0.2">
      <c r="A448" s="636"/>
      <c r="B448" s="425"/>
      <c r="C448" s="425"/>
    </row>
    <row r="449" spans="1:3" x14ac:dyDescent="0.2">
      <c r="A449" s="636"/>
      <c r="B449" s="425"/>
      <c r="C449" s="425"/>
    </row>
    <row r="450" spans="1:3" x14ac:dyDescent="0.2">
      <c r="A450" s="636"/>
      <c r="B450" s="425"/>
      <c r="C450" s="425"/>
    </row>
    <row r="451" spans="1:3" x14ac:dyDescent="0.2">
      <c r="A451" s="636"/>
      <c r="B451" s="425"/>
      <c r="C451" s="425"/>
    </row>
    <row r="452" spans="1:3" x14ac:dyDescent="0.2">
      <c r="A452" s="636"/>
      <c r="B452" s="425"/>
      <c r="C452" s="425"/>
    </row>
    <row r="453" spans="1:3" x14ac:dyDescent="0.2">
      <c r="A453" s="636"/>
      <c r="B453" s="425"/>
      <c r="C453" s="425"/>
    </row>
    <row r="454" spans="1:3" x14ac:dyDescent="0.2">
      <c r="A454" s="636"/>
      <c r="B454" s="425"/>
      <c r="C454" s="425"/>
    </row>
    <row r="455" spans="1:3" x14ac:dyDescent="0.2">
      <c r="A455" s="636"/>
      <c r="B455" s="425"/>
      <c r="C455" s="425"/>
    </row>
    <row r="456" spans="1:3" x14ac:dyDescent="0.2">
      <c r="A456" s="636"/>
      <c r="B456" s="425"/>
      <c r="C456" s="425"/>
    </row>
    <row r="457" spans="1:3" x14ac:dyDescent="0.2">
      <c r="A457" s="636"/>
      <c r="B457" s="425"/>
      <c r="C457" s="425"/>
    </row>
    <row r="458" spans="1:3" x14ac:dyDescent="0.2">
      <c r="A458" s="636"/>
      <c r="B458" s="425"/>
      <c r="C458" s="425"/>
    </row>
    <row r="459" spans="1:3" x14ac:dyDescent="0.2">
      <c r="A459" s="636"/>
      <c r="B459" s="425"/>
      <c r="C459" s="425"/>
    </row>
    <row r="460" spans="1:3" x14ac:dyDescent="0.2">
      <c r="A460" s="636"/>
      <c r="B460" s="425"/>
      <c r="C460" s="425"/>
    </row>
    <row r="461" spans="1:3" x14ac:dyDescent="0.2">
      <c r="A461" s="636"/>
      <c r="B461" s="425"/>
      <c r="C461" s="425"/>
    </row>
    <row r="462" spans="1:3" x14ac:dyDescent="0.2">
      <c r="A462" s="636"/>
      <c r="B462" s="425"/>
      <c r="C462" s="425"/>
    </row>
    <row r="463" spans="1:3" x14ac:dyDescent="0.2">
      <c r="A463" s="636"/>
      <c r="B463" s="425"/>
      <c r="C463" s="425"/>
    </row>
    <row r="464" spans="1:3" x14ac:dyDescent="0.2">
      <c r="A464" s="636"/>
      <c r="B464" s="425"/>
      <c r="C464" s="425"/>
    </row>
    <row r="465" spans="1:3" x14ac:dyDescent="0.2">
      <c r="A465" s="636"/>
      <c r="B465" s="425"/>
      <c r="C465" s="425"/>
    </row>
    <row r="466" spans="1:3" x14ac:dyDescent="0.2">
      <c r="A466" s="636"/>
      <c r="B466" s="425"/>
      <c r="C466" s="425"/>
    </row>
    <row r="467" spans="1:3" x14ac:dyDescent="0.2">
      <c r="A467" s="636"/>
      <c r="B467" s="425"/>
      <c r="C467" s="425"/>
    </row>
    <row r="468" spans="1:3" x14ac:dyDescent="0.2">
      <c r="A468" s="636"/>
      <c r="B468" s="425"/>
      <c r="C468" s="425"/>
    </row>
    <row r="469" spans="1:3" x14ac:dyDescent="0.2">
      <c r="A469" s="636"/>
      <c r="B469" s="425"/>
      <c r="C469" s="425"/>
    </row>
    <row r="470" spans="1:3" x14ac:dyDescent="0.2">
      <c r="A470" s="636"/>
      <c r="B470" s="425"/>
      <c r="C470" s="425"/>
    </row>
    <row r="471" spans="1:3" x14ac:dyDescent="0.2">
      <c r="A471" s="636"/>
      <c r="B471" s="425"/>
      <c r="C471" s="425"/>
    </row>
    <row r="472" spans="1:3" x14ac:dyDescent="0.2">
      <c r="A472" s="636"/>
      <c r="B472" s="425"/>
      <c r="C472" s="425"/>
    </row>
    <row r="473" spans="1:3" x14ac:dyDescent="0.2">
      <c r="A473" s="636"/>
      <c r="B473" s="425"/>
      <c r="C473" s="425"/>
    </row>
    <row r="474" spans="1:3" x14ac:dyDescent="0.2">
      <c r="A474" s="636"/>
      <c r="B474" s="425"/>
      <c r="C474" s="425"/>
    </row>
    <row r="475" spans="1:3" x14ac:dyDescent="0.2">
      <c r="A475" s="636"/>
      <c r="B475" s="425"/>
      <c r="C475" s="425"/>
    </row>
    <row r="476" spans="1:3" x14ac:dyDescent="0.2">
      <c r="A476" s="636"/>
      <c r="B476" s="425"/>
      <c r="C476" s="425"/>
    </row>
    <row r="477" spans="1:3" x14ac:dyDescent="0.2">
      <c r="A477" s="636"/>
      <c r="B477" s="425"/>
      <c r="C477" s="425"/>
    </row>
    <row r="478" spans="1:3" x14ac:dyDescent="0.2">
      <c r="A478" s="636"/>
      <c r="B478" s="425"/>
      <c r="C478" s="425"/>
    </row>
    <row r="479" spans="1:3" x14ac:dyDescent="0.2">
      <c r="A479" s="636"/>
      <c r="B479" s="425"/>
      <c r="C479" s="425"/>
    </row>
    <row r="480" spans="1:3" x14ac:dyDescent="0.2">
      <c r="A480" s="636"/>
      <c r="B480" s="425"/>
      <c r="C480" s="425"/>
    </row>
    <row r="481" spans="1:3" x14ac:dyDescent="0.2">
      <c r="A481" s="636"/>
      <c r="B481" s="425"/>
      <c r="C481" s="425"/>
    </row>
    <row r="482" spans="1:3" x14ac:dyDescent="0.2">
      <c r="A482" s="636"/>
      <c r="B482" s="425"/>
      <c r="C482" s="425"/>
    </row>
    <row r="483" spans="1:3" x14ac:dyDescent="0.2">
      <c r="A483" s="636"/>
      <c r="B483" s="425"/>
      <c r="C483" s="425"/>
    </row>
    <row r="484" spans="1:3" x14ac:dyDescent="0.2">
      <c r="A484" s="636"/>
      <c r="B484" s="425"/>
      <c r="C484" s="425"/>
    </row>
    <row r="485" spans="1:3" x14ac:dyDescent="0.2">
      <c r="A485" s="636"/>
      <c r="B485" s="425"/>
      <c r="C485" s="425"/>
    </row>
    <row r="486" spans="1:3" x14ac:dyDescent="0.2">
      <c r="A486" s="636"/>
      <c r="B486" s="425"/>
      <c r="C486" s="425"/>
    </row>
    <row r="487" spans="1:3" x14ac:dyDescent="0.2">
      <c r="A487" s="636"/>
      <c r="B487" s="425"/>
      <c r="C487" s="425"/>
    </row>
    <row r="488" spans="1:3" x14ac:dyDescent="0.2">
      <c r="A488" s="636"/>
      <c r="B488" s="425"/>
      <c r="C488" s="425"/>
    </row>
    <row r="489" spans="1:3" x14ac:dyDescent="0.2">
      <c r="A489" s="636"/>
      <c r="B489" s="425"/>
      <c r="C489" s="425"/>
    </row>
    <row r="490" spans="1:3" x14ac:dyDescent="0.2">
      <c r="A490" s="636"/>
      <c r="B490" s="425"/>
      <c r="C490" s="425"/>
    </row>
    <row r="491" spans="1:3" x14ac:dyDescent="0.2">
      <c r="A491" s="636"/>
      <c r="B491" s="425"/>
      <c r="C491" s="425"/>
    </row>
    <row r="492" spans="1:3" x14ac:dyDescent="0.2">
      <c r="A492" s="636"/>
      <c r="B492" s="425"/>
      <c r="C492" s="425"/>
    </row>
    <row r="493" spans="1:3" x14ac:dyDescent="0.2">
      <c r="A493" s="636"/>
      <c r="B493" s="425"/>
      <c r="C493" s="425"/>
    </row>
    <row r="494" spans="1:3" x14ac:dyDescent="0.2">
      <c r="A494" s="636"/>
      <c r="B494" s="425"/>
      <c r="C494" s="425"/>
    </row>
    <row r="495" spans="1:3" x14ac:dyDescent="0.2">
      <c r="A495" s="636"/>
      <c r="B495" s="425"/>
      <c r="C495" s="425"/>
    </row>
    <row r="496" spans="1:3" x14ac:dyDescent="0.2">
      <c r="A496" s="636"/>
      <c r="B496" s="425"/>
      <c r="C496" s="425"/>
    </row>
    <row r="497" spans="1:3" x14ac:dyDescent="0.2">
      <c r="A497" s="636"/>
      <c r="B497" s="425"/>
      <c r="C497" s="425"/>
    </row>
    <row r="498" spans="1:3" x14ac:dyDescent="0.2">
      <c r="A498" s="636"/>
      <c r="B498" s="425"/>
      <c r="C498" s="425"/>
    </row>
    <row r="499" spans="1:3" x14ac:dyDescent="0.2">
      <c r="A499" s="636"/>
      <c r="B499" s="425"/>
      <c r="C499" s="425"/>
    </row>
    <row r="500" spans="1:3" x14ac:dyDescent="0.2">
      <c r="A500" s="636"/>
      <c r="B500" s="425"/>
      <c r="C500" s="425"/>
    </row>
    <row r="501" spans="1:3" x14ac:dyDescent="0.2">
      <c r="A501" s="636"/>
      <c r="B501" s="425"/>
      <c r="C501" s="425"/>
    </row>
    <row r="502" spans="1:3" x14ac:dyDescent="0.2">
      <c r="A502" s="636"/>
      <c r="B502" s="425"/>
      <c r="C502" s="425"/>
    </row>
    <row r="503" spans="1:3" x14ac:dyDescent="0.2">
      <c r="A503" s="636"/>
      <c r="B503" s="425"/>
      <c r="C503" s="425"/>
    </row>
    <row r="504" spans="1:3" x14ac:dyDescent="0.2">
      <c r="A504" s="636"/>
      <c r="B504" s="425"/>
      <c r="C504" s="425"/>
    </row>
    <row r="505" spans="1:3" x14ac:dyDescent="0.2">
      <c r="A505" s="636"/>
      <c r="B505" s="425"/>
      <c r="C505" s="425"/>
    </row>
    <row r="506" spans="1:3" x14ac:dyDescent="0.2">
      <c r="A506" s="636"/>
      <c r="B506" s="425"/>
      <c r="C506" s="425"/>
    </row>
    <row r="507" spans="1:3" x14ac:dyDescent="0.2">
      <c r="A507" s="636"/>
      <c r="B507" s="425"/>
      <c r="C507" s="425"/>
    </row>
    <row r="508" spans="1:3" x14ac:dyDescent="0.2">
      <c r="A508" s="636"/>
      <c r="B508" s="425"/>
      <c r="C508" s="425"/>
    </row>
    <row r="509" spans="1:3" x14ac:dyDescent="0.2">
      <c r="A509" s="636"/>
      <c r="B509" s="425"/>
      <c r="C509" s="425"/>
    </row>
    <row r="510" spans="1:3" x14ac:dyDescent="0.2">
      <c r="A510" s="636"/>
      <c r="B510" s="425"/>
      <c r="C510" s="425"/>
    </row>
    <row r="511" spans="1:3" x14ac:dyDescent="0.2">
      <c r="A511" s="636"/>
      <c r="B511" s="425"/>
      <c r="C511" s="425"/>
    </row>
    <row r="512" spans="1:3" x14ac:dyDescent="0.2">
      <c r="A512" s="636"/>
      <c r="B512" s="425"/>
      <c r="C512" s="425"/>
    </row>
    <row r="513" spans="1:3" x14ac:dyDescent="0.2">
      <c r="A513" s="636"/>
      <c r="B513" s="425"/>
      <c r="C513" s="425"/>
    </row>
    <row r="514" spans="1:3" x14ac:dyDescent="0.2">
      <c r="A514" s="636"/>
      <c r="B514" s="425"/>
      <c r="C514" s="425"/>
    </row>
    <row r="515" spans="1:3" x14ac:dyDescent="0.2">
      <c r="A515" s="636"/>
      <c r="B515" s="425"/>
      <c r="C515" s="425"/>
    </row>
    <row r="516" spans="1:3" x14ac:dyDescent="0.2">
      <c r="A516" s="636"/>
      <c r="B516" s="425"/>
      <c r="C516" s="425"/>
    </row>
    <row r="517" spans="1:3" x14ac:dyDescent="0.2">
      <c r="A517" s="636"/>
      <c r="B517" s="425"/>
      <c r="C517" s="425"/>
    </row>
    <row r="518" spans="1:3" x14ac:dyDescent="0.2">
      <c r="A518" s="636"/>
      <c r="B518" s="425"/>
      <c r="C518" s="425"/>
    </row>
    <row r="519" spans="1:3" x14ac:dyDescent="0.2">
      <c r="A519" s="636"/>
      <c r="B519" s="425"/>
      <c r="C519" s="425"/>
    </row>
    <row r="520" spans="1:3" x14ac:dyDescent="0.2">
      <c r="A520" s="636"/>
      <c r="B520" s="425"/>
      <c r="C520" s="425"/>
    </row>
    <row r="521" spans="1:3" x14ac:dyDescent="0.2">
      <c r="A521" s="636"/>
      <c r="B521" s="425"/>
      <c r="C521" s="425"/>
    </row>
    <row r="522" spans="1:3" x14ac:dyDescent="0.2">
      <c r="A522" s="636"/>
      <c r="B522" s="425"/>
      <c r="C522" s="425"/>
    </row>
    <row r="523" spans="1:3" x14ac:dyDescent="0.2">
      <c r="A523" s="636"/>
      <c r="B523" s="425"/>
      <c r="C523" s="425"/>
    </row>
    <row r="524" spans="1:3" x14ac:dyDescent="0.2">
      <c r="A524" s="636"/>
      <c r="B524" s="425"/>
      <c r="C524" s="425"/>
    </row>
    <row r="525" spans="1:3" x14ac:dyDescent="0.2">
      <c r="A525" s="636"/>
      <c r="B525" s="425"/>
      <c r="C525" s="425"/>
    </row>
    <row r="526" spans="1:3" x14ac:dyDescent="0.2">
      <c r="A526" s="636"/>
      <c r="B526" s="425"/>
      <c r="C526" s="425"/>
    </row>
    <row r="527" spans="1:3" x14ac:dyDescent="0.2">
      <c r="A527" s="636"/>
      <c r="B527" s="425"/>
      <c r="C527" s="425"/>
    </row>
    <row r="528" spans="1:3" x14ac:dyDescent="0.2">
      <c r="A528" s="636"/>
      <c r="B528" s="425"/>
      <c r="C528" s="425"/>
    </row>
    <row r="529" spans="1:3" x14ac:dyDescent="0.2">
      <c r="A529" s="636"/>
      <c r="B529" s="425"/>
      <c r="C529" s="425"/>
    </row>
    <row r="530" spans="1:3" x14ac:dyDescent="0.2">
      <c r="A530" s="636"/>
      <c r="B530" s="425"/>
      <c r="C530" s="425"/>
    </row>
    <row r="531" spans="1:3" x14ac:dyDescent="0.2">
      <c r="A531" s="636"/>
      <c r="B531" s="425"/>
      <c r="C531" s="425"/>
    </row>
    <row r="532" spans="1:3" x14ac:dyDescent="0.2">
      <c r="A532" s="636"/>
      <c r="B532" s="425"/>
      <c r="C532" s="425"/>
    </row>
    <row r="533" spans="1:3" x14ac:dyDescent="0.2">
      <c r="A533" s="636"/>
      <c r="B533" s="425"/>
      <c r="C533" s="425"/>
    </row>
    <row r="534" spans="1:3" x14ac:dyDescent="0.2">
      <c r="A534" s="636"/>
      <c r="B534" s="425"/>
      <c r="C534" s="425"/>
    </row>
    <row r="535" spans="1:3" x14ac:dyDescent="0.2">
      <c r="A535" s="636"/>
      <c r="B535" s="425"/>
      <c r="C535" s="425"/>
    </row>
    <row r="536" spans="1:3" x14ac:dyDescent="0.2">
      <c r="A536" s="636"/>
      <c r="B536" s="425"/>
      <c r="C536" s="425"/>
    </row>
    <row r="537" spans="1:3" x14ac:dyDescent="0.2">
      <c r="A537" s="636"/>
      <c r="B537" s="425"/>
      <c r="C537" s="425"/>
    </row>
    <row r="538" spans="1:3" x14ac:dyDescent="0.2">
      <c r="A538" s="636"/>
      <c r="B538" s="425"/>
      <c r="C538" s="425"/>
    </row>
    <row r="539" spans="1:3" x14ac:dyDescent="0.2">
      <c r="A539" s="636"/>
      <c r="B539" s="425"/>
      <c r="C539" s="425"/>
    </row>
    <row r="540" spans="1:3" x14ac:dyDescent="0.2">
      <c r="A540" s="636"/>
      <c r="B540" s="425"/>
      <c r="C540" s="425"/>
    </row>
    <row r="541" spans="1:3" x14ac:dyDescent="0.2">
      <c r="A541" s="636"/>
      <c r="B541" s="425"/>
      <c r="C541" s="425"/>
    </row>
    <row r="542" spans="1:3" x14ac:dyDescent="0.2">
      <c r="A542" s="636"/>
      <c r="B542" s="425"/>
      <c r="C542" s="425"/>
    </row>
    <row r="543" spans="1:3" x14ac:dyDescent="0.2">
      <c r="A543" s="636"/>
      <c r="B543" s="425"/>
      <c r="C543" s="425"/>
    </row>
    <row r="544" spans="1:3" x14ac:dyDescent="0.2">
      <c r="A544" s="636"/>
      <c r="B544" s="425"/>
      <c r="C544" s="425"/>
    </row>
    <row r="545" spans="1:3" x14ac:dyDescent="0.2">
      <c r="A545" s="636"/>
      <c r="B545" s="425"/>
      <c r="C545" s="425"/>
    </row>
    <row r="546" spans="1:3" x14ac:dyDescent="0.2">
      <c r="A546" s="636"/>
      <c r="B546" s="425"/>
      <c r="C546" s="425"/>
    </row>
    <row r="547" spans="1:3" x14ac:dyDescent="0.2">
      <c r="A547" s="636"/>
      <c r="B547" s="425"/>
      <c r="C547" s="425"/>
    </row>
    <row r="548" spans="1:3" x14ac:dyDescent="0.2">
      <c r="A548" s="636"/>
      <c r="B548" s="425"/>
      <c r="C548" s="425"/>
    </row>
    <row r="549" spans="1:3" x14ac:dyDescent="0.2">
      <c r="A549" s="636"/>
      <c r="B549" s="425"/>
      <c r="C549" s="425"/>
    </row>
    <row r="550" spans="1:3" x14ac:dyDescent="0.2">
      <c r="A550" s="636"/>
      <c r="B550" s="425"/>
      <c r="C550" s="425"/>
    </row>
    <row r="551" spans="1:3" x14ac:dyDescent="0.2">
      <c r="A551" s="636"/>
      <c r="B551" s="425"/>
      <c r="C551" s="425"/>
    </row>
    <row r="552" spans="1:3" x14ac:dyDescent="0.2">
      <c r="A552" s="636"/>
      <c r="B552" s="425"/>
      <c r="C552" s="425"/>
    </row>
    <row r="553" spans="1:3" x14ac:dyDescent="0.2">
      <c r="A553" s="636"/>
      <c r="B553" s="425"/>
      <c r="C553" s="425"/>
    </row>
    <row r="554" spans="1:3" x14ac:dyDescent="0.2">
      <c r="A554" s="636"/>
      <c r="B554" s="425"/>
      <c r="C554" s="425"/>
    </row>
    <row r="555" spans="1:3" x14ac:dyDescent="0.2">
      <c r="A555" s="636"/>
      <c r="B555" s="425"/>
      <c r="C555" s="425"/>
    </row>
    <row r="556" spans="1:3" x14ac:dyDescent="0.2">
      <c r="A556" s="636"/>
      <c r="B556" s="425"/>
      <c r="C556" s="425"/>
    </row>
    <row r="557" spans="1:3" x14ac:dyDescent="0.2">
      <c r="A557" s="636"/>
      <c r="B557" s="425"/>
      <c r="C557" s="425"/>
    </row>
    <row r="558" spans="1:3" x14ac:dyDescent="0.2">
      <c r="A558" s="636"/>
      <c r="B558" s="425"/>
      <c r="C558" s="425"/>
    </row>
    <row r="559" spans="1:3" x14ac:dyDescent="0.2">
      <c r="A559" s="636"/>
      <c r="B559" s="425"/>
      <c r="C559" s="425"/>
    </row>
    <row r="560" spans="1:3" x14ac:dyDescent="0.2">
      <c r="A560" s="636"/>
      <c r="B560" s="425"/>
      <c r="C560" s="425"/>
    </row>
    <row r="561" spans="1:3" x14ac:dyDescent="0.2">
      <c r="A561" s="636"/>
      <c r="B561" s="425"/>
      <c r="C561" s="425"/>
    </row>
    <row r="562" spans="1:3" x14ac:dyDescent="0.2">
      <c r="A562" s="636"/>
      <c r="B562" s="425"/>
      <c r="C562" s="425"/>
    </row>
    <row r="563" spans="1:3" x14ac:dyDescent="0.2">
      <c r="A563" s="636"/>
      <c r="B563" s="425"/>
      <c r="C563" s="425"/>
    </row>
    <row r="564" spans="1:3" x14ac:dyDescent="0.2">
      <c r="A564" s="636"/>
      <c r="B564" s="425"/>
      <c r="C564" s="425"/>
    </row>
    <row r="565" spans="1:3" x14ac:dyDescent="0.2">
      <c r="A565" s="636"/>
      <c r="B565" s="425"/>
      <c r="C565" s="425"/>
    </row>
    <row r="566" spans="1:3" x14ac:dyDescent="0.2">
      <c r="A566" s="636"/>
      <c r="B566" s="425"/>
      <c r="C566" s="425"/>
    </row>
    <row r="567" spans="1:3" x14ac:dyDescent="0.2">
      <c r="A567" s="636"/>
      <c r="B567" s="425"/>
      <c r="C567" s="425"/>
    </row>
    <row r="568" spans="1:3" x14ac:dyDescent="0.2">
      <c r="A568" s="636"/>
      <c r="B568" s="425"/>
      <c r="C568" s="425"/>
    </row>
    <row r="569" spans="1:3" x14ac:dyDescent="0.2">
      <c r="A569" s="636"/>
      <c r="B569" s="425"/>
      <c r="C569" s="425"/>
    </row>
    <row r="570" spans="1:3" x14ac:dyDescent="0.2">
      <c r="A570" s="636"/>
      <c r="B570" s="425"/>
      <c r="C570" s="425"/>
    </row>
    <row r="571" spans="1:3" x14ac:dyDescent="0.2">
      <c r="A571" s="636"/>
      <c r="B571" s="425"/>
      <c r="C571" s="425"/>
    </row>
    <row r="572" spans="1:3" x14ac:dyDescent="0.2">
      <c r="A572" s="636"/>
      <c r="B572" s="425"/>
      <c r="C572" s="425"/>
    </row>
    <row r="573" spans="1:3" x14ac:dyDescent="0.2">
      <c r="A573" s="636"/>
      <c r="B573" s="425"/>
      <c r="C573" s="425"/>
    </row>
    <row r="574" spans="1:3" x14ac:dyDescent="0.2">
      <c r="A574" s="636"/>
      <c r="B574" s="425"/>
      <c r="C574" s="425"/>
    </row>
    <row r="575" spans="1:3" x14ac:dyDescent="0.2">
      <c r="A575" s="636"/>
      <c r="B575" s="425"/>
      <c r="C575" s="425"/>
    </row>
    <row r="576" spans="1:3" x14ac:dyDescent="0.2">
      <c r="A576" s="636"/>
      <c r="B576" s="425"/>
      <c r="C576" s="425"/>
    </row>
    <row r="577" spans="1:3" x14ac:dyDescent="0.2">
      <c r="A577" s="636"/>
      <c r="B577" s="425"/>
      <c r="C577" s="425"/>
    </row>
    <row r="578" spans="1:3" x14ac:dyDescent="0.2">
      <c r="A578" s="636"/>
      <c r="B578" s="425"/>
      <c r="C578" s="425"/>
    </row>
    <row r="579" spans="1:3" x14ac:dyDescent="0.2">
      <c r="A579" s="636"/>
      <c r="B579" s="425"/>
      <c r="C579" s="425"/>
    </row>
    <row r="580" spans="1:3" x14ac:dyDescent="0.2">
      <c r="A580" s="636"/>
      <c r="B580" s="425"/>
      <c r="C580" s="425"/>
    </row>
    <row r="581" spans="1:3" x14ac:dyDescent="0.2">
      <c r="A581" s="636"/>
      <c r="B581" s="425"/>
      <c r="C581" s="425"/>
    </row>
    <row r="582" spans="1:3" x14ac:dyDescent="0.2">
      <c r="A582" s="636"/>
      <c r="B582" s="425"/>
      <c r="C582" s="425"/>
    </row>
    <row r="583" spans="1:3" x14ac:dyDescent="0.2">
      <c r="A583" s="636"/>
      <c r="B583" s="425"/>
      <c r="C583" s="425"/>
    </row>
    <row r="584" spans="1:3" x14ac:dyDescent="0.2">
      <c r="A584" s="636"/>
      <c r="B584" s="425"/>
      <c r="C584" s="425"/>
    </row>
    <row r="585" spans="1:3" x14ac:dyDescent="0.2">
      <c r="A585" s="636"/>
      <c r="B585" s="425"/>
      <c r="C585" s="425"/>
    </row>
    <row r="586" spans="1:3" x14ac:dyDescent="0.2">
      <c r="A586" s="636"/>
      <c r="B586" s="425"/>
      <c r="C586" s="425"/>
    </row>
    <row r="587" spans="1:3" x14ac:dyDescent="0.2">
      <c r="A587" s="636"/>
      <c r="B587" s="425"/>
      <c r="C587" s="425"/>
    </row>
    <row r="588" spans="1:3" x14ac:dyDescent="0.2">
      <c r="A588" s="636"/>
      <c r="B588" s="425"/>
      <c r="C588" s="425"/>
    </row>
    <row r="589" spans="1:3" x14ac:dyDescent="0.2">
      <c r="A589" s="636"/>
      <c r="B589" s="425"/>
      <c r="C589" s="425"/>
    </row>
    <row r="590" spans="1:3" x14ac:dyDescent="0.2">
      <c r="A590" s="636"/>
      <c r="B590" s="425"/>
      <c r="C590" s="425"/>
    </row>
    <row r="591" spans="1:3" x14ac:dyDescent="0.2">
      <c r="A591" s="636"/>
      <c r="B591" s="425"/>
      <c r="C591" s="425"/>
    </row>
    <row r="592" spans="1:3" x14ac:dyDescent="0.2">
      <c r="A592" s="636"/>
      <c r="B592" s="425"/>
      <c r="C592" s="425"/>
    </row>
    <row r="593" spans="1:3" x14ac:dyDescent="0.2">
      <c r="A593" s="636"/>
      <c r="B593" s="425"/>
      <c r="C593" s="425"/>
    </row>
    <row r="594" spans="1:3" x14ac:dyDescent="0.2">
      <c r="A594" s="636"/>
      <c r="B594" s="425"/>
      <c r="C594" s="425"/>
    </row>
    <row r="595" spans="1:3" x14ac:dyDescent="0.2">
      <c r="A595" s="636"/>
      <c r="B595" s="425"/>
      <c r="C595" s="425"/>
    </row>
    <row r="596" spans="1:3" x14ac:dyDescent="0.2">
      <c r="A596" s="636"/>
      <c r="B596" s="425"/>
      <c r="C596" s="425"/>
    </row>
    <row r="597" spans="1:3" x14ac:dyDescent="0.2">
      <c r="A597" s="636"/>
      <c r="B597" s="425"/>
      <c r="C597" s="425"/>
    </row>
    <row r="598" spans="1:3" x14ac:dyDescent="0.2">
      <c r="A598" s="636"/>
      <c r="B598" s="425"/>
      <c r="C598" s="425"/>
    </row>
    <row r="599" spans="1:3" x14ac:dyDescent="0.2">
      <c r="A599" s="636"/>
      <c r="B599" s="425"/>
      <c r="C599" s="425"/>
    </row>
    <row r="600" spans="1:3" x14ac:dyDescent="0.2">
      <c r="A600" s="636"/>
      <c r="B600" s="425"/>
      <c r="C600" s="425"/>
    </row>
    <row r="601" spans="1:3" x14ac:dyDescent="0.2">
      <c r="A601" s="636"/>
      <c r="B601" s="425"/>
      <c r="C601" s="425"/>
    </row>
    <row r="602" spans="1:3" x14ac:dyDescent="0.2">
      <c r="A602" s="636"/>
      <c r="B602" s="425"/>
      <c r="C602" s="425"/>
    </row>
    <row r="603" spans="1:3" x14ac:dyDescent="0.2">
      <c r="A603" s="636"/>
      <c r="B603" s="425"/>
      <c r="C603" s="425"/>
    </row>
    <row r="604" spans="1:3" x14ac:dyDescent="0.2">
      <c r="A604" s="636"/>
      <c r="B604" s="425"/>
      <c r="C604" s="425"/>
    </row>
    <row r="605" spans="1:3" x14ac:dyDescent="0.2">
      <c r="A605" s="636"/>
      <c r="B605" s="425"/>
      <c r="C605" s="425"/>
    </row>
    <row r="606" spans="1:3" x14ac:dyDescent="0.2">
      <c r="A606" s="636"/>
      <c r="B606" s="425"/>
      <c r="C606" s="425"/>
    </row>
    <row r="607" spans="1:3" x14ac:dyDescent="0.2">
      <c r="A607" s="636"/>
      <c r="B607" s="425"/>
      <c r="C607" s="425"/>
    </row>
    <row r="608" spans="1:3" x14ac:dyDescent="0.2">
      <c r="A608" s="636"/>
      <c r="B608" s="425"/>
      <c r="C608" s="425"/>
    </row>
    <row r="609" spans="1:3" x14ac:dyDescent="0.2">
      <c r="A609" s="636"/>
      <c r="B609" s="425"/>
      <c r="C609" s="425"/>
    </row>
    <row r="610" spans="1:3" x14ac:dyDescent="0.2">
      <c r="A610" s="636"/>
      <c r="B610" s="425"/>
      <c r="C610" s="425"/>
    </row>
    <row r="611" spans="1:3" x14ac:dyDescent="0.2">
      <c r="A611" s="636"/>
      <c r="B611" s="425"/>
      <c r="C611" s="425"/>
    </row>
    <row r="612" spans="1:3" x14ac:dyDescent="0.2">
      <c r="A612" s="636"/>
      <c r="B612" s="425"/>
      <c r="C612" s="425"/>
    </row>
    <row r="613" spans="1:3" x14ac:dyDescent="0.2">
      <c r="A613" s="636"/>
      <c r="B613" s="425"/>
      <c r="C613" s="425"/>
    </row>
    <row r="614" spans="1:3" x14ac:dyDescent="0.2">
      <c r="A614" s="636"/>
      <c r="B614" s="425"/>
      <c r="C614" s="425"/>
    </row>
    <row r="615" spans="1:3" x14ac:dyDescent="0.2">
      <c r="A615" s="636"/>
      <c r="B615" s="425"/>
      <c r="C615" s="425"/>
    </row>
    <row r="616" spans="1:3" x14ac:dyDescent="0.2">
      <c r="A616" s="636"/>
      <c r="B616" s="425"/>
      <c r="C616" s="425"/>
    </row>
    <row r="617" spans="1:3" x14ac:dyDescent="0.2">
      <c r="A617" s="636"/>
      <c r="B617" s="425"/>
      <c r="C617" s="425"/>
    </row>
    <row r="618" spans="1:3" x14ac:dyDescent="0.2">
      <c r="A618" s="636"/>
      <c r="B618" s="425"/>
      <c r="C618" s="425"/>
    </row>
    <row r="619" spans="1:3" x14ac:dyDescent="0.2">
      <c r="A619" s="636"/>
      <c r="B619" s="425"/>
      <c r="C619" s="425"/>
    </row>
    <row r="620" spans="1:3" x14ac:dyDescent="0.2">
      <c r="A620" s="636"/>
      <c r="B620" s="425"/>
      <c r="C620" s="425"/>
    </row>
    <row r="621" spans="1:3" x14ac:dyDescent="0.2">
      <c r="A621" s="636"/>
      <c r="B621" s="425"/>
      <c r="C621" s="425"/>
    </row>
    <row r="622" spans="1:3" x14ac:dyDescent="0.2">
      <c r="A622" s="636"/>
      <c r="B622" s="425"/>
      <c r="C622" s="425"/>
    </row>
    <row r="623" spans="1:3" x14ac:dyDescent="0.2">
      <c r="A623" s="636"/>
      <c r="B623" s="425"/>
      <c r="C623" s="425"/>
    </row>
    <row r="624" spans="1:3" x14ac:dyDescent="0.2">
      <c r="A624" s="636"/>
      <c r="B624" s="425"/>
      <c r="C624" s="425"/>
    </row>
    <row r="625" spans="1:3" x14ac:dyDescent="0.2">
      <c r="A625" s="636"/>
      <c r="B625" s="425"/>
      <c r="C625" s="425"/>
    </row>
    <row r="626" spans="1:3" x14ac:dyDescent="0.2">
      <c r="A626" s="636"/>
      <c r="B626" s="425"/>
      <c r="C626" s="425"/>
    </row>
    <row r="627" spans="1:3" x14ac:dyDescent="0.2">
      <c r="A627" s="636"/>
      <c r="B627" s="425"/>
      <c r="C627" s="425"/>
    </row>
    <row r="628" spans="1:3" x14ac:dyDescent="0.2">
      <c r="A628" s="636"/>
      <c r="B628" s="425"/>
      <c r="C628" s="425"/>
    </row>
    <row r="629" spans="1:3" x14ac:dyDescent="0.2">
      <c r="A629" s="636"/>
      <c r="B629" s="425"/>
      <c r="C629" s="425"/>
    </row>
    <row r="630" spans="1:3" x14ac:dyDescent="0.2">
      <c r="A630" s="636"/>
      <c r="B630" s="425"/>
      <c r="C630" s="425"/>
    </row>
    <row r="631" spans="1:3" x14ac:dyDescent="0.2">
      <c r="A631" s="636"/>
      <c r="B631" s="425"/>
      <c r="C631" s="425"/>
    </row>
    <row r="632" spans="1:3" x14ac:dyDescent="0.2">
      <c r="A632" s="636"/>
      <c r="B632" s="425"/>
      <c r="C632" s="425"/>
    </row>
    <row r="633" spans="1:3" x14ac:dyDescent="0.2">
      <c r="A633" s="636"/>
      <c r="B633" s="425"/>
      <c r="C633" s="425"/>
    </row>
    <row r="634" spans="1:3" x14ac:dyDescent="0.2">
      <c r="A634" s="636"/>
      <c r="B634" s="425"/>
      <c r="C634" s="425"/>
    </row>
    <row r="635" spans="1:3" x14ac:dyDescent="0.2">
      <c r="A635" s="636"/>
      <c r="B635" s="425"/>
      <c r="C635" s="425"/>
    </row>
    <row r="636" spans="1:3" x14ac:dyDescent="0.2">
      <c r="A636" s="636"/>
      <c r="B636" s="425"/>
      <c r="C636" s="425"/>
    </row>
    <row r="637" spans="1:3" x14ac:dyDescent="0.2">
      <c r="A637" s="636"/>
      <c r="B637" s="425"/>
      <c r="C637" s="425"/>
    </row>
    <row r="638" spans="1:3" x14ac:dyDescent="0.2">
      <c r="A638" s="636"/>
      <c r="B638" s="425"/>
      <c r="C638" s="425"/>
    </row>
    <row r="639" spans="1:3" x14ac:dyDescent="0.2">
      <c r="A639" s="636"/>
      <c r="B639" s="425"/>
      <c r="C639" s="425"/>
    </row>
    <row r="640" spans="1:3" x14ac:dyDescent="0.2">
      <c r="A640" s="636"/>
      <c r="B640" s="425"/>
      <c r="C640" s="425"/>
    </row>
    <row r="641" spans="1:3" x14ac:dyDescent="0.2">
      <c r="A641" s="636"/>
      <c r="B641" s="425"/>
      <c r="C641" s="425"/>
    </row>
    <row r="642" spans="1:3" x14ac:dyDescent="0.2">
      <c r="A642" s="636"/>
      <c r="B642" s="425"/>
      <c r="C642" s="425"/>
    </row>
    <row r="643" spans="1:3" x14ac:dyDescent="0.2">
      <c r="A643" s="636"/>
      <c r="B643" s="425"/>
      <c r="C643" s="425"/>
    </row>
    <row r="644" spans="1:3" x14ac:dyDescent="0.2">
      <c r="A644" s="636"/>
      <c r="B644" s="425"/>
      <c r="C644" s="425"/>
    </row>
    <row r="645" spans="1:3" x14ac:dyDescent="0.2">
      <c r="A645" s="636"/>
      <c r="B645" s="425"/>
      <c r="C645" s="425"/>
    </row>
    <row r="646" spans="1:3" x14ac:dyDescent="0.2">
      <c r="A646" s="636"/>
      <c r="B646" s="425"/>
      <c r="C646" s="425"/>
    </row>
    <row r="647" spans="1:3" x14ac:dyDescent="0.2">
      <c r="A647" s="636"/>
      <c r="B647" s="425"/>
      <c r="C647" s="425"/>
    </row>
    <row r="648" spans="1:3" x14ac:dyDescent="0.2">
      <c r="A648" s="636"/>
      <c r="B648" s="425"/>
      <c r="C648" s="425"/>
    </row>
    <row r="649" spans="1:3" x14ac:dyDescent="0.2">
      <c r="A649" s="636"/>
      <c r="B649" s="425"/>
      <c r="C649" s="425"/>
    </row>
    <row r="650" spans="1:3" x14ac:dyDescent="0.2">
      <c r="A650" s="636"/>
      <c r="B650" s="425"/>
      <c r="C650" s="425"/>
    </row>
    <row r="651" spans="1:3" x14ac:dyDescent="0.2">
      <c r="A651" s="636"/>
      <c r="B651" s="425"/>
      <c r="C651" s="425"/>
    </row>
    <row r="652" spans="1:3" x14ac:dyDescent="0.2">
      <c r="A652" s="636"/>
      <c r="B652" s="425"/>
      <c r="C652" s="425"/>
    </row>
    <row r="653" spans="1:3" x14ac:dyDescent="0.2">
      <c r="A653" s="636"/>
      <c r="B653" s="425"/>
      <c r="C653" s="425"/>
    </row>
    <row r="654" spans="1:3" x14ac:dyDescent="0.2">
      <c r="A654" s="636"/>
      <c r="B654" s="425"/>
      <c r="C654" s="425"/>
    </row>
    <row r="655" spans="1:3" x14ac:dyDescent="0.2">
      <c r="A655" s="636"/>
      <c r="B655" s="425"/>
      <c r="C655" s="425"/>
    </row>
    <row r="656" spans="1:3" x14ac:dyDescent="0.2">
      <c r="A656" s="636"/>
      <c r="B656" s="425"/>
      <c r="C656" s="425"/>
    </row>
    <row r="657" spans="1:3" x14ac:dyDescent="0.2">
      <c r="A657" s="636"/>
      <c r="B657" s="425"/>
      <c r="C657" s="425"/>
    </row>
    <row r="658" spans="1:3" x14ac:dyDescent="0.2">
      <c r="A658" s="636"/>
      <c r="B658" s="425"/>
      <c r="C658" s="425"/>
    </row>
    <row r="659" spans="1:3" x14ac:dyDescent="0.2">
      <c r="A659" s="636"/>
      <c r="B659" s="425"/>
      <c r="C659" s="425"/>
    </row>
    <row r="660" spans="1:3" x14ac:dyDescent="0.2">
      <c r="A660" s="636"/>
      <c r="B660" s="425"/>
      <c r="C660" s="425"/>
    </row>
    <row r="661" spans="1:3" x14ac:dyDescent="0.2">
      <c r="A661" s="636"/>
      <c r="B661" s="425"/>
      <c r="C661" s="425"/>
    </row>
    <row r="662" spans="1:3" x14ac:dyDescent="0.2">
      <c r="A662" s="636"/>
      <c r="B662" s="425"/>
      <c r="C662" s="425"/>
    </row>
    <row r="663" spans="1:3" x14ac:dyDescent="0.2">
      <c r="A663" s="636"/>
      <c r="B663" s="425"/>
      <c r="C663" s="425"/>
    </row>
    <row r="664" spans="1:3" x14ac:dyDescent="0.2">
      <c r="A664" s="636"/>
      <c r="B664" s="425"/>
      <c r="C664" s="425"/>
    </row>
    <row r="665" spans="1:3" x14ac:dyDescent="0.2">
      <c r="A665" s="636"/>
      <c r="B665" s="425"/>
      <c r="C665" s="425"/>
    </row>
    <row r="666" spans="1:3" x14ac:dyDescent="0.2">
      <c r="A666" s="636"/>
      <c r="B666" s="425"/>
      <c r="C666" s="425"/>
    </row>
    <row r="667" spans="1:3" x14ac:dyDescent="0.2">
      <c r="A667" s="636"/>
      <c r="B667" s="425"/>
      <c r="C667" s="425"/>
    </row>
    <row r="668" spans="1:3" x14ac:dyDescent="0.2">
      <c r="A668" s="636"/>
      <c r="B668" s="425"/>
      <c r="C668" s="425"/>
    </row>
    <row r="669" spans="1:3" x14ac:dyDescent="0.2">
      <c r="A669" s="636"/>
      <c r="B669" s="425"/>
      <c r="C669" s="425"/>
    </row>
    <row r="670" spans="1:3" x14ac:dyDescent="0.2">
      <c r="A670" s="636"/>
      <c r="B670" s="425"/>
      <c r="C670" s="425"/>
    </row>
    <row r="671" spans="1:3" x14ac:dyDescent="0.2">
      <c r="A671" s="636"/>
      <c r="B671" s="425"/>
      <c r="C671" s="425"/>
    </row>
    <row r="672" spans="1:3" x14ac:dyDescent="0.2">
      <c r="A672" s="636"/>
      <c r="B672" s="425"/>
      <c r="C672" s="425"/>
    </row>
    <row r="673" spans="1:3" x14ac:dyDescent="0.2">
      <c r="A673" s="636"/>
      <c r="B673" s="425"/>
      <c r="C673" s="425"/>
    </row>
    <row r="674" spans="1:3" x14ac:dyDescent="0.2">
      <c r="A674" s="636"/>
      <c r="B674" s="425"/>
      <c r="C674" s="425"/>
    </row>
    <row r="675" spans="1:3" x14ac:dyDescent="0.2">
      <c r="A675" s="636"/>
      <c r="B675" s="425"/>
      <c r="C675" s="425"/>
    </row>
    <row r="676" spans="1:3" x14ac:dyDescent="0.2">
      <c r="A676" s="636"/>
      <c r="B676" s="425"/>
      <c r="C676" s="425"/>
    </row>
    <row r="677" spans="1:3" x14ac:dyDescent="0.2">
      <c r="A677" s="636"/>
      <c r="B677" s="425"/>
      <c r="C677" s="425"/>
    </row>
    <row r="678" spans="1:3" x14ac:dyDescent="0.2">
      <c r="A678" s="636"/>
      <c r="B678" s="425"/>
      <c r="C678" s="425"/>
    </row>
    <row r="679" spans="1:3" x14ac:dyDescent="0.2">
      <c r="A679" s="636"/>
      <c r="B679" s="425"/>
      <c r="C679" s="425"/>
    </row>
    <row r="680" spans="1:3" x14ac:dyDescent="0.2">
      <c r="A680" s="636"/>
      <c r="B680" s="425"/>
      <c r="C680" s="425"/>
    </row>
    <row r="681" spans="1:3" x14ac:dyDescent="0.2">
      <c r="A681" s="636"/>
      <c r="B681" s="425"/>
      <c r="C681" s="425"/>
    </row>
    <row r="682" spans="1:3" x14ac:dyDescent="0.2">
      <c r="A682" s="636"/>
      <c r="B682" s="425"/>
      <c r="C682" s="425"/>
    </row>
    <row r="683" spans="1:3" x14ac:dyDescent="0.2">
      <c r="A683" s="636"/>
      <c r="B683" s="425"/>
      <c r="C683" s="425"/>
    </row>
    <row r="684" spans="1:3" x14ac:dyDescent="0.2">
      <c r="A684" s="636"/>
      <c r="B684" s="425"/>
      <c r="C684" s="425"/>
    </row>
    <row r="685" spans="1:3" x14ac:dyDescent="0.2">
      <c r="A685" s="636"/>
      <c r="B685" s="425"/>
      <c r="C685" s="425"/>
    </row>
    <row r="686" spans="1:3" x14ac:dyDescent="0.2">
      <c r="A686" s="636"/>
      <c r="B686" s="425"/>
      <c r="C686" s="425"/>
    </row>
    <row r="687" spans="1:3" x14ac:dyDescent="0.2">
      <c r="A687" s="636"/>
      <c r="B687" s="425"/>
      <c r="C687" s="425"/>
    </row>
    <row r="688" spans="1:3" x14ac:dyDescent="0.2">
      <c r="A688" s="636"/>
      <c r="B688" s="425"/>
      <c r="C688" s="425"/>
    </row>
    <row r="689" spans="1:3" x14ac:dyDescent="0.2">
      <c r="A689" s="636"/>
      <c r="B689" s="425"/>
      <c r="C689" s="425"/>
    </row>
    <row r="690" spans="1:3" x14ac:dyDescent="0.2">
      <c r="A690" s="636"/>
      <c r="B690" s="425"/>
      <c r="C690" s="425"/>
    </row>
    <row r="691" spans="1:3" x14ac:dyDescent="0.2">
      <c r="A691" s="636"/>
      <c r="B691" s="425"/>
      <c r="C691" s="425"/>
    </row>
    <row r="692" spans="1:3" x14ac:dyDescent="0.2">
      <c r="A692" s="636"/>
      <c r="B692" s="425"/>
      <c r="C692" s="425"/>
    </row>
    <row r="693" spans="1:3" x14ac:dyDescent="0.2">
      <c r="A693" s="636"/>
      <c r="B693" s="425"/>
      <c r="C693" s="425"/>
    </row>
    <row r="694" spans="1:3" x14ac:dyDescent="0.2">
      <c r="A694" s="636"/>
      <c r="B694" s="425"/>
      <c r="C694" s="425"/>
    </row>
    <row r="695" spans="1:3" x14ac:dyDescent="0.2">
      <c r="A695" s="636"/>
      <c r="B695" s="425"/>
      <c r="C695" s="425"/>
    </row>
    <row r="696" spans="1:3" x14ac:dyDescent="0.2">
      <c r="A696" s="636"/>
      <c r="B696" s="425"/>
      <c r="C696" s="425"/>
    </row>
    <row r="697" spans="1:3" x14ac:dyDescent="0.2">
      <c r="A697" s="636"/>
      <c r="B697" s="425"/>
      <c r="C697" s="425"/>
    </row>
    <row r="698" spans="1:3" x14ac:dyDescent="0.2">
      <c r="A698" s="636"/>
      <c r="B698" s="425"/>
      <c r="C698" s="425"/>
    </row>
    <row r="699" spans="1:3" x14ac:dyDescent="0.2">
      <c r="A699" s="636"/>
      <c r="B699" s="425"/>
      <c r="C699" s="425"/>
    </row>
    <row r="700" spans="1:3" x14ac:dyDescent="0.2">
      <c r="A700" s="636"/>
      <c r="B700" s="425"/>
      <c r="C700" s="425"/>
    </row>
    <row r="701" spans="1:3" x14ac:dyDescent="0.2">
      <c r="A701" s="636"/>
      <c r="B701" s="425"/>
      <c r="C701" s="425"/>
    </row>
    <row r="702" spans="1:3" x14ac:dyDescent="0.2">
      <c r="A702" s="636"/>
      <c r="B702" s="425"/>
      <c r="C702" s="425"/>
    </row>
    <row r="703" spans="1:3" x14ac:dyDescent="0.2">
      <c r="A703" s="636"/>
      <c r="B703" s="425"/>
      <c r="C703" s="425"/>
    </row>
    <row r="704" spans="1:3" x14ac:dyDescent="0.2">
      <c r="A704" s="636"/>
      <c r="B704" s="425"/>
      <c r="C704" s="425"/>
    </row>
    <row r="705" spans="1:3" x14ac:dyDescent="0.2">
      <c r="A705" s="636"/>
      <c r="B705" s="425"/>
      <c r="C705" s="425"/>
    </row>
    <row r="706" spans="1:3" x14ac:dyDescent="0.2">
      <c r="A706" s="636"/>
      <c r="B706" s="425"/>
      <c r="C706" s="425"/>
    </row>
    <row r="707" spans="1:3" x14ac:dyDescent="0.2">
      <c r="A707" s="636"/>
      <c r="B707" s="425"/>
      <c r="C707" s="425"/>
    </row>
    <row r="708" spans="1:3" x14ac:dyDescent="0.2">
      <c r="A708" s="636"/>
      <c r="B708" s="425"/>
      <c r="C708" s="425"/>
    </row>
    <row r="709" spans="1:3" x14ac:dyDescent="0.2">
      <c r="A709" s="636"/>
      <c r="B709" s="425"/>
      <c r="C709" s="425"/>
    </row>
    <row r="710" spans="1:3" x14ac:dyDescent="0.2">
      <c r="A710" s="636"/>
      <c r="B710" s="425"/>
      <c r="C710" s="425"/>
    </row>
    <row r="711" spans="1:3" x14ac:dyDescent="0.2">
      <c r="A711" s="636"/>
      <c r="B711" s="425"/>
      <c r="C711" s="425"/>
    </row>
    <row r="712" spans="1:3" x14ac:dyDescent="0.2">
      <c r="A712" s="636"/>
      <c r="B712" s="425"/>
      <c r="C712" s="425"/>
    </row>
    <row r="713" spans="1:3" x14ac:dyDescent="0.2">
      <c r="A713" s="636"/>
      <c r="B713" s="425"/>
      <c r="C713" s="425"/>
    </row>
    <row r="714" spans="1:3" x14ac:dyDescent="0.2">
      <c r="A714" s="636"/>
      <c r="B714" s="425"/>
      <c r="C714" s="425"/>
    </row>
    <row r="715" spans="1:3" x14ac:dyDescent="0.2">
      <c r="A715" s="636"/>
      <c r="B715" s="425"/>
      <c r="C715" s="425"/>
    </row>
    <row r="716" spans="1:3" x14ac:dyDescent="0.2">
      <c r="A716" s="636"/>
      <c r="B716" s="425"/>
      <c r="C716" s="425"/>
    </row>
    <row r="717" spans="1:3" x14ac:dyDescent="0.2">
      <c r="A717" s="636"/>
      <c r="B717" s="425"/>
      <c r="C717" s="425"/>
    </row>
    <row r="718" spans="1:3" x14ac:dyDescent="0.2">
      <c r="A718" s="636"/>
      <c r="B718" s="425"/>
      <c r="C718" s="425"/>
    </row>
    <row r="719" spans="1:3" x14ac:dyDescent="0.2">
      <c r="A719" s="636"/>
      <c r="B719" s="425"/>
      <c r="C719" s="425"/>
    </row>
    <row r="720" spans="1:3" x14ac:dyDescent="0.2">
      <c r="A720" s="636"/>
      <c r="B720" s="425"/>
      <c r="C720" s="425"/>
    </row>
    <row r="721" spans="1:3" x14ac:dyDescent="0.2">
      <c r="A721" s="636"/>
      <c r="B721" s="425"/>
      <c r="C721" s="425"/>
    </row>
    <row r="722" spans="1:3" x14ac:dyDescent="0.2">
      <c r="A722" s="636"/>
      <c r="B722" s="425"/>
      <c r="C722" s="425"/>
    </row>
    <row r="723" spans="1:3" x14ac:dyDescent="0.2">
      <c r="A723" s="636"/>
      <c r="B723" s="425"/>
      <c r="C723" s="425"/>
    </row>
    <row r="724" spans="1:3" x14ac:dyDescent="0.2">
      <c r="A724" s="636"/>
      <c r="B724" s="425"/>
      <c r="C724" s="425"/>
    </row>
    <row r="725" spans="1:3" x14ac:dyDescent="0.2">
      <c r="A725" s="636"/>
      <c r="B725" s="425"/>
      <c r="C725" s="425"/>
    </row>
    <row r="726" spans="1:3" x14ac:dyDescent="0.2">
      <c r="A726" s="636"/>
      <c r="B726" s="425"/>
      <c r="C726" s="425"/>
    </row>
    <row r="727" spans="1:3" x14ac:dyDescent="0.2">
      <c r="A727" s="636"/>
      <c r="B727" s="425"/>
      <c r="C727" s="425"/>
    </row>
    <row r="728" spans="1:3" x14ac:dyDescent="0.2">
      <c r="A728" s="636"/>
      <c r="B728" s="425"/>
      <c r="C728" s="425"/>
    </row>
    <row r="729" spans="1:3" x14ac:dyDescent="0.2">
      <c r="A729" s="636"/>
      <c r="B729" s="425"/>
      <c r="C729" s="425"/>
    </row>
    <row r="730" spans="1:3" x14ac:dyDescent="0.2">
      <c r="A730" s="636"/>
      <c r="B730" s="425"/>
      <c r="C730" s="425"/>
    </row>
    <row r="731" spans="1:3" x14ac:dyDescent="0.2">
      <c r="A731" s="636"/>
      <c r="B731" s="425"/>
      <c r="C731" s="425"/>
    </row>
    <row r="732" spans="1:3" x14ac:dyDescent="0.2">
      <c r="A732" s="636"/>
      <c r="B732" s="425"/>
      <c r="C732" s="425"/>
    </row>
    <row r="733" spans="1:3" x14ac:dyDescent="0.2">
      <c r="A733" s="636"/>
      <c r="B733" s="425"/>
      <c r="C733" s="425"/>
    </row>
    <row r="734" spans="1:3" x14ac:dyDescent="0.2">
      <c r="A734" s="636"/>
      <c r="B734" s="425"/>
      <c r="C734" s="425"/>
    </row>
    <row r="735" spans="1:3" x14ac:dyDescent="0.2">
      <c r="A735" s="636"/>
      <c r="B735" s="425"/>
      <c r="C735" s="425"/>
    </row>
    <row r="736" spans="1:3" x14ac:dyDescent="0.2">
      <c r="A736" s="636"/>
      <c r="B736" s="425"/>
      <c r="C736" s="425"/>
    </row>
    <row r="737" spans="1:3" x14ac:dyDescent="0.2">
      <c r="A737" s="636"/>
      <c r="B737" s="425"/>
      <c r="C737" s="425"/>
    </row>
    <row r="738" spans="1:3" x14ac:dyDescent="0.2">
      <c r="A738" s="636"/>
      <c r="B738" s="425"/>
      <c r="C738" s="425"/>
    </row>
    <row r="739" spans="1:3" x14ac:dyDescent="0.2">
      <c r="A739" s="636"/>
      <c r="B739" s="425"/>
      <c r="C739" s="425"/>
    </row>
    <row r="740" spans="1:3" x14ac:dyDescent="0.2">
      <c r="A740" s="636"/>
      <c r="B740" s="425"/>
      <c r="C740" s="425"/>
    </row>
    <row r="741" spans="1:3" x14ac:dyDescent="0.2">
      <c r="A741" s="636"/>
      <c r="B741" s="425"/>
      <c r="C741" s="425"/>
    </row>
    <row r="742" spans="1:3" x14ac:dyDescent="0.2">
      <c r="A742" s="636"/>
      <c r="B742" s="425"/>
      <c r="C742" s="425"/>
    </row>
    <row r="743" spans="1:3" x14ac:dyDescent="0.2">
      <c r="A743" s="636"/>
      <c r="B743" s="425"/>
      <c r="C743" s="425"/>
    </row>
    <row r="744" spans="1:3" x14ac:dyDescent="0.2">
      <c r="A744" s="636"/>
      <c r="B744" s="425"/>
      <c r="C744" s="425"/>
    </row>
    <row r="745" spans="1:3" x14ac:dyDescent="0.2">
      <c r="A745" s="636"/>
      <c r="B745" s="425"/>
      <c r="C745" s="425"/>
    </row>
    <row r="746" spans="1:3" x14ac:dyDescent="0.2">
      <c r="A746" s="636"/>
      <c r="B746" s="425"/>
      <c r="C746" s="425"/>
    </row>
    <row r="747" spans="1:3" x14ac:dyDescent="0.2">
      <c r="A747" s="636"/>
      <c r="B747" s="425"/>
      <c r="C747" s="425"/>
    </row>
    <row r="748" spans="1:3" x14ac:dyDescent="0.2">
      <c r="A748" s="636"/>
      <c r="B748" s="425"/>
      <c r="C748" s="425"/>
    </row>
    <row r="749" spans="1:3" x14ac:dyDescent="0.2">
      <c r="A749" s="636"/>
      <c r="B749" s="425"/>
      <c r="C749" s="425"/>
    </row>
    <row r="750" spans="1:3" x14ac:dyDescent="0.2">
      <c r="A750" s="636"/>
      <c r="B750" s="425"/>
      <c r="C750" s="425"/>
    </row>
    <row r="751" spans="1:3" x14ac:dyDescent="0.2">
      <c r="A751" s="636"/>
      <c r="B751" s="425"/>
      <c r="C751" s="425"/>
    </row>
    <row r="752" spans="1:3" x14ac:dyDescent="0.2">
      <c r="A752" s="636"/>
      <c r="B752" s="425"/>
      <c r="C752" s="425"/>
    </row>
    <row r="753" spans="1:3" x14ac:dyDescent="0.2">
      <c r="A753" s="636"/>
      <c r="B753" s="425"/>
      <c r="C753" s="425"/>
    </row>
    <row r="754" spans="1:3" x14ac:dyDescent="0.2">
      <c r="A754" s="636"/>
      <c r="B754" s="425"/>
      <c r="C754" s="425"/>
    </row>
    <row r="755" spans="1:3" x14ac:dyDescent="0.2">
      <c r="A755" s="636"/>
      <c r="B755" s="425"/>
      <c r="C755" s="425"/>
    </row>
    <row r="756" spans="1:3" x14ac:dyDescent="0.2">
      <c r="A756" s="636"/>
      <c r="B756" s="425"/>
      <c r="C756" s="425"/>
    </row>
    <row r="757" spans="1:3" x14ac:dyDescent="0.2">
      <c r="A757" s="636"/>
      <c r="B757" s="425"/>
      <c r="C757" s="425"/>
    </row>
    <row r="758" spans="1:3" x14ac:dyDescent="0.2">
      <c r="A758" s="636"/>
      <c r="B758" s="425"/>
      <c r="C758" s="425"/>
    </row>
    <row r="759" spans="1:3" x14ac:dyDescent="0.2">
      <c r="A759" s="636"/>
      <c r="B759" s="425"/>
      <c r="C759" s="425"/>
    </row>
    <row r="760" spans="1:3" x14ac:dyDescent="0.2">
      <c r="A760" s="636"/>
      <c r="B760" s="425"/>
      <c r="C760" s="425"/>
    </row>
    <row r="761" spans="1:3" x14ac:dyDescent="0.2">
      <c r="A761" s="636"/>
      <c r="B761" s="425"/>
      <c r="C761" s="425"/>
    </row>
    <row r="762" spans="1:3" x14ac:dyDescent="0.2">
      <c r="A762" s="636"/>
      <c r="B762" s="425"/>
      <c r="C762" s="425"/>
    </row>
    <row r="763" spans="1:3" x14ac:dyDescent="0.2">
      <c r="A763" s="636"/>
      <c r="B763" s="425"/>
      <c r="C763" s="425"/>
    </row>
    <row r="764" spans="1:3" x14ac:dyDescent="0.2">
      <c r="A764" s="636"/>
      <c r="B764" s="425"/>
      <c r="C764" s="425"/>
    </row>
    <row r="765" spans="1:3" x14ac:dyDescent="0.2">
      <c r="A765" s="636"/>
      <c r="B765" s="425"/>
      <c r="C765" s="425"/>
    </row>
    <row r="766" spans="1:3" x14ac:dyDescent="0.2">
      <c r="A766" s="636"/>
      <c r="B766" s="425"/>
      <c r="C766" s="425"/>
    </row>
    <row r="767" spans="1:3" x14ac:dyDescent="0.2">
      <c r="A767" s="636"/>
      <c r="B767" s="425"/>
      <c r="C767" s="425"/>
    </row>
    <row r="768" spans="1:3" x14ac:dyDescent="0.2">
      <c r="A768" s="636"/>
      <c r="B768" s="425"/>
      <c r="C768" s="425"/>
    </row>
    <row r="769" spans="1:3" x14ac:dyDescent="0.2">
      <c r="A769" s="636"/>
      <c r="B769" s="425"/>
      <c r="C769" s="425"/>
    </row>
    <row r="770" spans="1:3" x14ac:dyDescent="0.2">
      <c r="A770" s="636"/>
      <c r="B770" s="425"/>
      <c r="C770" s="425"/>
    </row>
    <row r="771" spans="1:3" x14ac:dyDescent="0.2">
      <c r="A771" s="636"/>
      <c r="B771" s="425"/>
      <c r="C771" s="425"/>
    </row>
    <row r="772" spans="1:3" x14ac:dyDescent="0.2">
      <c r="A772" s="636"/>
      <c r="B772" s="425"/>
      <c r="C772" s="425"/>
    </row>
    <row r="773" spans="1:3" x14ac:dyDescent="0.2">
      <c r="A773" s="636"/>
      <c r="B773" s="425"/>
      <c r="C773" s="425"/>
    </row>
    <row r="774" spans="1:3" x14ac:dyDescent="0.2">
      <c r="A774" s="636"/>
      <c r="B774" s="425"/>
      <c r="C774" s="425"/>
    </row>
    <row r="775" spans="1:3" x14ac:dyDescent="0.2">
      <c r="A775" s="636"/>
      <c r="B775" s="425"/>
      <c r="C775" s="425"/>
    </row>
    <row r="776" spans="1:3" x14ac:dyDescent="0.2">
      <c r="A776" s="636"/>
      <c r="B776" s="425"/>
      <c r="C776" s="425"/>
    </row>
    <row r="777" spans="1:3" x14ac:dyDescent="0.2">
      <c r="A777" s="636"/>
      <c r="B777" s="425"/>
      <c r="C777" s="425"/>
    </row>
    <row r="778" spans="1:3" x14ac:dyDescent="0.2">
      <c r="A778" s="636"/>
      <c r="B778" s="425"/>
      <c r="C778" s="425"/>
    </row>
    <row r="779" spans="1:3" x14ac:dyDescent="0.2">
      <c r="A779" s="636"/>
      <c r="B779" s="425"/>
      <c r="C779" s="425"/>
    </row>
    <row r="780" spans="1:3" x14ac:dyDescent="0.2">
      <c r="A780" s="636"/>
      <c r="B780" s="425"/>
      <c r="C780" s="425"/>
    </row>
    <row r="781" spans="1:3" x14ac:dyDescent="0.2">
      <c r="A781" s="636"/>
      <c r="B781" s="425"/>
      <c r="C781" s="425"/>
    </row>
    <row r="782" spans="1:3" x14ac:dyDescent="0.2">
      <c r="A782" s="636"/>
      <c r="B782" s="425"/>
      <c r="C782" s="425"/>
    </row>
    <row r="783" spans="1:3" x14ac:dyDescent="0.2">
      <c r="A783" s="636"/>
      <c r="B783" s="425"/>
      <c r="C783" s="425"/>
    </row>
    <row r="784" spans="1:3" x14ac:dyDescent="0.2">
      <c r="A784" s="636"/>
      <c r="B784" s="425"/>
      <c r="C784" s="425"/>
    </row>
    <row r="785" spans="1:3" x14ac:dyDescent="0.2">
      <c r="A785" s="636"/>
      <c r="B785" s="425"/>
      <c r="C785" s="425"/>
    </row>
    <row r="786" spans="1:3" x14ac:dyDescent="0.2">
      <c r="A786" s="636"/>
      <c r="B786" s="425"/>
      <c r="C786" s="425"/>
    </row>
    <row r="787" spans="1:3" x14ac:dyDescent="0.2">
      <c r="A787" s="636"/>
      <c r="B787" s="425"/>
      <c r="C787" s="425"/>
    </row>
    <row r="788" spans="1:3" x14ac:dyDescent="0.2">
      <c r="A788" s="636"/>
      <c r="B788" s="425"/>
      <c r="C788" s="425"/>
    </row>
    <row r="789" spans="1:3" x14ac:dyDescent="0.2">
      <c r="A789" s="636"/>
      <c r="B789" s="425"/>
      <c r="C789" s="425"/>
    </row>
    <row r="790" spans="1:3" x14ac:dyDescent="0.2">
      <c r="A790" s="636"/>
      <c r="B790" s="425"/>
      <c r="C790" s="425"/>
    </row>
    <row r="791" spans="1:3" x14ac:dyDescent="0.2">
      <c r="A791" s="636"/>
      <c r="B791" s="425"/>
      <c r="C791" s="425"/>
    </row>
    <row r="792" spans="1:3" x14ac:dyDescent="0.2">
      <c r="A792" s="636"/>
      <c r="B792" s="425"/>
      <c r="C792" s="425"/>
    </row>
    <row r="793" spans="1:3" x14ac:dyDescent="0.2">
      <c r="A793" s="636"/>
      <c r="B793" s="425"/>
      <c r="C793" s="425"/>
    </row>
    <row r="794" spans="1:3" x14ac:dyDescent="0.2">
      <c r="A794" s="636"/>
      <c r="B794" s="425"/>
      <c r="C794" s="425"/>
    </row>
    <row r="795" spans="1:3" x14ac:dyDescent="0.2">
      <c r="A795" s="636"/>
      <c r="B795" s="425"/>
      <c r="C795" s="425"/>
    </row>
    <row r="796" spans="1:3" x14ac:dyDescent="0.2">
      <c r="A796" s="636"/>
      <c r="B796" s="425"/>
      <c r="C796" s="425"/>
    </row>
    <row r="797" spans="1:3" x14ac:dyDescent="0.2">
      <c r="A797" s="636"/>
      <c r="B797" s="425"/>
      <c r="C797" s="425"/>
    </row>
    <row r="798" spans="1:3" x14ac:dyDescent="0.2">
      <c r="A798" s="636"/>
      <c r="B798" s="425"/>
      <c r="C798" s="425"/>
    </row>
    <row r="799" spans="1:3" x14ac:dyDescent="0.2">
      <c r="A799" s="636"/>
      <c r="B799" s="425"/>
      <c r="C799" s="425"/>
    </row>
    <row r="800" spans="1:3" x14ac:dyDescent="0.2">
      <c r="A800" s="636"/>
      <c r="B800" s="425"/>
      <c r="C800" s="425"/>
    </row>
    <row r="801" spans="1:3" x14ac:dyDescent="0.2">
      <c r="A801" s="636"/>
      <c r="B801" s="425"/>
      <c r="C801" s="425"/>
    </row>
    <row r="802" spans="1:3" x14ac:dyDescent="0.2">
      <c r="A802" s="636"/>
      <c r="B802" s="425"/>
      <c r="C802" s="425"/>
    </row>
    <row r="803" spans="1:3" x14ac:dyDescent="0.2">
      <c r="A803" s="636"/>
      <c r="B803" s="425"/>
      <c r="C803" s="425"/>
    </row>
    <row r="804" spans="1:3" x14ac:dyDescent="0.2">
      <c r="A804" s="636"/>
      <c r="B804" s="425"/>
      <c r="C804" s="425"/>
    </row>
    <row r="805" spans="1:3" x14ac:dyDescent="0.2">
      <c r="A805" s="636"/>
      <c r="B805" s="425"/>
      <c r="C805" s="425"/>
    </row>
    <row r="806" spans="1:3" x14ac:dyDescent="0.2">
      <c r="A806" s="636"/>
      <c r="B806" s="425"/>
      <c r="C806" s="425"/>
    </row>
    <row r="807" spans="1:3" x14ac:dyDescent="0.2">
      <c r="A807" s="636"/>
      <c r="B807" s="425"/>
      <c r="C807" s="425"/>
    </row>
    <row r="808" spans="1:3" x14ac:dyDescent="0.2">
      <c r="A808" s="636"/>
      <c r="B808" s="425"/>
      <c r="C808" s="425"/>
    </row>
    <row r="809" spans="1:3" x14ac:dyDescent="0.2">
      <c r="A809" s="636"/>
      <c r="B809" s="425"/>
      <c r="C809" s="425"/>
    </row>
    <row r="810" spans="1:3" x14ac:dyDescent="0.2">
      <c r="A810" s="636"/>
      <c r="B810" s="425"/>
      <c r="C810" s="425"/>
    </row>
    <row r="811" spans="1:3" x14ac:dyDescent="0.2">
      <c r="A811" s="636"/>
      <c r="B811" s="425"/>
      <c r="C811" s="425"/>
    </row>
    <row r="812" spans="1:3" x14ac:dyDescent="0.2">
      <c r="A812" s="636"/>
      <c r="B812" s="425"/>
      <c r="C812" s="425"/>
    </row>
    <row r="813" spans="1:3" x14ac:dyDescent="0.2">
      <c r="A813" s="636"/>
      <c r="B813" s="425"/>
      <c r="C813" s="425"/>
    </row>
    <row r="814" spans="1:3" x14ac:dyDescent="0.2">
      <c r="A814" s="636"/>
      <c r="B814" s="425"/>
      <c r="C814" s="425"/>
    </row>
    <row r="815" spans="1:3" x14ac:dyDescent="0.2">
      <c r="A815" s="636"/>
      <c r="B815" s="425"/>
      <c r="C815" s="425"/>
    </row>
    <row r="816" spans="1:3" x14ac:dyDescent="0.2">
      <c r="A816" s="636"/>
      <c r="B816" s="425"/>
      <c r="C816" s="425"/>
    </row>
    <row r="817" spans="1:3" x14ac:dyDescent="0.2">
      <c r="A817" s="636"/>
      <c r="B817" s="425"/>
      <c r="C817" s="425"/>
    </row>
    <row r="818" spans="1:3" x14ac:dyDescent="0.2">
      <c r="A818" s="636"/>
      <c r="B818" s="425"/>
      <c r="C818" s="425"/>
    </row>
    <row r="819" spans="1:3" x14ac:dyDescent="0.2">
      <c r="A819" s="636"/>
      <c r="B819" s="425"/>
      <c r="C819" s="425"/>
    </row>
    <row r="820" spans="1:3" x14ac:dyDescent="0.2">
      <c r="A820" s="636"/>
      <c r="B820" s="425"/>
      <c r="C820" s="425"/>
    </row>
    <row r="821" spans="1:3" x14ac:dyDescent="0.2">
      <c r="A821" s="636"/>
      <c r="B821" s="425"/>
      <c r="C821" s="425"/>
    </row>
    <row r="822" spans="1:3" x14ac:dyDescent="0.2">
      <c r="A822" s="636"/>
      <c r="B822" s="425"/>
      <c r="C822" s="425"/>
    </row>
    <row r="823" spans="1:3" x14ac:dyDescent="0.2">
      <c r="A823" s="636"/>
      <c r="B823" s="425"/>
      <c r="C823" s="425"/>
    </row>
    <row r="824" spans="1:3" x14ac:dyDescent="0.2">
      <c r="A824" s="636"/>
      <c r="B824" s="425"/>
      <c r="C824" s="425"/>
    </row>
    <row r="825" spans="1:3" x14ac:dyDescent="0.2">
      <c r="A825" s="636"/>
      <c r="B825" s="425"/>
      <c r="C825" s="425"/>
    </row>
    <row r="826" spans="1:3" x14ac:dyDescent="0.2">
      <c r="A826" s="636"/>
      <c r="B826" s="425"/>
      <c r="C826" s="425"/>
    </row>
    <row r="827" spans="1:3" x14ac:dyDescent="0.2">
      <c r="A827" s="636"/>
      <c r="B827" s="425"/>
      <c r="C827" s="425"/>
    </row>
    <row r="828" spans="1:3" x14ac:dyDescent="0.2">
      <c r="A828" s="636"/>
      <c r="B828" s="425"/>
      <c r="C828" s="425"/>
    </row>
    <row r="829" spans="1:3" x14ac:dyDescent="0.2">
      <c r="A829" s="636"/>
      <c r="B829" s="425"/>
      <c r="C829" s="425"/>
    </row>
    <row r="830" spans="1:3" x14ac:dyDescent="0.2">
      <c r="A830" s="636"/>
      <c r="B830" s="425"/>
      <c r="C830" s="425"/>
    </row>
    <row r="831" spans="1:3" x14ac:dyDescent="0.2">
      <c r="A831" s="636"/>
      <c r="B831" s="425"/>
      <c r="C831" s="425"/>
    </row>
    <row r="832" spans="1:3" x14ac:dyDescent="0.2">
      <c r="A832" s="636"/>
      <c r="B832" s="425"/>
      <c r="C832" s="425"/>
    </row>
    <row r="833" spans="1:3" x14ac:dyDescent="0.2">
      <c r="A833" s="636"/>
      <c r="B833" s="425"/>
      <c r="C833" s="425"/>
    </row>
    <row r="834" spans="1:3" x14ac:dyDescent="0.2">
      <c r="A834" s="636"/>
      <c r="B834" s="425"/>
      <c r="C834" s="425"/>
    </row>
    <row r="835" spans="1:3" x14ac:dyDescent="0.2">
      <c r="A835" s="636"/>
      <c r="B835" s="425"/>
      <c r="C835" s="425"/>
    </row>
    <row r="836" spans="1:3" x14ac:dyDescent="0.2">
      <c r="A836" s="636"/>
      <c r="B836" s="425"/>
      <c r="C836" s="425"/>
    </row>
    <row r="837" spans="1:3" x14ac:dyDescent="0.2">
      <c r="A837" s="636"/>
      <c r="B837" s="425"/>
      <c r="C837" s="425"/>
    </row>
    <row r="838" spans="1:3" x14ac:dyDescent="0.2">
      <c r="A838" s="636"/>
      <c r="B838" s="425"/>
      <c r="C838" s="425"/>
    </row>
    <row r="839" spans="1:3" x14ac:dyDescent="0.2">
      <c r="A839" s="636"/>
      <c r="B839" s="425"/>
      <c r="C839" s="425"/>
    </row>
    <row r="840" spans="1:3" x14ac:dyDescent="0.2">
      <c r="A840" s="636"/>
      <c r="B840" s="425"/>
      <c r="C840" s="425"/>
    </row>
    <row r="841" spans="1:3" x14ac:dyDescent="0.2">
      <c r="A841" s="636"/>
      <c r="B841" s="425"/>
      <c r="C841" s="425"/>
    </row>
    <row r="842" spans="1:3" x14ac:dyDescent="0.2">
      <c r="A842" s="636"/>
      <c r="B842" s="425"/>
      <c r="C842" s="425"/>
    </row>
    <row r="843" spans="1:3" x14ac:dyDescent="0.2">
      <c r="A843" s="636"/>
      <c r="B843" s="425"/>
      <c r="C843" s="425"/>
    </row>
    <row r="844" spans="1:3" x14ac:dyDescent="0.2">
      <c r="A844" s="636"/>
      <c r="B844" s="425"/>
      <c r="C844" s="425"/>
    </row>
    <row r="845" spans="1:3" x14ac:dyDescent="0.2">
      <c r="A845" s="636"/>
      <c r="B845" s="425"/>
      <c r="C845" s="425"/>
    </row>
    <row r="846" spans="1:3" x14ac:dyDescent="0.2">
      <c r="A846" s="636"/>
      <c r="B846" s="425"/>
      <c r="C846" s="425"/>
    </row>
    <row r="847" spans="1:3" x14ac:dyDescent="0.2">
      <c r="A847" s="636"/>
      <c r="B847" s="425"/>
      <c r="C847" s="425"/>
    </row>
    <row r="848" spans="1:3" x14ac:dyDescent="0.2">
      <c r="A848" s="636"/>
      <c r="B848" s="425"/>
      <c r="C848" s="425"/>
    </row>
    <row r="849" spans="1:3" x14ac:dyDescent="0.2">
      <c r="A849" s="636"/>
      <c r="B849" s="425"/>
      <c r="C849" s="425"/>
    </row>
    <row r="850" spans="1:3" x14ac:dyDescent="0.2">
      <c r="A850" s="636"/>
      <c r="B850" s="425"/>
      <c r="C850" s="425"/>
    </row>
    <row r="851" spans="1:3" x14ac:dyDescent="0.2">
      <c r="A851" s="636"/>
      <c r="B851" s="425"/>
      <c r="C851" s="425"/>
    </row>
    <row r="852" spans="1:3" x14ac:dyDescent="0.2">
      <c r="A852" s="636"/>
      <c r="B852" s="425"/>
      <c r="C852" s="425"/>
    </row>
    <row r="853" spans="1:3" x14ac:dyDescent="0.2">
      <c r="A853" s="636"/>
      <c r="B853" s="425"/>
      <c r="C853" s="425"/>
    </row>
    <row r="854" spans="1:3" x14ac:dyDescent="0.2">
      <c r="A854" s="636"/>
      <c r="B854" s="425"/>
      <c r="C854" s="425"/>
    </row>
    <row r="855" spans="1:3" x14ac:dyDescent="0.2">
      <c r="A855" s="636"/>
      <c r="B855" s="425"/>
      <c r="C855" s="425"/>
    </row>
    <row r="856" spans="1:3" x14ac:dyDescent="0.2">
      <c r="A856" s="636"/>
      <c r="B856" s="425"/>
      <c r="C856" s="425"/>
    </row>
    <row r="857" spans="1:3" x14ac:dyDescent="0.2">
      <c r="A857" s="636"/>
      <c r="B857" s="425"/>
      <c r="C857" s="425"/>
    </row>
    <row r="858" spans="1:3" x14ac:dyDescent="0.2">
      <c r="A858" s="636"/>
      <c r="B858" s="425"/>
      <c r="C858" s="425"/>
    </row>
    <row r="859" spans="1:3" x14ac:dyDescent="0.2">
      <c r="A859" s="636"/>
      <c r="B859" s="425"/>
      <c r="C859" s="425"/>
    </row>
    <row r="860" spans="1:3" x14ac:dyDescent="0.2">
      <c r="A860" s="636"/>
      <c r="B860" s="425"/>
      <c r="C860" s="425"/>
    </row>
    <row r="861" spans="1:3" x14ac:dyDescent="0.2">
      <c r="A861" s="636"/>
      <c r="B861" s="425"/>
      <c r="C861" s="425"/>
    </row>
    <row r="862" spans="1:3" x14ac:dyDescent="0.2">
      <c r="A862" s="636"/>
      <c r="B862" s="425"/>
      <c r="C862" s="425"/>
    </row>
    <row r="863" spans="1:3" x14ac:dyDescent="0.2">
      <c r="A863" s="636"/>
      <c r="B863" s="425"/>
      <c r="C863" s="425"/>
    </row>
    <row r="864" spans="1:3" x14ac:dyDescent="0.2">
      <c r="A864" s="636"/>
      <c r="B864" s="425"/>
      <c r="C864" s="425"/>
    </row>
    <row r="865" spans="1:3" x14ac:dyDescent="0.2">
      <c r="A865" s="636"/>
      <c r="B865" s="425"/>
      <c r="C865" s="425"/>
    </row>
    <row r="866" spans="1:3" x14ac:dyDescent="0.2">
      <c r="A866" s="636"/>
      <c r="B866" s="425"/>
      <c r="C866" s="425"/>
    </row>
    <row r="867" spans="1:3" x14ac:dyDescent="0.2">
      <c r="A867" s="636"/>
      <c r="B867" s="425"/>
      <c r="C867" s="425"/>
    </row>
    <row r="868" spans="1:3" x14ac:dyDescent="0.2">
      <c r="A868" s="636"/>
      <c r="B868" s="425"/>
      <c r="C868" s="425"/>
    </row>
    <row r="869" spans="1:3" x14ac:dyDescent="0.2">
      <c r="A869" s="636"/>
      <c r="B869" s="425"/>
      <c r="C869" s="425"/>
    </row>
    <row r="870" spans="1:3" x14ac:dyDescent="0.2">
      <c r="A870" s="636"/>
      <c r="B870" s="425"/>
      <c r="C870" s="425"/>
    </row>
    <row r="871" spans="1:3" x14ac:dyDescent="0.2">
      <c r="A871" s="636"/>
      <c r="B871" s="425"/>
      <c r="C871" s="425"/>
    </row>
    <row r="872" spans="1:3" x14ac:dyDescent="0.2">
      <c r="A872" s="636"/>
      <c r="B872" s="425"/>
      <c r="C872" s="425"/>
    </row>
    <row r="873" spans="1:3" x14ac:dyDescent="0.2">
      <c r="A873" s="636"/>
      <c r="B873" s="425"/>
      <c r="C873" s="425"/>
    </row>
    <row r="874" spans="1:3" x14ac:dyDescent="0.2">
      <c r="A874" s="636"/>
      <c r="B874" s="425"/>
      <c r="C874" s="425"/>
    </row>
    <row r="875" spans="1:3" x14ac:dyDescent="0.2">
      <c r="A875" s="636"/>
      <c r="B875" s="425"/>
      <c r="C875" s="425"/>
    </row>
    <row r="876" spans="1:3" x14ac:dyDescent="0.2">
      <c r="A876" s="636"/>
      <c r="B876" s="425"/>
      <c r="C876" s="425"/>
    </row>
    <row r="877" spans="1:3" x14ac:dyDescent="0.2">
      <c r="A877" s="636"/>
      <c r="B877" s="425"/>
      <c r="C877" s="425"/>
    </row>
    <row r="878" spans="1:3" x14ac:dyDescent="0.2">
      <c r="A878" s="636"/>
      <c r="B878" s="425"/>
      <c r="C878" s="425"/>
    </row>
    <row r="879" spans="1:3" x14ac:dyDescent="0.2">
      <c r="A879" s="636"/>
      <c r="B879" s="425"/>
      <c r="C879" s="425"/>
    </row>
    <row r="880" spans="1:3" x14ac:dyDescent="0.2">
      <c r="A880" s="636"/>
      <c r="B880" s="425"/>
      <c r="C880" s="425"/>
    </row>
    <row r="881" spans="1:3" x14ac:dyDescent="0.2">
      <c r="A881" s="636"/>
      <c r="B881" s="425"/>
      <c r="C881" s="425"/>
    </row>
    <row r="882" spans="1:3" x14ac:dyDescent="0.2">
      <c r="A882" s="636"/>
      <c r="B882" s="425"/>
      <c r="C882" s="425"/>
    </row>
    <row r="883" spans="1:3" x14ac:dyDescent="0.2">
      <c r="A883" s="636"/>
      <c r="B883" s="425"/>
      <c r="C883" s="425"/>
    </row>
    <row r="884" spans="1:3" x14ac:dyDescent="0.2">
      <c r="A884" s="636"/>
      <c r="B884" s="425"/>
      <c r="C884" s="425"/>
    </row>
    <row r="885" spans="1:3" x14ac:dyDescent="0.2">
      <c r="A885" s="636"/>
      <c r="B885" s="425"/>
      <c r="C885" s="425"/>
    </row>
    <row r="886" spans="1:3" x14ac:dyDescent="0.2">
      <c r="A886" s="636"/>
      <c r="B886" s="425"/>
      <c r="C886" s="425"/>
    </row>
    <row r="887" spans="1:3" x14ac:dyDescent="0.2">
      <c r="A887" s="636"/>
      <c r="B887" s="425"/>
      <c r="C887" s="425"/>
    </row>
    <row r="888" spans="1:3" x14ac:dyDescent="0.2">
      <c r="A888" s="636"/>
      <c r="B888" s="425"/>
      <c r="C888" s="425"/>
    </row>
    <row r="889" spans="1:3" x14ac:dyDescent="0.2">
      <c r="A889" s="636"/>
      <c r="B889" s="425"/>
      <c r="C889" s="425"/>
    </row>
    <row r="890" spans="1:3" x14ac:dyDescent="0.2">
      <c r="A890" s="636"/>
      <c r="B890" s="425"/>
      <c r="C890" s="425"/>
    </row>
    <row r="891" spans="1:3" x14ac:dyDescent="0.2">
      <c r="A891" s="636"/>
      <c r="B891" s="425"/>
      <c r="C891" s="425"/>
    </row>
    <row r="892" spans="1:3" x14ac:dyDescent="0.2">
      <c r="A892" s="636"/>
      <c r="B892" s="425"/>
      <c r="C892" s="425"/>
    </row>
    <row r="893" spans="1:3" x14ac:dyDescent="0.2">
      <c r="A893" s="636"/>
      <c r="B893" s="425"/>
      <c r="C893" s="425"/>
    </row>
    <row r="894" spans="1:3" x14ac:dyDescent="0.2">
      <c r="A894" s="636"/>
      <c r="B894" s="425"/>
      <c r="C894" s="425"/>
    </row>
    <row r="895" spans="1:3" x14ac:dyDescent="0.2">
      <c r="A895" s="636"/>
      <c r="B895" s="425"/>
      <c r="C895" s="425"/>
    </row>
    <row r="896" spans="1:3" x14ac:dyDescent="0.2">
      <c r="A896" s="636"/>
      <c r="B896" s="425"/>
      <c r="C896" s="425"/>
    </row>
    <row r="897" spans="1:3" x14ac:dyDescent="0.2">
      <c r="A897" s="636"/>
      <c r="B897" s="425"/>
      <c r="C897" s="425"/>
    </row>
    <row r="898" spans="1:3" x14ac:dyDescent="0.2">
      <c r="A898" s="636"/>
      <c r="B898" s="425"/>
      <c r="C898" s="425"/>
    </row>
    <row r="899" spans="1:3" x14ac:dyDescent="0.2">
      <c r="A899" s="636"/>
      <c r="B899" s="425"/>
      <c r="C899" s="425"/>
    </row>
    <row r="900" spans="1:3" x14ac:dyDescent="0.2">
      <c r="A900" s="636"/>
      <c r="B900" s="425"/>
      <c r="C900" s="425"/>
    </row>
    <row r="901" spans="1:3" x14ac:dyDescent="0.2">
      <c r="A901" s="636"/>
      <c r="B901" s="425"/>
      <c r="C901" s="425"/>
    </row>
    <row r="902" spans="1:3" x14ac:dyDescent="0.2">
      <c r="A902" s="636"/>
      <c r="B902" s="425"/>
      <c r="C902" s="425"/>
    </row>
    <row r="903" spans="1:3" x14ac:dyDescent="0.2">
      <c r="A903" s="636"/>
      <c r="B903" s="425"/>
      <c r="C903" s="425"/>
    </row>
    <row r="904" spans="1:3" x14ac:dyDescent="0.2">
      <c r="A904" s="636"/>
      <c r="B904" s="425"/>
      <c r="C904" s="425"/>
    </row>
    <row r="905" spans="1:3" x14ac:dyDescent="0.2">
      <c r="A905" s="636"/>
      <c r="B905" s="425"/>
      <c r="C905" s="425"/>
    </row>
    <row r="906" spans="1:3" x14ac:dyDescent="0.2">
      <c r="A906" s="636"/>
      <c r="B906" s="425"/>
      <c r="C906" s="425"/>
    </row>
    <row r="907" spans="1:3" x14ac:dyDescent="0.2">
      <c r="A907" s="636"/>
      <c r="B907" s="425"/>
      <c r="C907" s="425"/>
    </row>
    <row r="908" spans="1:3" x14ac:dyDescent="0.2">
      <c r="A908" s="636"/>
      <c r="B908" s="425"/>
      <c r="C908" s="425"/>
    </row>
    <row r="909" spans="1:3" x14ac:dyDescent="0.2">
      <c r="A909" s="636"/>
      <c r="B909" s="425"/>
      <c r="C909" s="425"/>
    </row>
    <row r="910" spans="1:3" x14ac:dyDescent="0.2">
      <c r="A910" s="636"/>
      <c r="B910" s="425"/>
      <c r="C910" s="425"/>
    </row>
    <row r="911" spans="1:3" x14ac:dyDescent="0.2">
      <c r="A911" s="636"/>
      <c r="B911" s="425"/>
      <c r="C911" s="425"/>
    </row>
    <row r="912" spans="1:3" x14ac:dyDescent="0.2">
      <c r="A912" s="636"/>
      <c r="B912" s="425"/>
      <c r="C912" s="425"/>
    </row>
    <row r="913" spans="1:3" x14ac:dyDescent="0.2">
      <c r="A913" s="636"/>
      <c r="B913" s="425"/>
      <c r="C913" s="425"/>
    </row>
    <row r="914" spans="1:3" x14ac:dyDescent="0.2">
      <c r="A914" s="636"/>
      <c r="B914" s="425"/>
      <c r="C914" s="425"/>
    </row>
    <row r="915" spans="1:3" x14ac:dyDescent="0.2">
      <c r="A915" s="636"/>
      <c r="B915" s="425"/>
      <c r="C915" s="425"/>
    </row>
    <row r="916" spans="1:3" x14ac:dyDescent="0.2">
      <c r="A916" s="636"/>
      <c r="B916" s="425"/>
      <c r="C916" s="425"/>
    </row>
    <row r="917" spans="1:3" x14ac:dyDescent="0.2">
      <c r="A917" s="636"/>
      <c r="B917" s="425"/>
      <c r="C917" s="425"/>
    </row>
    <row r="918" spans="1:3" x14ac:dyDescent="0.2">
      <c r="A918" s="636"/>
      <c r="B918" s="425"/>
      <c r="C918" s="425"/>
    </row>
    <row r="919" spans="1:3" x14ac:dyDescent="0.2">
      <c r="A919" s="636"/>
      <c r="B919" s="425"/>
      <c r="C919" s="425"/>
    </row>
    <row r="920" spans="1:3" x14ac:dyDescent="0.2">
      <c r="A920" s="636"/>
      <c r="B920" s="425"/>
      <c r="C920" s="425"/>
    </row>
    <row r="921" spans="1:3" x14ac:dyDescent="0.2">
      <c r="A921" s="636"/>
      <c r="B921" s="425"/>
      <c r="C921" s="425"/>
    </row>
    <row r="922" spans="1:3" x14ac:dyDescent="0.2">
      <c r="A922" s="636"/>
      <c r="B922" s="425"/>
      <c r="C922" s="425"/>
    </row>
    <row r="923" spans="1:3" x14ac:dyDescent="0.2">
      <c r="A923" s="636"/>
      <c r="B923" s="425"/>
      <c r="C923" s="425"/>
    </row>
    <row r="924" spans="1:3" x14ac:dyDescent="0.2">
      <c r="A924" s="636"/>
      <c r="B924" s="425"/>
      <c r="C924" s="425"/>
    </row>
    <row r="925" spans="1:3" x14ac:dyDescent="0.2">
      <c r="A925" s="636"/>
      <c r="B925" s="425"/>
      <c r="C925" s="425"/>
    </row>
    <row r="926" spans="1:3" x14ac:dyDescent="0.2">
      <c r="A926" s="636"/>
      <c r="B926" s="425"/>
      <c r="C926" s="425"/>
    </row>
    <row r="927" spans="1:3" x14ac:dyDescent="0.2">
      <c r="A927" s="636"/>
      <c r="B927" s="425"/>
      <c r="C927" s="425"/>
    </row>
    <row r="928" spans="1:3" x14ac:dyDescent="0.2">
      <c r="A928" s="636"/>
      <c r="B928" s="425"/>
      <c r="C928" s="425"/>
    </row>
    <row r="929" spans="1:3" x14ac:dyDescent="0.2">
      <c r="A929" s="636"/>
      <c r="B929" s="425"/>
      <c r="C929" s="425"/>
    </row>
    <row r="930" spans="1:3" x14ac:dyDescent="0.2">
      <c r="A930" s="636"/>
      <c r="B930" s="425"/>
      <c r="C930" s="425"/>
    </row>
    <row r="931" spans="1:3" x14ac:dyDescent="0.2">
      <c r="A931" s="636"/>
      <c r="B931" s="425"/>
      <c r="C931" s="425"/>
    </row>
    <row r="932" spans="1:3" x14ac:dyDescent="0.2">
      <c r="A932" s="636"/>
      <c r="B932" s="425"/>
      <c r="C932" s="425"/>
    </row>
    <row r="933" spans="1:3" x14ac:dyDescent="0.2">
      <c r="A933" s="636"/>
      <c r="B933" s="425"/>
      <c r="C933" s="425"/>
    </row>
    <row r="934" spans="1:3" x14ac:dyDescent="0.2">
      <c r="A934" s="636"/>
      <c r="B934" s="425"/>
      <c r="C934" s="425"/>
    </row>
    <row r="935" spans="1:3" x14ac:dyDescent="0.2">
      <c r="A935" s="636"/>
      <c r="B935" s="425"/>
      <c r="C935" s="425"/>
    </row>
    <row r="936" spans="1:3" x14ac:dyDescent="0.2">
      <c r="A936" s="636"/>
      <c r="B936" s="425"/>
      <c r="C936" s="425"/>
    </row>
    <row r="937" spans="1:3" x14ac:dyDescent="0.2">
      <c r="A937" s="636"/>
      <c r="B937" s="425"/>
      <c r="C937" s="425"/>
    </row>
    <row r="938" spans="1:3" x14ac:dyDescent="0.2">
      <c r="A938" s="636"/>
      <c r="B938" s="425"/>
      <c r="C938" s="425"/>
    </row>
    <row r="939" spans="1:3" x14ac:dyDescent="0.2">
      <c r="A939" s="636"/>
      <c r="B939" s="425"/>
      <c r="C939" s="425"/>
    </row>
    <row r="940" spans="1:3" x14ac:dyDescent="0.2">
      <c r="A940" s="636"/>
      <c r="B940" s="425"/>
      <c r="C940" s="425"/>
    </row>
    <row r="941" spans="1:3" x14ac:dyDescent="0.2">
      <c r="A941" s="636"/>
      <c r="B941" s="425"/>
      <c r="C941" s="425"/>
    </row>
    <row r="942" spans="1:3" x14ac:dyDescent="0.2">
      <c r="A942" s="636"/>
      <c r="B942" s="425"/>
      <c r="C942" s="425"/>
    </row>
    <row r="943" spans="1:3" x14ac:dyDescent="0.2">
      <c r="A943" s="636"/>
      <c r="B943" s="425"/>
      <c r="C943" s="425"/>
    </row>
    <row r="944" spans="1:3" x14ac:dyDescent="0.2">
      <c r="A944" s="636"/>
      <c r="B944" s="425"/>
      <c r="C944" s="425"/>
    </row>
    <row r="945" spans="1:3" x14ac:dyDescent="0.2">
      <c r="A945" s="636"/>
      <c r="B945" s="425"/>
      <c r="C945" s="425"/>
    </row>
    <row r="946" spans="1:3" x14ac:dyDescent="0.2">
      <c r="A946" s="636"/>
      <c r="B946" s="425"/>
      <c r="C946" s="425"/>
    </row>
    <row r="947" spans="1:3" x14ac:dyDescent="0.2">
      <c r="A947" s="636"/>
      <c r="B947" s="425"/>
      <c r="C947" s="425"/>
    </row>
    <row r="948" spans="1:3" x14ac:dyDescent="0.2">
      <c r="A948" s="636"/>
      <c r="B948" s="425"/>
      <c r="C948" s="425"/>
    </row>
    <row r="949" spans="1:3" x14ac:dyDescent="0.2">
      <c r="A949" s="636"/>
      <c r="B949" s="425"/>
      <c r="C949" s="425"/>
    </row>
    <row r="950" spans="1:3" x14ac:dyDescent="0.2">
      <c r="A950" s="636"/>
      <c r="B950" s="425"/>
      <c r="C950" s="425"/>
    </row>
    <row r="951" spans="1:3" x14ac:dyDescent="0.2">
      <c r="A951" s="636"/>
      <c r="B951" s="425"/>
      <c r="C951" s="425"/>
    </row>
    <row r="952" spans="1:3" x14ac:dyDescent="0.2">
      <c r="A952" s="636"/>
      <c r="B952" s="425"/>
      <c r="C952" s="425"/>
    </row>
    <row r="953" spans="1:3" x14ac:dyDescent="0.2">
      <c r="A953" s="636"/>
      <c r="B953" s="425"/>
      <c r="C953" s="425"/>
    </row>
    <row r="954" spans="1:3" x14ac:dyDescent="0.2">
      <c r="A954" s="636"/>
      <c r="B954" s="425"/>
      <c r="C954" s="425"/>
    </row>
    <row r="955" spans="1:3" x14ac:dyDescent="0.2">
      <c r="A955" s="636"/>
      <c r="B955" s="425"/>
      <c r="C955" s="425"/>
    </row>
    <row r="956" spans="1:3" x14ac:dyDescent="0.2">
      <c r="A956" s="636"/>
      <c r="B956" s="425"/>
      <c r="C956" s="425"/>
    </row>
    <row r="957" spans="1:3" x14ac:dyDescent="0.2">
      <c r="A957" s="636"/>
      <c r="B957" s="425"/>
      <c r="C957" s="425"/>
    </row>
    <row r="958" spans="1:3" x14ac:dyDescent="0.2">
      <c r="A958" s="636"/>
      <c r="B958" s="425"/>
      <c r="C958" s="425"/>
    </row>
    <row r="959" spans="1:3" x14ac:dyDescent="0.2">
      <c r="A959" s="636"/>
      <c r="B959" s="425"/>
      <c r="C959" s="425"/>
    </row>
    <row r="960" spans="1:3" x14ac:dyDescent="0.2">
      <c r="A960" s="636"/>
      <c r="B960" s="425"/>
      <c r="C960" s="425"/>
    </row>
    <row r="961" spans="1:3" x14ac:dyDescent="0.2">
      <c r="A961" s="636"/>
      <c r="B961" s="425"/>
      <c r="C961" s="425"/>
    </row>
    <row r="962" spans="1:3" x14ac:dyDescent="0.2">
      <c r="A962" s="636"/>
      <c r="B962" s="425"/>
      <c r="C962" s="425"/>
    </row>
    <row r="963" spans="1:3" x14ac:dyDescent="0.2">
      <c r="A963" s="636"/>
      <c r="B963" s="425"/>
      <c r="C963" s="425"/>
    </row>
    <row r="964" spans="1:3" x14ac:dyDescent="0.2">
      <c r="A964" s="636"/>
      <c r="B964" s="425"/>
      <c r="C964" s="425"/>
    </row>
    <row r="965" spans="1:3" x14ac:dyDescent="0.2">
      <c r="A965" s="636"/>
      <c r="B965" s="425"/>
      <c r="C965" s="425"/>
    </row>
    <row r="966" spans="1:3" x14ac:dyDescent="0.2">
      <c r="A966" s="636"/>
      <c r="B966" s="425"/>
      <c r="C966" s="425"/>
    </row>
    <row r="967" spans="1:3" x14ac:dyDescent="0.2">
      <c r="A967" s="636"/>
      <c r="B967" s="425"/>
      <c r="C967" s="425"/>
    </row>
    <row r="968" spans="1:3" x14ac:dyDescent="0.2">
      <c r="A968" s="636"/>
      <c r="B968" s="425"/>
      <c r="C968" s="425"/>
    </row>
    <row r="969" spans="1:3" x14ac:dyDescent="0.2">
      <c r="A969" s="636"/>
      <c r="B969" s="425"/>
      <c r="C969" s="425"/>
    </row>
    <row r="970" spans="1:3" x14ac:dyDescent="0.2">
      <c r="A970" s="636"/>
      <c r="B970" s="425"/>
      <c r="C970" s="425"/>
    </row>
    <row r="971" spans="1:3" x14ac:dyDescent="0.2">
      <c r="A971" s="636"/>
      <c r="B971" s="425"/>
      <c r="C971" s="425"/>
    </row>
    <row r="972" spans="1:3" x14ac:dyDescent="0.2">
      <c r="A972" s="636"/>
      <c r="B972" s="425"/>
      <c r="C972" s="425"/>
    </row>
    <row r="973" spans="1:3" x14ac:dyDescent="0.2">
      <c r="A973" s="636"/>
      <c r="B973" s="425"/>
      <c r="C973" s="425"/>
    </row>
    <row r="974" spans="1:3" x14ac:dyDescent="0.2">
      <c r="A974" s="636"/>
      <c r="B974" s="425"/>
      <c r="C974" s="425"/>
    </row>
    <row r="975" spans="1:3" x14ac:dyDescent="0.2">
      <c r="A975" s="636"/>
      <c r="B975" s="425"/>
      <c r="C975" s="425"/>
    </row>
    <row r="976" spans="1:3" x14ac:dyDescent="0.2">
      <c r="A976" s="636"/>
      <c r="B976" s="425"/>
      <c r="C976" s="425"/>
    </row>
    <row r="977" spans="1:3" x14ac:dyDescent="0.2">
      <c r="A977" s="636"/>
      <c r="B977" s="425"/>
      <c r="C977" s="425"/>
    </row>
    <row r="978" spans="1:3" x14ac:dyDescent="0.2">
      <c r="A978" s="636"/>
      <c r="B978" s="425"/>
      <c r="C978" s="425"/>
    </row>
    <row r="979" spans="1:3" x14ac:dyDescent="0.2">
      <c r="A979" s="636"/>
      <c r="B979" s="425"/>
      <c r="C979" s="425"/>
    </row>
    <row r="980" spans="1:3" x14ac:dyDescent="0.2">
      <c r="A980" s="636"/>
      <c r="B980" s="425"/>
      <c r="C980" s="425"/>
    </row>
    <row r="981" spans="1:3" x14ac:dyDescent="0.2">
      <c r="A981" s="636"/>
      <c r="B981" s="425"/>
      <c r="C981" s="425"/>
    </row>
    <row r="982" spans="1:3" x14ac:dyDescent="0.2">
      <c r="A982" s="636"/>
      <c r="B982" s="425"/>
      <c r="C982" s="425"/>
    </row>
    <row r="983" spans="1:3" x14ac:dyDescent="0.2">
      <c r="A983" s="636"/>
      <c r="B983" s="425"/>
      <c r="C983" s="425"/>
    </row>
    <row r="984" spans="1:3" x14ac:dyDescent="0.2">
      <c r="A984" s="636"/>
      <c r="B984" s="425"/>
      <c r="C984" s="425"/>
    </row>
    <row r="985" spans="1:3" x14ac:dyDescent="0.2">
      <c r="A985" s="636"/>
      <c r="B985" s="425"/>
      <c r="C985" s="425"/>
    </row>
    <row r="986" spans="1:3" x14ac:dyDescent="0.2">
      <c r="A986" s="636"/>
      <c r="B986" s="425"/>
      <c r="C986" s="425"/>
    </row>
    <row r="987" spans="1:3" x14ac:dyDescent="0.2">
      <c r="A987" s="636"/>
      <c r="B987" s="425"/>
      <c r="C987" s="425"/>
    </row>
    <row r="988" spans="1:3" x14ac:dyDescent="0.2">
      <c r="A988" s="636"/>
      <c r="B988" s="425"/>
      <c r="C988" s="425"/>
    </row>
    <row r="989" spans="1:3" x14ac:dyDescent="0.2">
      <c r="A989" s="636"/>
      <c r="B989" s="425"/>
      <c r="C989" s="425"/>
    </row>
    <row r="990" spans="1:3" x14ac:dyDescent="0.2">
      <c r="A990" s="636"/>
      <c r="B990" s="425"/>
      <c r="C990" s="425"/>
    </row>
    <row r="991" spans="1:3" x14ac:dyDescent="0.2">
      <c r="A991" s="636"/>
      <c r="B991" s="425"/>
      <c r="C991" s="425"/>
    </row>
    <row r="992" spans="1:3" x14ac:dyDescent="0.2">
      <c r="A992" s="636"/>
      <c r="B992" s="425"/>
      <c r="C992" s="425"/>
    </row>
    <row r="993" spans="1:3" x14ac:dyDescent="0.2">
      <c r="A993" s="636"/>
      <c r="B993" s="425"/>
      <c r="C993" s="425"/>
    </row>
    <row r="994" spans="1:3" x14ac:dyDescent="0.2">
      <c r="A994" s="636"/>
      <c r="B994" s="425"/>
      <c r="C994" s="425"/>
    </row>
    <row r="995" spans="1:3" x14ac:dyDescent="0.2">
      <c r="A995" s="636"/>
      <c r="B995" s="425"/>
      <c r="C995" s="425"/>
    </row>
    <row r="996" spans="1:3" x14ac:dyDescent="0.2">
      <c r="A996" s="636"/>
      <c r="B996" s="425"/>
      <c r="C996" s="425"/>
    </row>
    <row r="997" spans="1:3" x14ac:dyDescent="0.2">
      <c r="A997" s="636"/>
      <c r="B997" s="425"/>
      <c r="C997" s="425"/>
    </row>
    <row r="998" spans="1:3" x14ac:dyDescent="0.2">
      <c r="A998" s="636"/>
      <c r="B998" s="425"/>
      <c r="C998" s="425"/>
    </row>
    <row r="999" spans="1:3" x14ac:dyDescent="0.2">
      <c r="A999" s="636"/>
      <c r="B999" s="425"/>
      <c r="C999" s="425"/>
    </row>
    <row r="1000" spans="1:3" x14ac:dyDescent="0.2">
      <c r="A1000" s="636"/>
      <c r="B1000" s="425"/>
      <c r="C1000" s="425"/>
    </row>
    <row r="1001" spans="1:3" x14ac:dyDescent="0.2">
      <c r="A1001" s="636"/>
      <c r="B1001" s="425"/>
      <c r="C1001" s="425"/>
    </row>
    <row r="1002" spans="1:3" x14ac:dyDescent="0.2">
      <c r="A1002" s="636"/>
      <c r="B1002" s="425"/>
      <c r="C1002" s="425"/>
    </row>
    <row r="1003" spans="1:3" x14ac:dyDescent="0.2">
      <c r="A1003" s="636"/>
      <c r="B1003" s="425"/>
      <c r="C1003" s="425"/>
    </row>
    <row r="1004" spans="1:3" x14ac:dyDescent="0.2">
      <c r="A1004" s="636"/>
      <c r="B1004" s="425"/>
      <c r="C1004" s="425"/>
    </row>
    <row r="1005" spans="1:3" x14ac:dyDescent="0.2">
      <c r="A1005" s="636"/>
      <c r="B1005" s="425"/>
      <c r="C1005" s="425"/>
    </row>
    <row r="1006" spans="1:3" x14ac:dyDescent="0.2">
      <c r="A1006" s="636"/>
      <c r="B1006" s="425"/>
      <c r="C1006" s="425"/>
    </row>
    <row r="1007" spans="1:3" x14ac:dyDescent="0.2">
      <c r="A1007" s="636"/>
      <c r="B1007" s="425"/>
      <c r="C1007" s="425"/>
    </row>
    <row r="1008" spans="1:3" x14ac:dyDescent="0.2">
      <c r="A1008" s="636"/>
      <c r="B1008" s="425"/>
      <c r="C1008" s="425"/>
    </row>
    <row r="1009" spans="1:3" x14ac:dyDescent="0.2">
      <c r="A1009" s="636"/>
      <c r="B1009" s="425"/>
      <c r="C1009" s="425"/>
    </row>
    <row r="1010" spans="1:3" x14ac:dyDescent="0.2">
      <c r="A1010" s="636"/>
      <c r="B1010" s="425"/>
      <c r="C1010" s="425"/>
    </row>
    <row r="1011" spans="1:3" x14ac:dyDescent="0.2">
      <c r="A1011" s="636"/>
      <c r="B1011" s="425"/>
      <c r="C1011" s="425"/>
    </row>
    <row r="1012" spans="1:3" x14ac:dyDescent="0.2">
      <c r="A1012" s="636"/>
      <c r="B1012" s="425"/>
      <c r="C1012" s="425"/>
    </row>
    <row r="1013" spans="1:3" x14ac:dyDescent="0.2">
      <c r="A1013" s="636"/>
      <c r="B1013" s="425"/>
      <c r="C1013" s="425"/>
    </row>
    <row r="1014" spans="1:3" x14ac:dyDescent="0.2">
      <c r="A1014" s="636"/>
      <c r="B1014" s="425"/>
      <c r="C1014" s="425"/>
    </row>
    <row r="1015" spans="1:3" x14ac:dyDescent="0.2">
      <c r="A1015" s="636"/>
      <c r="B1015" s="425"/>
      <c r="C1015" s="425"/>
    </row>
    <row r="1016" spans="1:3" x14ac:dyDescent="0.2">
      <c r="A1016" s="636"/>
      <c r="B1016" s="425"/>
      <c r="C1016" s="425"/>
    </row>
    <row r="1017" spans="1:3" x14ac:dyDescent="0.2">
      <c r="A1017" s="636"/>
      <c r="B1017" s="425"/>
      <c r="C1017" s="425"/>
    </row>
    <row r="1018" spans="1:3" x14ac:dyDescent="0.2">
      <c r="A1018" s="636"/>
      <c r="B1018" s="425"/>
      <c r="C1018" s="425"/>
    </row>
    <row r="1019" spans="1:3" x14ac:dyDescent="0.2">
      <c r="A1019" s="636"/>
      <c r="B1019" s="425"/>
      <c r="C1019" s="425"/>
    </row>
    <row r="1020" spans="1:3" x14ac:dyDescent="0.2">
      <c r="A1020" s="636"/>
      <c r="B1020" s="425"/>
      <c r="C1020" s="425"/>
    </row>
    <row r="1021" spans="1:3" x14ac:dyDescent="0.2">
      <c r="A1021" s="636"/>
      <c r="B1021" s="425"/>
      <c r="C1021" s="425"/>
    </row>
    <row r="1022" spans="1:3" x14ac:dyDescent="0.2">
      <c r="A1022" s="636"/>
      <c r="B1022" s="425"/>
      <c r="C1022" s="425"/>
    </row>
    <row r="1023" spans="1:3" x14ac:dyDescent="0.2">
      <c r="A1023" s="636"/>
      <c r="B1023" s="425"/>
      <c r="C1023" s="425"/>
    </row>
    <row r="1024" spans="1:3" x14ac:dyDescent="0.2">
      <c r="A1024" s="636"/>
      <c r="B1024" s="425"/>
      <c r="C1024" s="425"/>
    </row>
    <row r="1025" spans="1:3" x14ac:dyDescent="0.2">
      <c r="A1025" s="636"/>
      <c r="B1025" s="425"/>
      <c r="C1025" s="425"/>
    </row>
    <row r="1026" spans="1:3" x14ac:dyDescent="0.2">
      <c r="A1026" s="636"/>
      <c r="B1026" s="425"/>
      <c r="C1026" s="425"/>
    </row>
    <row r="1027" spans="1:3" x14ac:dyDescent="0.2">
      <c r="A1027" s="636"/>
      <c r="B1027" s="425"/>
      <c r="C1027" s="425"/>
    </row>
    <row r="1028" spans="1:3" x14ac:dyDescent="0.2">
      <c r="A1028" s="636"/>
      <c r="B1028" s="425"/>
      <c r="C1028" s="425"/>
    </row>
    <row r="1029" spans="1:3" x14ac:dyDescent="0.2">
      <c r="A1029" s="636"/>
      <c r="B1029" s="425"/>
      <c r="C1029" s="425"/>
    </row>
    <row r="1030" spans="1:3" x14ac:dyDescent="0.2">
      <c r="A1030" s="636"/>
      <c r="B1030" s="425"/>
      <c r="C1030" s="425"/>
    </row>
    <row r="1031" spans="1:3" x14ac:dyDescent="0.2">
      <c r="A1031" s="636"/>
      <c r="B1031" s="425"/>
      <c r="C1031" s="425"/>
    </row>
    <row r="1032" spans="1:3" x14ac:dyDescent="0.2">
      <c r="A1032" s="636"/>
      <c r="B1032" s="425"/>
      <c r="C1032" s="425"/>
    </row>
    <row r="1033" spans="1:3" x14ac:dyDescent="0.2">
      <c r="A1033" s="636"/>
      <c r="B1033" s="425"/>
      <c r="C1033" s="425"/>
    </row>
    <row r="1034" spans="1:3" x14ac:dyDescent="0.2">
      <c r="A1034" s="636"/>
      <c r="B1034" s="425"/>
      <c r="C1034" s="425"/>
    </row>
    <row r="1035" spans="1:3" x14ac:dyDescent="0.2">
      <c r="A1035" s="636"/>
      <c r="B1035" s="425"/>
      <c r="C1035" s="425"/>
    </row>
    <row r="1036" spans="1:3" x14ac:dyDescent="0.2">
      <c r="A1036" s="636"/>
      <c r="B1036" s="425"/>
      <c r="C1036" s="425"/>
    </row>
    <row r="1037" spans="1:3" x14ac:dyDescent="0.2">
      <c r="A1037" s="636"/>
      <c r="B1037" s="425"/>
      <c r="C1037" s="425"/>
    </row>
    <row r="1038" spans="1:3" x14ac:dyDescent="0.2">
      <c r="A1038" s="636"/>
      <c r="B1038" s="425"/>
      <c r="C1038" s="425"/>
    </row>
    <row r="1039" spans="1:3" x14ac:dyDescent="0.2">
      <c r="A1039" s="636"/>
      <c r="B1039" s="425"/>
      <c r="C1039" s="425"/>
    </row>
    <row r="1040" spans="1:3" x14ac:dyDescent="0.2">
      <c r="A1040" s="636"/>
      <c r="B1040" s="425"/>
      <c r="C1040" s="425"/>
    </row>
    <row r="1041" spans="1:3" x14ac:dyDescent="0.2">
      <c r="A1041" s="636"/>
      <c r="B1041" s="425"/>
      <c r="C1041" s="425"/>
    </row>
    <row r="1042" spans="1:3" x14ac:dyDescent="0.2">
      <c r="A1042" s="636"/>
      <c r="B1042" s="425"/>
      <c r="C1042" s="425"/>
    </row>
    <row r="1043" spans="1:3" x14ac:dyDescent="0.2">
      <c r="A1043" s="636"/>
      <c r="B1043" s="425"/>
      <c r="C1043" s="425"/>
    </row>
    <row r="1044" spans="1:3" x14ac:dyDescent="0.2">
      <c r="A1044" s="636"/>
      <c r="B1044" s="425"/>
      <c r="C1044" s="425"/>
    </row>
    <row r="1045" spans="1:3" x14ac:dyDescent="0.2">
      <c r="A1045" s="636"/>
      <c r="B1045" s="425"/>
      <c r="C1045" s="425"/>
    </row>
    <row r="1046" spans="1:3" x14ac:dyDescent="0.2">
      <c r="A1046" s="636"/>
      <c r="B1046" s="425"/>
      <c r="C1046" s="425"/>
    </row>
    <row r="1047" spans="1:3" x14ac:dyDescent="0.2">
      <c r="A1047" s="636"/>
      <c r="B1047" s="425"/>
      <c r="C1047" s="425"/>
    </row>
    <row r="1048" spans="1:3" x14ac:dyDescent="0.2">
      <c r="A1048" s="636"/>
      <c r="B1048" s="425"/>
      <c r="C1048" s="425"/>
    </row>
    <row r="1049" spans="1:3" x14ac:dyDescent="0.2">
      <c r="A1049" s="636"/>
      <c r="B1049" s="425"/>
      <c r="C1049" s="425"/>
    </row>
    <row r="1050" spans="1:3" x14ac:dyDescent="0.2">
      <c r="A1050" s="636"/>
      <c r="B1050" s="425"/>
      <c r="C1050" s="425"/>
    </row>
    <row r="1051" spans="1:3" x14ac:dyDescent="0.2">
      <c r="A1051" s="636"/>
      <c r="B1051" s="425"/>
      <c r="C1051" s="425"/>
    </row>
    <row r="1052" spans="1:3" x14ac:dyDescent="0.2">
      <c r="A1052" s="636"/>
      <c r="B1052" s="425"/>
      <c r="C1052" s="425"/>
    </row>
    <row r="1053" spans="1:3" x14ac:dyDescent="0.2">
      <c r="A1053" s="636"/>
      <c r="B1053" s="425"/>
      <c r="C1053" s="425"/>
    </row>
    <row r="1054" spans="1:3" x14ac:dyDescent="0.2">
      <c r="A1054" s="636"/>
      <c r="B1054" s="425"/>
      <c r="C1054" s="425"/>
    </row>
    <row r="1055" spans="1:3" x14ac:dyDescent="0.2">
      <c r="A1055" s="636"/>
      <c r="B1055" s="425"/>
      <c r="C1055" s="425"/>
    </row>
    <row r="1056" spans="1:3" x14ac:dyDescent="0.2">
      <c r="A1056" s="636"/>
      <c r="B1056" s="425"/>
      <c r="C1056" s="425"/>
    </row>
    <row r="1057" spans="1:3" x14ac:dyDescent="0.2">
      <c r="A1057" s="636"/>
      <c r="B1057" s="425"/>
      <c r="C1057" s="425"/>
    </row>
    <row r="1058" spans="1:3" x14ac:dyDescent="0.2">
      <c r="A1058" s="636"/>
      <c r="B1058" s="425"/>
      <c r="C1058" s="425"/>
    </row>
    <row r="1059" spans="1:3" x14ac:dyDescent="0.2">
      <c r="A1059" s="636"/>
      <c r="B1059" s="425"/>
      <c r="C1059" s="425"/>
    </row>
    <row r="1060" spans="1:3" x14ac:dyDescent="0.2">
      <c r="A1060" s="636"/>
      <c r="B1060" s="425"/>
      <c r="C1060" s="425"/>
    </row>
    <row r="1061" spans="1:3" x14ac:dyDescent="0.2">
      <c r="A1061" s="636"/>
      <c r="B1061" s="425"/>
      <c r="C1061" s="425"/>
    </row>
    <row r="1062" spans="1:3" x14ac:dyDescent="0.2">
      <c r="A1062" s="636"/>
      <c r="B1062" s="425"/>
      <c r="C1062" s="425"/>
    </row>
    <row r="1063" spans="1:3" x14ac:dyDescent="0.2">
      <c r="A1063" s="636"/>
      <c r="B1063" s="425"/>
      <c r="C1063" s="425"/>
    </row>
    <row r="1064" spans="1:3" x14ac:dyDescent="0.2">
      <c r="A1064" s="636"/>
      <c r="B1064" s="425"/>
      <c r="C1064" s="425"/>
    </row>
    <row r="1065" spans="1:3" x14ac:dyDescent="0.2">
      <c r="A1065" s="636"/>
      <c r="B1065" s="425"/>
      <c r="C1065" s="425"/>
    </row>
    <row r="1066" spans="1:3" x14ac:dyDescent="0.2">
      <c r="A1066" s="636"/>
      <c r="B1066" s="425"/>
      <c r="C1066" s="425"/>
    </row>
    <row r="1067" spans="1:3" x14ac:dyDescent="0.2">
      <c r="A1067" s="636"/>
      <c r="B1067" s="425"/>
      <c r="C1067" s="425"/>
    </row>
    <row r="1068" spans="1:3" x14ac:dyDescent="0.2">
      <c r="A1068" s="636"/>
      <c r="B1068" s="425"/>
      <c r="C1068" s="425"/>
    </row>
    <row r="1069" spans="1:3" x14ac:dyDescent="0.2">
      <c r="A1069" s="636"/>
      <c r="B1069" s="425"/>
      <c r="C1069" s="425"/>
    </row>
    <row r="1070" spans="1:3" x14ac:dyDescent="0.2">
      <c r="A1070" s="636"/>
      <c r="B1070" s="425"/>
      <c r="C1070" s="425"/>
    </row>
    <row r="1071" spans="1:3" x14ac:dyDescent="0.2">
      <c r="A1071" s="636"/>
      <c r="B1071" s="425"/>
      <c r="C1071" s="425"/>
    </row>
    <row r="1072" spans="1:3" x14ac:dyDescent="0.2">
      <c r="A1072" s="636"/>
      <c r="B1072" s="425"/>
      <c r="C1072" s="425"/>
    </row>
    <row r="1073" spans="1:3" x14ac:dyDescent="0.2">
      <c r="A1073" s="636"/>
      <c r="B1073" s="425"/>
      <c r="C1073" s="425"/>
    </row>
    <row r="1074" spans="1:3" x14ac:dyDescent="0.2">
      <c r="A1074" s="636"/>
      <c r="B1074" s="425"/>
      <c r="C1074" s="425"/>
    </row>
    <row r="1075" spans="1:3" x14ac:dyDescent="0.2">
      <c r="A1075" s="636"/>
      <c r="B1075" s="425"/>
      <c r="C1075" s="425"/>
    </row>
    <row r="1076" spans="1:3" x14ac:dyDescent="0.2">
      <c r="A1076" s="636"/>
      <c r="B1076" s="425"/>
      <c r="C1076" s="425"/>
    </row>
    <row r="1077" spans="1:3" x14ac:dyDescent="0.2">
      <c r="A1077" s="636"/>
      <c r="B1077" s="425"/>
      <c r="C1077" s="425"/>
    </row>
    <row r="1078" spans="1:3" x14ac:dyDescent="0.2">
      <c r="A1078" s="636"/>
      <c r="B1078" s="425"/>
      <c r="C1078" s="425"/>
    </row>
    <row r="1079" spans="1:3" x14ac:dyDescent="0.2">
      <c r="A1079" s="636"/>
      <c r="B1079" s="425"/>
      <c r="C1079" s="425"/>
    </row>
    <row r="1080" spans="1:3" x14ac:dyDescent="0.2">
      <c r="A1080" s="636"/>
      <c r="B1080" s="425"/>
      <c r="C1080" s="425"/>
    </row>
    <row r="1081" spans="1:3" x14ac:dyDescent="0.2">
      <c r="A1081" s="636"/>
      <c r="B1081" s="425"/>
      <c r="C1081" s="425"/>
    </row>
    <row r="1082" spans="1:3" x14ac:dyDescent="0.2">
      <c r="A1082" s="636"/>
      <c r="B1082" s="425"/>
      <c r="C1082" s="425"/>
    </row>
    <row r="1083" spans="1:3" x14ac:dyDescent="0.2">
      <c r="A1083" s="636"/>
      <c r="B1083" s="425"/>
      <c r="C1083" s="425"/>
    </row>
    <row r="1084" spans="1:3" x14ac:dyDescent="0.2">
      <c r="A1084" s="636"/>
      <c r="B1084" s="425"/>
      <c r="C1084" s="425"/>
    </row>
    <row r="1085" spans="1:3" x14ac:dyDescent="0.2">
      <c r="A1085" s="636"/>
      <c r="B1085" s="425"/>
      <c r="C1085" s="425"/>
    </row>
    <row r="1086" spans="1:3" x14ac:dyDescent="0.2">
      <c r="A1086" s="636"/>
      <c r="B1086" s="425"/>
      <c r="C1086" s="425"/>
    </row>
    <row r="1087" spans="1:3" x14ac:dyDescent="0.2">
      <c r="A1087" s="636"/>
      <c r="B1087" s="425"/>
      <c r="C1087" s="425"/>
    </row>
    <row r="1088" spans="1:3" x14ac:dyDescent="0.2">
      <c r="A1088" s="636"/>
      <c r="B1088" s="425"/>
      <c r="C1088" s="425"/>
    </row>
    <row r="1089" spans="1:3" x14ac:dyDescent="0.2">
      <c r="A1089" s="636"/>
      <c r="B1089" s="425"/>
      <c r="C1089" s="425"/>
    </row>
    <row r="1090" spans="1:3" x14ac:dyDescent="0.2">
      <c r="A1090" s="636"/>
      <c r="B1090" s="425"/>
      <c r="C1090" s="425"/>
    </row>
    <row r="1091" spans="1:3" x14ac:dyDescent="0.2">
      <c r="A1091" s="636"/>
      <c r="B1091" s="425"/>
      <c r="C1091" s="425"/>
    </row>
    <row r="1092" spans="1:3" x14ac:dyDescent="0.2">
      <c r="A1092" s="636"/>
      <c r="B1092" s="425"/>
      <c r="C1092" s="425"/>
    </row>
    <row r="1093" spans="1:3" x14ac:dyDescent="0.2">
      <c r="A1093" s="636"/>
      <c r="B1093" s="425"/>
      <c r="C1093" s="425"/>
    </row>
    <row r="1094" spans="1:3" x14ac:dyDescent="0.2">
      <c r="A1094" s="636"/>
      <c r="B1094" s="425"/>
      <c r="C1094" s="425"/>
    </row>
    <row r="1095" spans="1:3" x14ac:dyDescent="0.2">
      <c r="A1095" s="636"/>
      <c r="B1095" s="425"/>
      <c r="C1095" s="425"/>
    </row>
    <row r="1096" spans="1:3" x14ac:dyDescent="0.2">
      <c r="A1096" s="636"/>
      <c r="B1096" s="425"/>
      <c r="C1096" s="425"/>
    </row>
    <row r="1097" spans="1:3" x14ac:dyDescent="0.2">
      <c r="A1097" s="636"/>
      <c r="B1097" s="425"/>
      <c r="C1097" s="425"/>
    </row>
    <row r="1098" spans="1:3" x14ac:dyDescent="0.2">
      <c r="A1098" s="636"/>
      <c r="B1098" s="425"/>
      <c r="C1098" s="425"/>
    </row>
    <row r="1099" spans="1:3" x14ac:dyDescent="0.2">
      <c r="A1099" s="636"/>
      <c r="B1099" s="425"/>
      <c r="C1099" s="425"/>
    </row>
    <row r="1100" spans="1:3" x14ac:dyDescent="0.2">
      <c r="A1100" s="636"/>
      <c r="B1100" s="425"/>
      <c r="C1100" s="425"/>
    </row>
    <row r="1101" spans="1:3" x14ac:dyDescent="0.2">
      <c r="A1101" s="636"/>
      <c r="B1101" s="425"/>
      <c r="C1101" s="425"/>
    </row>
    <row r="1102" spans="1:3" x14ac:dyDescent="0.2">
      <c r="A1102" s="636"/>
      <c r="B1102" s="425"/>
      <c r="C1102" s="425"/>
    </row>
    <row r="1103" spans="1:3" x14ac:dyDescent="0.2">
      <c r="A1103" s="636"/>
      <c r="B1103" s="425"/>
      <c r="C1103" s="425"/>
    </row>
    <row r="1104" spans="1:3" x14ac:dyDescent="0.2">
      <c r="A1104" s="636"/>
      <c r="B1104" s="425"/>
      <c r="C1104" s="425"/>
    </row>
    <row r="1105" spans="1:3" x14ac:dyDescent="0.2">
      <c r="A1105" s="636"/>
      <c r="B1105" s="425"/>
      <c r="C1105" s="425"/>
    </row>
    <row r="1106" spans="1:3" x14ac:dyDescent="0.2">
      <c r="A1106" s="636"/>
      <c r="B1106" s="425"/>
      <c r="C1106" s="425"/>
    </row>
    <row r="1107" spans="1:3" x14ac:dyDescent="0.2">
      <c r="A1107" s="636"/>
      <c r="B1107" s="425"/>
      <c r="C1107" s="425"/>
    </row>
    <row r="1108" spans="1:3" x14ac:dyDescent="0.2">
      <c r="A1108" s="636"/>
      <c r="B1108" s="425"/>
      <c r="C1108" s="425"/>
    </row>
    <row r="1109" spans="1:3" x14ac:dyDescent="0.2">
      <c r="A1109" s="636"/>
      <c r="B1109" s="425"/>
      <c r="C1109" s="425"/>
    </row>
    <row r="1110" spans="1:3" x14ac:dyDescent="0.2">
      <c r="A1110" s="636"/>
      <c r="B1110" s="425"/>
      <c r="C1110" s="425"/>
    </row>
    <row r="1111" spans="1:3" x14ac:dyDescent="0.2">
      <c r="A1111" s="636"/>
      <c r="B1111" s="425"/>
      <c r="C1111" s="425"/>
    </row>
    <row r="1112" spans="1:3" x14ac:dyDescent="0.2">
      <c r="A1112" s="636"/>
      <c r="B1112" s="425"/>
      <c r="C1112" s="425"/>
    </row>
    <row r="1113" spans="1:3" x14ac:dyDescent="0.2">
      <c r="A1113" s="636"/>
      <c r="B1113" s="425"/>
      <c r="C1113" s="425"/>
    </row>
    <row r="1114" spans="1:3" x14ac:dyDescent="0.2">
      <c r="A1114" s="636"/>
      <c r="B1114" s="425"/>
      <c r="C1114" s="425"/>
    </row>
    <row r="1115" spans="1:3" x14ac:dyDescent="0.2">
      <c r="A1115" s="636"/>
      <c r="B1115" s="425"/>
      <c r="C1115" s="425"/>
    </row>
    <row r="1116" spans="1:3" x14ac:dyDescent="0.2">
      <c r="A1116" s="636"/>
      <c r="B1116" s="425"/>
      <c r="C1116" s="425"/>
    </row>
    <row r="1117" spans="1:3" x14ac:dyDescent="0.2">
      <c r="A1117" s="636"/>
      <c r="B1117" s="425"/>
      <c r="C1117" s="425"/>
    </row>
    <row r="1118" spans="1:3" x14ac:dyDescent="0.2">
      <c r="A1118" s="636"/>
      <c r="B1118" s="425"/>
      <c r="C1118" s="425"/>
    </row>
    <row r="1119" spans="1:3" x14ac:dyDescent="0.2">
      <c r="A1119" s="636"/>
      <c r="B1119" s="425"/>
      <c r="C1119" s="425"/>
    </row>
    <row r="1120" spans="1:3" x14ac:dyDescent="0.2">
      <c r="A1120" s="636"/>
      <c r="B1120" s="425"/>
      <c r="C1120" s="425"/>
    </row>
    <row r="1121" spans="1:3" x14ac:dyDescent="0.2">
      <c r="A1121" s="636"/>
      <c r="B1121" s="425"/>
      <c r="C1121" s="425"/>
    </row>
    <row r="1122" spans="1:3" x14ac:dyDescent="0.2">
      <c r="A1122" s="636"/>
      <c r="B1122" s="425"/>
      <c r="C1122" s="425"/>
    </row>
    <row r="1123" spans="1:3" x14ac:dyDescent="0.2">
      <c r="A1123" s="636"/>
      <c r="B1123" s="425"/>
      <c r="C1123" s="425"/>
    </row>
    <row r="1124" spans="1:3" x14ac:dyDescent="0.2">
      <c r="A1124" s="636"/>
      <c r="B1124" s="425"/>
      <c r="C1124" s="425"/>
    </row>
    <row r="1125" spans="1:3" x14ac:dyDescent="0.2">
      <c r="A1125" s="636"/>
      <c r="B1125" s="425"/>
      <c r="C1125" s="425"/>
    </row>
    <row r="1126" spans="1:3" x14ac:dyDescent="0.2">
      <c r="A1126" s="636"/>
      <c r="B1126" s="425"/>
      <c r="C1126" s="425"/>
    </row>
    <row r="1127" spans="1:3" x14ac:dyDescent="0.2">
      <c r="A1127" s="636"/>
      <c r="B1127" s="425"/>
      <c r="C1127" s="425"/>
    </row>
    <row r="1128" spans="1:3" x14ac:dyDescent="0.2">
      <c r="A1128" s="636"/>
      <c r="B1128" s="425"/>
      <c r="C1128" s="425"/>
    </row>
    <row r="1129" spans="1:3" x14ac:dyDescent="0.2">
      <c r="A1129" s="636"/>
      <c r="B1129" s="425"/>
      <c r="C1129" s="425"/>
    </row>
    <row r="1130" spans="1:3" x14ac:dyDescent="0.2">
      <c r="A1130" s="636"/>
      <c r="B1130" s="425"/>
      <c r="C1130" s="425"/>
    </row>
    <row r="1131" spans="1:3" x14ac:dyDescent="0.2">
      <c r="A1131" s="636"/>
      <c r="B1131" s="425"/>
      <c r="C1131" s="425"/>
    </row>
    <row r="1132" spans="1:3" x14ac:dyDescent="0.2">
      <c r="A1132" s="636"/>
      <c r="B1132" s="425"/>
      <c r="C1132" s="425"/>
    </row>
    <row r="1133" spans="1:3" x14ac:dyDescent="0.2">
      <c r="A1133" s="636"/>
      <c r="B1133" s="425"/>
      <c r="C1133" s="425"/>
    </row>
    <row r="1134" spans="1:3" x14ac:dyDescent="0.2">
      <c r="A1134" s="636"/>
      <c r="B1134" s="425"/>
      <c r="C1134" s="425"/>
    </row>
    <row r="1135" spans="1:3" x14ac:dyDescent="0.2">
      <c r="A1135" s="636"/>
      <c r="B1135" s="425"/>
      <c r="C1135" s="425"/>
    </row>
    <row r="1136" spans="1:3" x14ac:dyDescent="0.2">
      <c r="A1136" s="636"/>
      <c r="B1136" s="425"/>
      <c r="C1136" s="425"/>
    </row>
    <row r="1137" spans="1:3" x14ac:dyDescent="0.2">
      <c r="A1137" s="636"/>
      <c r="B1137" s="425"/>
      <c r="C1137" s="425"/>
    </row>
    <row r="1138" spans="1:3" x14ac:dyDescent="0.2">
      <c r="A1138" s="636"/>
      <c r="B1138" s="425"/>
      <c r="C1138" s="425"/>
    </row>
    <row r="1139" spans="1:3" x14ac:dyDescent="0.2">
      <c r="A1139" s="636"/>
      <c r="B1139" s="425"/>
      <c r="C1139" s="425"/>
    </row>
    <row r="1140" spans="1:3" x14ac:dyDescent="0.2">
      <c r="A1140" s="636"/>
      <c r="B1140" s="425"/>
      <c r="C1140" s="425"/>
    </row>
    <row r="1141" spans="1:3" x14ac:dyDescent="0.2">
      <c r="A1141" s="636"/>
      <c r="B1141" s="425"/>
      <c r="C1141" s="425"/>
    </row>
    <row r="1142" spans="1:3" x14ac:dyDescent="0.2">
      <c r="A1142" s="636"/>
      <c r="B1142" s="425"/>
      <c r="C1142" s="425"/>
    </row>
    <row r="1143" spans="1:3" x14ac:dyDescent="0.2">
      <c r="A1143" s="636"/>
      <c r="B1143" s="425"/>
      <c r="C1143" s="425"/>
    </row>
    <row r="1144" spans="1:3" x14ac:dyDescent="0.2">
      <c r="A1144" s="636"/>
      <c r="B1144" s="425"/>
      <c r="C1144" s="425"/>
    </row>
    <row r="1145" spans="1:3" x14ac:dyDescent="0.2">
      <c r="A1145" s="636"/>
      <c r="B1145" s="425"/>
      <c r="C1145" s="425"/>
    </row>
    <row r="1146" spans="1:3" x14ac:dyDescent="0.2">
      <c r="A1146" s="636"/>
      <c r="B1146" s="425"/>
      <c r="C1146" s="425"/>
    </row>
    <row r="1147" spans="1:3" x14ac:dyDescent="0.2">
      <c r="A1147" s="636"/>
      <c r="B1147" s="425"/>
      <c r="C1147" s="425"/>
    </row>
    <row r="1148" spans="1:3" x14ac:dyDescent="0.2">
      <c r="A1148" s="636"/>
      <c r="B1148" s="425"/>
      <c r="C1148" s="425"/>
    </row>
    <row r="1149" spans="1:3" x14ac:dyDescent="0.2">
      <c r="A1149" s="636"/>
      <c r="B1149" s="425"/>
      <c r="C1149" s="425"/>
    </row>
    <row r="1150" spans="1:3" x14ac:dyDescent="0.2">
      <c r="A1150" s="636"/>
      <c r="B1150" s="425"/>
      <c r="C1150" s="425"/>
    </row>
    <row r="1151" spans="1:3" x14ac:dyDescent="0.2">
      <c r="A1151" s="636"/>
      <c r="B1151" s="425"/>
      <c r="C1151" s="425"/>
    </row>
    <row r="1152" spans="1:3" x14ac:dyDescent="0.2">
      <c r="A1152" s="636"/>
      <c r="B1152" s="425"/>
      <c r="C1152" s="425"/>
    </row>
    <row r="1153" spans="1:3" x14ac:dyDescent="0.2">
      <c r="A1153" s="636"/>
      <c r="B1153" s="425"/>
      <c r="C1153" s="425"/>
    </row>
    <row r="1154" spans="1:3" x14ac:dyDescent="0.2">
      <c r="A1154" s="636"/>
      <c r="B1154" s="425"/>
      <c r="C1154" s="425"/>
    </row>
    <row r="1155" spans="1:3" x14ac:dyDescent="0.2">
      <c r="A1155" s="636"/>
      <c r="B1155" s="425"/>
      <c r="C1155" s="425"/>
    </row>
    <row r="1156" spans="1:3" x14ac:dyDescent="0.2">
      <c r="A1156" s="636"/>
      <c r="B1156" s="425"/>
      <c r="C1156" s="425"/>
    </row>
    <row r="1157" spans="1:3" x14ac:dyDescent="0.2">
      <c r="A1157" s="636"/>
      <c r="B1157" s="425"/>
      <c r="C1157" s="425"/>
    </row>
    <row r="1158" spans="1:3" x14ac:dyDescent="0.2">
      <c r="A1158" s="636"/>
      <c r="B1158" s="425"/>
      <c r="C1158" s="425"/>
    </row>
    <row r="1159" spans="1:3" x14ac:dyDescent="0.2">
      <c r="A1159" s="636"/>
      <c r="B1159" s="425"/>
      <c r="C1159" s="425"/>
    </row>
    <row r="1160" spans="1:3" x14ac:dyDescent="0.2">
      <c r="A1160" s="636"/>
      <c r="B1160" s="425"/>
      <c r="C1160" s="425"/>
    </row>
    <row r="1161" spans="1:3" x14ac:dyDescent="0.2">
      <c r="A1161" s="636"/>
      <c r="B1161" s="425"/>
      <c r="C1161" s="425"/>
    </row>
    <row r="1162" spans="1:3" x14ac:dyDescent="0.2">
      <c r="A1162" s="636"/>
      <c r="B1162" s="425"/>
      <c r="C1162" s="425"/>
    </row>
    <row r="1163" spans="1:3" x14ac:dyDescent="0.2">
      <c r="A1163" s="636"/>
      <c r="B1163" s="425"/>
      <c r="C1163" s="425"/>
    </row>
    <row r="1164" spans="1:3" x14ac:dyDescent="0.2">
      <c r="A1164" s="636"/>
      <c r="B1164" s="425"/>
      <c r="C1164" s="425"/>
    </row>
    <row r="1165" spans="1:3" x14ac:dyDescent="0.2">
      <c r="A1165" s="636"/>
      <c r="B1165" s="425"/>
      <c r="C1165" s="425"/>
    </row>
    <row r="1166" spans="1:3" x14ac:dyDescent="0.2">
      <c r="A1166" s="636"/>
      <c r="B1166" s="425"/>
      <c r="C1166" s="425"/>
    </row>
    <row r="1167" spans="1:3" x14ac:dyDescent="0.2">
      <c r="A1167" s="636"/>
      <c r="B1167" s="425"/>
      <c r="C1167" s="425"/>
    </row>
    <row r="1168" spans="1:3" x14ac:dyDescent="0.2">
      <c r="A1168" s="636"/>
      <c r="B1168" s="425"/>
      <c r="C1168" s="425"/>
    </row>
    <row r="1169" spans="1:3" x14ac:dyDescent="0.2">
      <c r="A1169" s="636"/>
      <c r="B1169" s="425"/>
      <c r="C1169" s="425"/>
    </row>
    <row r="1170" spans="1:3" x14ac:dyDescent="0.2">
      <c r="A1170" s="636"/>
      <c r="B1170" s="425"/>
      <c r="C1170" s="425"/>
    </row>
    <row r="1171" spans="1:3" x14ac:dyDescent="0.2">
      <c r="A1171" s="636"/>
      <c r="B1171" s="425"/>
      <c r="C1171" s="425"/>
    </row>
    <row r="1172" spans="1:3" x14ac:dyDescent="0.2">
      <c r="A1172" s="636"/>
      <c r="B1172" s="425"/>
      <c r="C1172" s="425"/>
    </row>
    <row r="1173" spans="1:3" x14ac:dyDescent="0.2">
      <c r="A1173" s="636"/>
      <c r="B1173" s="425"/>
      <c r="C1173" s="425"/>
    </row>
    <row r="1174" spans="1:3" x14ac:dyDescent="0.2">
      <c r="A1174" s="636"/>
      <c r="B1174" s="425"/>
      <c r="C1174" s="425"/>
    </row>
    <row r="1175" spans="1:3" x14ac:dyDescent="0.2">
      <c r="A1175" s="636"/>
      <c r="B1175" s="425"/>
      <c r="C1175" s="425"/>
    </row>
    <row r="1176" spans="1:3" x14ac:dyDescent="0.2">
      <c r="A1176" s="636"/>
      <c r="B1176" s="425"/>
      <c r="C1176" s="425"/>
    </row>
    <row r="1177" spans="1:3" x14ac:dyDescent="0.2">
      <c r="A1177" s="636"/>
      <c r="B1177" s="425"/>
      <c r="C1177" s="425"/>
    </row>
    <row r="1178" spans="1:3" x14ac:dyDescent="0.2">
      <c r="A1178" s="636"/>
      <c r="B1178" s="425"/>
      <c r="C1178" s="425"/>
    </row>
    <row r="1179" spans="1:3" x14ac:dyDescent="0.2">
      <c r="A1179" s="636"/>
      <c r="B1179" s="425"/>
      <c r="C1179" s="425"/>
    </row>
    <row r="1180" spans="1:3" x14ac:dyDescent="0.2">
      <c r="A1180" s="636"/>
      <c r="B1180" s="425"/>
      <c r="C1180" s="425"/>
    </row>
    <row r="1181" spans="1:3" x14ac:dyDescent="0.2">
      <c r="A1181" s="636"/>
      <c r="B1181" s="425"/>
      <c r="C1181" s="425"/>
    </row>
    <row r="1182" spans="1:3" x14ac:dyDescent="0.2">
      <c r="A1182" s="636"/>
      <c r="B1182" s="425"/>
      <c r="C1182" s="425"/>
    </row>
    <row r="1183" spans="1:3" x14ac:dyDescent="0.2">
      <c r="A1183" s="636"/>
      <c r="B1183" s="425"/>
      <c r="C1183" s="425"/>
    </row>
    <row r="1184" spans="1:3" x14ac:dyDescent="0.2">
      <c r="A1184" s="636"/>
      <c r="B1184" s="425"/>
      <c r="C1184" s="425"/>
    </row>
    <row r="1185" spans="1:3" x14ac:dyDescent="0.2">
      <c r="A1185" s="636"/>
      <c r="B1185" s="425"/>
      <c r="C1185" s="425"/>
    </row>
    <row r="1186" spans="1:3" x14ac:dyDescent="0.2">
      <c r="A1186" s="636"/>
      <c r="B1186" s="425"/>
      <c r="C1186" s="425"/>
    </row>
    <row r="1187" spans="1:3" x14ac:dyDescent="0.2">
      <c r="A1187" s="636"/>
      <c r="B1187" s="425"/>
      <c r="C1187" s="425"/>
    </row>
    <row r="1188" spans="1:3" x14ac:dyDescent="0.2">
      <c r="A1188" s="636"/>
      <c r="B1188" s="425"/>
      <c r="C1188" s="425"/>
    </row>
    <row r="1189" spans="1:3" x14ac:dyDescent="0.2">
      <c r="A1189" s="636"/>
      <c r="B1189" s="425"/>
      <c r="C1189" s="425"/>
    </row>
    <row r="1190" spans="1:3" x14ac:dyDescent="0.2">
      <c r="A1190" s="636"/>
      <c r="B1190" s="425"/>
      <c r="C1190" s="425"/>
    </row>
    <row r="1191" spans="1:3" x14ac:dyDescent="0.2">
      <c r="A1191" s="636"/>
      <c r="B1191" s="425"/>
      <c r="C1191" s="425"/>
    </row>
    <row r="1192" spans="1:3" x14ac:dyDescent="0.2">
      <c r="A1192" s="636"/>
      <c r="B1192" s="425"/>
      <c r="C1192" s="425"/>
    </row>
    <row r="1193" spans="1:3" x14ac:dyDescent="0.2">
      <c r="A1193" s="636"/>
      <c r="B1193" s="425"/>
      <c r="C1193" s="425"/>
    </row>
    <row r="1194" spans="1:3" x14ac:dyDescent="0.2">
      <c r="A1194" s="636"/>
      <c r="B1194" s="425"/>
      <c r="C1194" s="425"/>
    </row>
    <row r="1195" spans="1:3" x14ac:dyDescent="0.2">
      <c r="A1195" s="636"/>
      <c r="B1195" s="425"/>
      <c r="C1195" s="425"/>
    </row>
    <row r="1196" spans="1:3" x14ac:dyDescent="0.2">
      <c r="A1196" s="636"/>
      <c r="B1196" s="425"/>
      <c r="C1196" s="425"/>
    </row>
    <row r="1197" spans="1:3" x14ac:dyDescent="0.2">
      <c r="A1197" s="636"/>
      <c r="B1197" s="425"/>
      <c r="C1197" s="425"/>
    </row>
    <row r="1198" spans="1:3" x14ac:dyDescent="0.2">
      <c r="A1198" s="636"/>
      <c r="B1198" s="425"/>
      <c r="C1198" s="425"/>
    </row>
    <row r="1199" spans="1:3" x14ac:dyDescent="0.2">
      <c r="A1199" s="636"/>
      <c r="B1199" s="425"/>
      <c r="C1199" s="425"/>
    </row>
    <row r="1200" spans="1:3" x14ac:dyDescent="0.2">
      <c r="A1200" s="636"/>
      <c r="B1200" s="425"/>
      <c r="C1200" s="425"/>
    </row>
    <row r="1201" spans="1:3" x14ac:dyDescent="0.2">
      <c r="A1201" s="636"/>
      <c r="B1201" s="425"/>
      <c r="C1201" s="425"/>
    </row>
    <row r="1202" spans="1:3" x14ac:dyDescent="0.2">
      <c r="A1202" s="636"/>
      <c r="B1202" s="425"/>
      <c r="C1202" s="425"/>
    </row>
    <row r="1203" spans="1:3" x14ac:dyDescent="0.2">
      <c r="A1203" s="636"/>
      <c r="B1203" s="425"/>
      <c r="C1203" s="425"/>
    </row>
    <row r="1204" spans="1:3" x14ac:dyDescent="0.2">
      <c r="A1204" s="636"/>
      <c r="B1204" s="425"/>
      <c r="C1204" s="425"/>
    </row>
    <row r="1205" spans="1:3" x14ac:dyDescent="0.2">
      <c r="A1205" s="636"/>
      <c r="B1205" s="425"/>
      <c r="C1205" s="425"/>
    </row>
    <row r="1206" spans="1:3" x14ac:dyDescent="0.2">
      <c r="A1206" s="636"/>
      <c r="B1206" s="425"/>
      <c r="C1206" s="425"/>
    </row>
    <row r="1207" spans="1:3" x14ac:dyDescent="0.2">
      <c r="A1207" s="636"/>
      <c r="B1207" s="425"/>
      <c r="C1207" s="425"/>
    </row>
    <row r="1208" spans="1:3" x14ac:dyDescent="0.2">
      <c r="A1208" s="636"/>
      <c r="B1208" s="425"/>
      <c r="C1208" s="425"/>
    </row>
    <row r="1209" spans="1:3" x14ac:dyDescent="0.2">
      <c r="A1209" s="636"/>
      <c r="B1209" s="425"/>
      <c r="C1209" s="425"/>
    </row>
    <row r="1210" spans="1:3" x14ac:dyDescent="0.2">
      <c r="A1210" s="636"/>
      <c r="B1210" s="425"/>
      <c r="C1210" s="425"/>
    </row>
    <row r="1211" spans="1:3" x14ac:dyDescent="0.2">
      <c r="A1211" s="636"/>
      <c r="B1211" s="425"/>
      <c r="C1211" s="425"/>
    </row>
    <row r="1212" spans="1:3" x14ac:dyDescent="0.2">
      <c r="A1212" s="636"/>
      <c r="B1212" s="425"/>
      <c r="C1212" s="425"/>
    </row>
    <row r="1213" spans="1:3" x14ac:dyDescent="0.2">
      <c r="A1213" s="636"/>
      <c r="B1213" s="425"/>
      <c r="C1213" s="425"/>
    </row>
    <row r="1214" spans="1:3" x14ac:dyDescent="0.2">
      <c r="A1214" s="636"/>
      <c r="B1214" s="425"/>
      <c r="C1214" s="425"/>
    </row>
    <row r="1215" spans="1:3" x14ac:dyDescent="0.2">
      <c r="A1215" s="636"/>
      <c r="B1215" s="425"/>
      <c r="C1215" s="425"/>
    </row>
    <row r="1216" spans="1:3" x14ac:dyDescent="0.2">
      <c r="A1216" s="636"/>
      <c r="B1216" s="425"/>
      <c r="C1216" s="425"/>
    </row>
    <row r="1217" spans="1:3" x14ac:dyDescent="0.2">
      <c r="A1217" s="636"/>
      <c r="B1217" s="425"/>
      <c r="C1217" s="425"/>
    </row>
    <row r="1218" spans="1:3" x14ac:dyDescent="0.2">
      <c r="A1218" s="636"/>
      <c r="B1218" s="425"/>
      <c r="C1218" s="425"/>
    </row>
    <row r="1219" spans="1:3" x14ac:dyDescent="0.2">
      <c r="A1219" s="636"/>
      <c r="B1219" s="425"/>
      <c r="C1219" s="425"/>
    </row>
    <row r="1220" spans="1:3" x14ac:dyDescent="0.2">
      <c r="A1220" s="636"/>
      <c r="B1220" s="425"/>
      <c r="C1220" s="425"/>
    </row>
    <row r="1221" spans="1:3" x14ac:dyDescent="0.2">
      <c r="A1221" s="636"/>
      <c r="B1221" s="425"/>
      <c r="C1221" s="425"/>
    </row>
    <row r="1222" spans="1:3" x14ac:dyDescent="0.2">
      <c r="A1222" s="636"/>
      <c r="B1222" s="425"/>
      <c r="C1222" s="425"/>
    </row>
    <row r="1223" spans="1:3" x14ac:dyDescent="0.2">
      <c r="A1223" s="636"/>
      <c r="B1223" s="425"/>
      <c r="C1223" s="425"/>
    </row>
    <row r="1224" spans="1:3" x14ac:dyDescent="0.2">
      <c r="A1224" s="636"/>
      <c r="B1224" s="425"/>
      <c r="C1224" s="425"/>
    </row>
    <row r="1225" spans="1:3" x14ac:dyDescent="0.2">
      <c r="A1225" s="636"/>
      <c r="B1225" s="425"/>
      <c r="C1225" s="425"/>
    </row>
    <row r="1226" spans="1:3" x14ac:dyDescent="0.2">
      <c r="A1226" s="636"/>
      <c r="B1226" s="425"/>
      <c r="C1226" s="425"/>
    </row>
    <row r="1227" spans="1:3" x14ac:dyDescent="0.2">
      <c r="A1227" s="636"/>
      <c r="B1227" s="425"/>
      <c r="C1227" s="425"/>
    </row>
    <row r="1228" spans="1:3" x14ac:dyDescent="0.2">
      <c r="A1228" s="636"/>
      <c r="B1228" s="425"/>
      <c r="C1228" s="425"/>
    </row>
    <row r="1229" spans="1:3" x14ac:dyDescent="0.2">
      <c r="A1229" s="636"/>
      <c r="B1229" s="425"/>
      <c r="C1229" s="425"/>
    </row>
    <row r="1230" spans="1:3" x14ac:dyDescent="0.2">
      <c r="A1230" s="636"/>
      <c r="B1230" s="425"/>
      <c r="C1230" s="425"/>
    </row>
    <row r="1231" spans="1:3" x14ac:dyDescent="0.2">
      <c r="A1231" s="636"/>
      <c r="B1231" s="425"/>
      <c r="C1231" s="425"/>
    </row>
    <row r="1232" spans="1:3" x14ac:dyDescent="0.2">
      <c r="A1232" s="636"/>
      <c r="B1232" s="425"/>
      <c r="C1232" s="425"/>
    </row>
    <row r="1233" spans="1:3" x14ac:dyDescent="0.2">
      <c r="A1233" s="636"/>
      <c r="B1233" s="425"/>
      <c r="C1233" s="425"/>
    </row>
    <row r="1234" spans="1:3" x14ac:dyDescent="0.2">
      <c r="A1234" s="636"/>
      <c r="B1234" s="425"/>
      <c r="C1234" s="425"/>
    </row>
    <row r="1235" spans="1:3" x14ac:dyDescent="0.2">
      <c r="A1235" s="636"/>
      <c r="B1235" s="425"/>
      <c r="C1235" s="425"/>
    </row>
    <row r="1236" spans="1:3" x14ac:dyDescent="0.2">
      <c r="A1236" s="636"/>
      <c r="B1236" s="425"/>
      <c r="C1236" s="425"/>
    </row>
    <row r="1237" spans="1:3" x14ac:dyDescent="0.2">
      <c r="A1237" s="636"/>
      <c r="B1237" s="425"/>
      <c r="C1237" s="425"/>
    </row>
    <row r="1238" spans="1:3" x14ac:dyDescent="0.2">
      <c r="A1238" s="636"/>
      <c r="B1238" s="425"/>
      <c r="C1238" s="425"/>
    </row>
    <row r="1239" spans="1:3" x14ac:dyDescent="0.2">
      <c r="A1239" s="636"/>
      <c r="B1239" s="425"/>
      <c r="C1239" s="425"/>
    </row>
    <row r="1240" spans="1:3" x14ac:dyDescent="0.2">
      <c r="A1240" s="636"/>
      <c r="B1240" s="425"/>
      <c r="C1240" s="425"/>
    </row>
    <row r="1241" spans="1:3" x14ac:dyDescent="0.2">
      <c r="A1241" s="636"/>
      <c r="B1241" s="425"/>
      <c r="C1241" s="425"/>
    </row>
    <row r="1242" spans="1:3" x14ac:dyDescent="0.2">
      <c r="A1242" s="636"/>
      <c r="B1242" s="425"/>
      <c r="C1242" s="425"/>
    </row>
    <row r="1243" spans="1:3" x14ac:dyDescent="0.2">
      <c r="A1243" s="636"/>
      <c r="B1243" s="425"/>
      <c r="C1243" s="425"/>
    </row>
    <row r="1244" spans="1:3" x14ac:dyDescent="0.2">
      <c r="A1244" s="636"/>
      <c r="B1244" s="425"/>
      <c r="C1244" s="425"/>
    </row>
    <row r="1245" spans="1:3" x14ac:dyDescent="0.2">
      <c r="A1245" s="636"/>
      <c r="B1245" s="425"/>
      <c r="C1245" s="425"/>
    </row>
    <row r="1246" spans="1:3" x14ac:dyDescent="0.2">
      <c r="A1246" s="636"/>
      <c r="B1246" s="425"/>
      <c r="C1246" s="425"/>
    </row>
    <row r="1247" spans="1:3" x14ac:dyDescent="0.2">
      <c r="A1247" s="636"/>
      <c r="B1247" s="425"/>
      <c r="C1247" s="425"/>
    </row>
    <row r="1248" spans="1:3" x14ac:dyDescent="0.2">
      <c r="A1248" s="636"/>
      <c r="B1248" s="425"/>
      <c r="C1248" s="425"/>
    </row>
    <row r="1249" spans="1:3" x14ac:dyDescent="0.2">
      <c r="A1249" s="636"/>
      <c r="B1249" s="425"/>
      <c r="C1249" s="425"/>
    </row>
    <row r="1250" spans="1:3" x14ac:dyDescent="0.2">
      <c r="A1250" s="636"/>
      <c r="B1250" s="425"/>
      <c r="C1250" s="425"/>
    </row>
    <row r="1251" spans="1:3" x14ac:dyDescent="0.2">
      <c r="A1251" s="636"/>
      <c r="B1251" s="425"/>
      <c r="C1251" s="425"/>
    </row>
    <row r="1252" spans="1:3" x14ac:dyDescent="0.2">
      <c r="A1252" s="636"/>
      <c r="B1252" s="425"/>
      <c r="C1252" s="425"/>
    </row>
    <row r="1253" spans="1:3" x14ac:dyDescent="0.2">
      <c r="A1253" s="636"/>
      <c r="B1253" s="425"/>
      <c r="C1253" s="425"/>
    </row>
    <row r="1254" spans="1:3" x14ac:dyDescent="0.2">
      <c r="A1254" s="636"/>
      <c r="B1254" s="425"/>
      <c r="C1254" s="425"/>
    </row>
    <row r="1255" spans="1:3" x14ac:dyDescent="0.2">
      <c r="A1255" s="636"/>
      <c r="B1255" s="425"/>
      <c r="C1255" s="425"/>
    </row>
    <row r="1256" spans="1:3" x14ac:dyDescent="0.2">
      <c r="A1256" s="636"/>
      <c r="B1256" s="425"/>
      <c r="C1256" s="425"/>
    </row>
    <row r="1257" spans="1:3" x14ac:dyDescent="0.2">
      <c r="A1257" s="636"/>
      <c r="B1257" s="425"/>
      <c r="C1257" s="425"/>
    </row>
    <row r="1258" spans="1:3" x14ac:dyDescent="0.2">
      <c r="A1258" s="636"/>
      <c r="B1258" s="425"/>
      <c r="C1258" s="425"/>
    </row>
    <row r="1259" spans="1:3" x14ac:dyDescent="0.2">
      <c r="A1259" s="636"/>
      <c r="B1259" s="425"/>
      <c r="C1259" s="425"/>
    </row>
    <row r="1260" spans="1:3" x14ac:dyDescent="0.2">
      <c r="A1260" s="636"/>
      <c r="B1260" s="425"/>
      <c r="C1260" s="425"/>
    </row>
    <row r="1261" spans="1:3" x14ac:dyDescent="0.2">
      <c r="A1261" s="636"/>
      <c r="B1261" s="425"/>
      <c r="C1261" s="425"/>
    </row>
    <row r="1262" spans="1:3" x14ac:dyDescent="0.2">
      <c r="A1262" s="636"/>
      <c r="B1262" s="425"/>
      <c r="C1262" s="425"/>
    </row>
    <row r="1263" spans="1:3" x14ac:dyDescent="0.2">
      <c r="A1263" s="636"/>
      <c r="B1263" s="425"/>
      <c r="C1263" s="425"/>
    </row>
    <row r="1264" spans="1:3" x14ac:dyDescent="0.2">
      <c r="A1264" s="636"/>
      <c r="B1264" s="425"/>
      <c r="C1264" s="425"/>
    </row>
    <row r="1265" spans="1:3" x14ac:dyDescent="0.2">
      <c r="A1265" s="636"/>
      <c r="B1265" s="425"/>
      <c r="C1265" s="425"/>
    </row>
    <row r="1266" spans="1:3" x14ac:dyDescent="0.2">
      <c r="A1266" s="636"/>
      <c r="B1266" s="425"/>
      <c r="C1266" s="425"/>
    </row>
    <row r="1267" spans="1:3" x14ac:dyDescent="0.2">
      <c r="A1267" s="636"/>
      <c r="B1267" s="425"/>
      <c r="C1267" s="425"/>
    </row>
    <row r="1268" spans="1:3" x14ac:dyDescent="0.2">
      <c r="A1268" s="636"/>
      <c r="B1268" s="425"/>
      <c r="C1268" s="425"/>
    </row>
    <row r="1269" spans="1:3" x14ac:dyDescent="0.2">
      <c r="A1269" s="636"/>
      <c r="B1269" s="425"/>
      <c r="C1269" s="425"/>
    </row>
    <row r="1270" spans="1:3" x14ac:dyDescent="0.2">
      <c r="A1270" s="636"/>
      <c r="B1270" s="425"/>
      <c r="C1270" s="425"/>
    </row>
    <row r="1271" spans="1:3" x14ac:dyDescent="0.2">
      <c r="A1271" s="636"/>
      <c r="B1271" s="425"/>
      <c r="C1271" s="425"/>
    </row>
    <row r="1272" spans="1:3" x14ac:dyDescent="0.2">
      <c r="A1272" s="636"/>
      <c r="B1272" s="425"/>
      <c r="C1272" s="425"/>
    </row>
    <row r="1273" spans="1:3" x14ac:dyDescent="0.2">
      <c r="A1273" s="636"/>
      <c r="B1273" s="425"/>
      <c r="C1273" s="425"/>
    </row>
    <row r="1274" spans="1:3" x14ac:dyDescent="0.2">
      <c r="A1274" s="636"/>
      <c r="B1274" s="425"/>
      <c r="C1274" s="425"/>
    </row>
    <row r="1275" spans="1:3" x14ac:dyDescent="0.2">
      <c r="A1275" s="636"/>
      <c r="B1275" s="425"/>
      <c r="C1275" s="425"/>
    </row>
    <row r="1276" spans="1:3" x14ac:dyDescent="0.2">
      <c r="A1276" s="636"/>
      <c r="B1276" s="425"/>
      <c r="C1276" s="425"/>
    </row>
    <row r="1277" spans="1:3" x14ac:dyDescent="0.2">
      <c r="A1277" s="636"/>
      <c r="B1277" s="425"/>
      <c r="C1277" s="425"/>
    </row>
    <row r="1278" spans="1:3" x14ac:dyDescent="0.2">
      <c r="A1278" s="636"/>
      <c r="B1278" s="425"/>
      <c r="C1278" s="425"/>
    </row>
    <row r="1279" spans="1:3" x14ac:dyDescent="0.2">
      <c r="A1279" s="636"/>
      <c r="B1279" s="425"/>
      <c r="C1279" s="425"/>
    </row>
    <row r="1280" spans="1:3" x14ac:dyDescent="0.2">
      <c r="A1280" s="636"/>
      <c r="B1280" s="425"/>
      <c r="C1280" s="425"/>
    </row>
    <row r="1281" spans="1:3" x14ac:dyDescent="0.2">
      <c r="A1281" s="636"/>
      <c r="B1281" s="425"/>
      <c r="C1281" s="425"/>
    </row>
    <row r="1282" spans="1:3" x14ac:dyDescent="0.2">
      <c r="A1282" s="636"/>
      <c r="B1282" s="425"/>
      <c r="C1282" s="425"/>
    </row>
    <row r="1283" spans="1:3" x14ac:dyDescent="0.2">
      <c r="A1283" s="636"/>
      <c r="B1283" s="425"/>
      <c r="C1283" s="425"/>
    </row>
    <row r="1284" spans="1:3" x14ac:dyDescent="0.2">
      <c r="A1284" s="636"/>
      <c r="B1284" s="425"/>
      <c r="C1284" s="425"/>
    </row>
    <row r="1285" spans="1:3" x14ac:dyDescent="0.2">
      <c r="A1285" s="636"/>
      <c r="B1285" s="425"/>
      <c r="C1285" s="425"/>
    </row>
    <row r="1286" spans="1:3" x14ac:dyDescent="0.2">
      <c r="A1286" s="636"/>
      <c r="B1286" s="425"/>
      <c r="C1286" s="425"/>
    </row>
    <row r="1287" spans="1:3" x14ac:dyDescent="0.2">
      <c r="A1287" s="636"/>
      <c r="B1287" s="425"/>
      <c r="C1287" s="425"/>
    </row>
    <row r="1288" spans="1:3" x14ac:dyDescent="0.2">
      <c r="A1288" s="636"/>
      <c r="B1288" s="425"/>
      <c r="C1288" s="425"/>
    </row>
    <row r="1289" spans="1:3" x14ac:dyDescent="0.2">
      <c r="A1289" s="636"/>
      <c r="B1289" s="425"/>
      <c r="C1289" s="425"/>
    </row>
    <row r="1290" spans="1:3" x14ac:dyDescent="0.2">
      <c r="A1290" s="636"/>
      <c r="B1290" s="425"/>
      <c r="C1290" s="425"/>
    </row>
    <row r="1291" spans="1:3" x14ac:dyDescent="0.2">
      <c r="A1291" s="636"/>
      <c r="B1291" s="425"/>
      <c r="C1291" s="425"/>
    </row>
    <row r="1292" spans="1:3" x14ac:dyDescent="0.2">
      <c r="A1292" s="636"/>
      <c r="B1292" s="425"/>
      <c r="C1292" s="425"/>
    </row>
    <row r="1293" spans="1:3" x14ac:dyDescent="0.2">
      <c r="A1293" s="636"/>
      <c r="B1293" s="425"/>
      <c r="C1293" s="425"/>
    </row>
    <row r="1294" spans="1:3" x14ac:dyDescent="0.2">
      <c r="A1294" s="636"/>
      <c r="B1294" s="425"/>
      <c r="C1294" s="425"/>
    </row>
    <row r="1295" spans="1:3" x14ac:dyDescent="0.2">
      <c r="A1295" s="636"/>
      <c r="B1295" s="425"/>
      <c r="C1295" s="425"/>
    </row>
    <row r="1296" spans="1:3" x14ac:dyDescent="0.2">
      <c r="A1296" s="636"/>
      <c r="B1296" s="425"/>
      <c r="C1296" s="425"/>
    </row>
    <row r="1297" spans="1:3" x14ac:dyDescent="0.2">
      <c r="A1297" s="636"/>
      <c r="B1297" s="425"/>
      <c r="C1297" s="425"/>
    </row>
    <row r="1298" spans="1:3" x14ac:dyDescent="0.2">
      <c r="A1298" s="636"/>
      <c r="B1298" s="425"/>
      <c r="C1298" s="425"/>
    </row>
    <row r="1299" spans="1:3" x14ac:dyDescent="0.2">
      <c r="A1299" s="636"/>
      <c r="B1299" s="425"/>
      <c r="C1299" s="425"/>
    </row>
    <row r="1300" spans="1:3" x14ac:dyDescent="0.2">
      <c r="A1300" s="636"/>
      <c r="B1300" s="425"/>
      <c r="C1300" s="425"/>
    </row>
    <row r="1301" spans="1:3" x14ac:dyDescent="0.2">
      <c r="A1301" s="636"/>
      <c r="B1301" s="425"/>
      <c r="C1301" s="425"/>
    </row>
    <row r="1302" spans="1:3" x14ac:dyDescent="0.2">
      <c r="A1302" s="636"/>
      <c r="B1302" s="425"/>
      <c r="C1302" s="425"/>
    </row>
    <row r="1303" spans="1:3" x14ac:dyDescent="0.2">
      <c r="A1303" s="636"/>
      <c r="B1303" s="425"/>
      <c r="C1303" s="425"/>
    </row>
    <row r="1304" spans="1:3" x14ac:dyDescent="0.2">
      <c r="A1304" s="636"/>
      <c r="B1304" s="425"/>
      <c r="C1304" s="425"/>
    </row>
    <row r="1305" spans="1:3" x14ac:dyDescent="0.2">
      <c r="A1305" s="636"/>
      <c r="B1305" s="425"/>
      <c r="C1305" s="425"/>
    </row>
    <row r="1306" spans="1:3" x14ac:dyDescent="0.2">
      <c r="A1306" s="636"/>
      <c r="B1306" s="425"/>
      <c r="C1306" s="425"/>
    </row>
    <row r="1307" spans="1:3" x14ac:dyDescent="0.2">
      <c r="A1307" s="636"/>
      <c r="B1307" s="425"/>
      <c r="C1307" s="425"/>
    </row>
    <row r="1308" spans="1:3" x14ac:dyDescent="0.2">
      <c r="A1308" s="636"/>
      <c r="B1308" s="425"/>
      <c r="C1308" s="425"/>
    </row>
    <row r="1309" spans="1:3" x14ac:dyDescent="0.2">
      <c r="A1309" s="636"/>
      <c r="B1309" s="425"/>
      <c r="C1309" s="425"/>
    </row>
    <row r="1310" spans="1:3" x14ac:dyDescent="0.2">
      <c r="A1310" s="636"/>
      <c r="B1310" s="425"/>
      <c r="C1310" s="425"/>
    </row>
    <row r="1311" spans="1:3" x14ac:dyDescent="0.2">
      <c r="A1311" s="636"/>
      <c r="B1311" s="425"/>
      <c r="C1311" s="425"/>
    </row>
    <row r="1312" spans="1:3" x14ac:dyDescent="0.2">
      <c r="A1312" s="636"/>
      <c r="B1312" s="425"/>
      <c r="C1312" s="425"/>
    </row>
    <row r="1313" spans="1:3" x14ac:dyDescent="0.2">
      <c r="A1313" s="636"/>
      <c r="B1313" s="425"/>
      <c r="C1313" s="425"/>
    </row>
    <row r="1314" spans="1:3" x14ac:dyDescent="0.2">
      <c r="A1314" s="636"/>
      <c r="B1314" s="425"/>
      <c r="C1314" s="425"/>
    </row>
    <row r="1315" spans="1:3" x14ac:dyDescent="0.2">
      <c r="A1315" s="636"/>
      <c r="B1315" s="425"/>
      <c r="C1315" s="425"/>
    </row>
    <row r="1316" spans="1:3" x14ac:dyDescent="0.2">
      <c r="A1316" s="636"/>
      <c r="B1316" s="425"/>
      <c r="C1316" s="425"/>
    </row>
    <row r="1317" spans="1:3" x14ac:dyDescent="0.2">
      <c r="A1317" s="636"/>
      <c r="B1317" s="425"/>
      <c r="C1317" s="425"/>
    </row>
    <row r="1318" spans="1:3" x14ac:dyDescent="0.2">
      <c r="A1318" s="636"/>
      <c r="B1318" s="425"/>
      <c r="C1318" s="425"/>
    </row>
    <row r="1319" spans="1:3" x14ac:dyDescent="0.2">
      <c r="A1319" s="636"/>
      <c r="B1319" s="425"/>
      <c r="C1319" s="425"/>
    </row>
    <row r="1320" spans="1:3" x14ac:dyDescent="0.2">
      <c r="A1320" s="636"/>
      <c r="B1320" s="425"/>
      <c r="C1320" s="425"/>
    </row>
    <row r="1321" spans="1:3" x14ac:dyDescent="0.2">
      <c r="A1321" s="636"/>
      <c r="B1321" s="425"/>
      <c r="C1321" s="425"/>
    </row>
    <row r="1322" spans="1:3" x14ac:dyDescent="0.2">
      <c r="A1322" s="636"/>
      <c r="B1322" s="425"/>
      <c r="C1322" s="425"/>
    </row>
    <row r="1323" spans="1:3" x14ac:dyDescent="0.2">
      <c r="A1323" s="636"/>
      <c r="B1323" s="425"/>
      <c r="C1323" s="425"/>
    </row>
    <row r="1324" spans="1:3" x14ac:dyDescent="0.2">
      <c r="A1324" s="636"/>
      <c r="B1324" s="425"/>
      <c r="C1324" s="425"/>
    </row>
    <row r="1325" spans="1:3" x14ac:dyDescent="0.2">
      <c r="A1325" s="636"/>
      <c r="B1325" s="425"/>
      <c r="C1325" s="425"/>
    </row>
    <row r="1326" spans="1:3" x14ac:dyDescent="0.2">
      <c r="A1326" s="636"/>
      <c r="B1326" s="425"/>
      <c r="C1326" s="425"/>
    </row>
    <row r="1327" spans="1:3" x14ac:dyDescent="0.2">
      <c r="A1327" s="636"/>
      <c r="B1327" s="425"/>
      <c r="C1327" s="425"/>
    </row>
    <row r="1328" spans="1:3" x14ac:dyDescent="0.2">
      <c r="A1328" s="636"/>
      <c r="B1328" s="425"/>
      <c r="C1328" s="425"/>
    </row>
    <row r="1329" spans="1:3" x14ac:dyDescent="0.2">
      <c r="A1329" s="636"/>
      <c r="B1329" s="425"/>
      <c r="C1329" s="425"/>
    </row>
    <row r="1330" spans="1:3" x14ac:dyDescent="0.2">
      <c r="A1330" s="636"/>
      <c r="B1330" s="425"/>
      <c r="C1330" s="425"/>
    </row>
    <row r="1331" spans="1:3" x14ac:dyDescent="0.2">
      <c r="A1331" s="636"/>
      <c r="B1331" s="425"/>
      <c r="C1331" s="425"/>
    </row>
    <row r="1332" spans="1:3" x14ac:dyDescent="0.2">
      <c r="A1332" s="636"/>
      <c r="B1332" s="425"/>
      <c r="C1332" s="425"/>
    </row>
    <row r="1333" spans="1:3" x14ac:dyDescent="0.2">
      <c r="A1333" s="636"/>
      <c r="B1333" s="425"/>
      <c r="C1333" s="425"/>
    </row>
    <row r="1334" spans="1:3" x14ac:dyDescent="0.2">
      <c r="A1334" s="636"/>
      <c r="B1334" s="425"/>
      <c r="C1334" s="425"/>
    </row>
    <row r="1335" spans="1:3" x14ac:dyDescent="0.2">
      <c r="A1335" s="636"/>
      <c r="B1335" s="425"/>
      <c r="C1335" s="425"/>
    </row>
    <row r="1336" spans="1:3" x14ac:dyDescent="0.2">
      <c r="A1336" s="636"/>
      <c r="B1336" s="425"/>
      <c r="C1336" s="425"/>
    </row>
    <row r="1337" spans="1:3" x14ac:dyDescent="0.2">
      <c r="A1337" s="636"/>
      <c r="B1337" s="425"/>
      <c r="C1337" s="425"/>
    </row>
    <row r="1338" spans="1:3" x14ac:dyDescent="0.2">
      <c r="A1338" s="636"/>
      <c r="B1338" s="425"/>
      <c r="C1338" s="425"/>
    </row>
    <row r="1339" spans="1:3" x14ac:dyDescent="0.2">
      <c r="A1339" s="636"/>
      <c r="B1339" s="425"/>
      <c r="C1339" s="425"/>
    </row>
    <row r="1340" spans="1:3" x14ac:dyDescent="0.2">
      <c r="A1340" s="636"/>
      <c r="B1340" s="425"/>
      <c r="C1340" s="425"/>
    </row>
    <row r="1341" spans="1:3" x14ac:dyDescent="0.2">
      <c r="A1341" s="636"/>
      <c r="B1341" s="425"/>
      <c r="C1341" s="425"/>
    </row>
    <row r="1342" spans="1:3" x14ac:dyDescent="0.2">
      <c r="A1342" s="636"/>
      <c r="B1342" s="425"/>
      <c r="C1342" s="425"/>
    </row>
    <row r="1343" spans="1:3" x14ac:dyDescent="0.2">
      <c r="A1343" s="636"/>
      <c r="B1343" s="425"/>
      <c r="C1343" s="425"/>
    </row>
    <row r="1344" spans="1:3" x14ac:dyDescent="0.2">
      <c r="A1344" s="636"/>
      <c r="B1344" s="425"/>
      <c r="C1344" s="425"/>
    </row>
    <row r="1345" spans="1:3" x14ac:dyDescent="0.2">
      <c r="A1345" s="636"/>
      <c r="B1345" s="425"/>
      <c r="C1345" s="425"/>
    </row>
    <row r="1346" spans="1:3" x14ac:dyDescent="0.2">
      <c r="A1346" s="636"/>
      <c r="B1346" s="425"/>
      <c r="C1346" s="425"/>
    </row>
    <row r="1347" spans="1:3" x14ac:dyDescent="0.2">
      <c r="A1347" s="636"/>
      <c r="B1347" s="425"/>
      <c r="C1347" s="425"/>
    </row>
    <row r="1348" spans="1:3" x14ac:dyDescent="0.2">
      <c r="A1348" s="636"/>
      <c r="B1348" s="425"/>
      <c r="C1348" s="425"/>
    </row>
    <row r="1349" spans="1:3" x14ac:dyDescent="0.2">
      <c r="A1349" s="636"/>
      <c r="B1349" s="425"/>
      <c r="C1349" s="425"/>
    </row>
    <row r="1350" spans="1:3" x14ac:dyDescent="0.2">
      <c r="A1350" s="636"/>
      <c r="B1350" s="425"/>
      <c r="C1350" s="425"/>
    </row>
    <row r="1351" spans="1:3" x14ac:dyDescent="0.2">
      <c r="A1351" s="636"/>
      <c r="B1351" s="425"/>
      <c r="C1351" s="425"/>
    </row>
    <row r="1352" spans="1:3" x14ac:dyDescent="0.2">
      <c r="A1352" s="636"/>
      <c r="B1352" s="425"/>
      <c r="C1352" s="425"/>
    </row>
    <row r="1353" spans="1:3" x14ac:dyDescent="0.2">
      <c r="A1353" s="636"/>
      <c r="B1353" s="425"/>
      <c r="C1353" s="425"/>
    </row>
    <row r="1354" spans="1:3" x14ac:dyDescent="0.2">
      <c r="A1354" s="636"/>
      <c r="B1354" s="425"/>
      <c r="C1354" s="425"/>
    </row>
    <row r="1355" spans="1:3" x14ac:dyDescent="0.2">
      <c r="A1355" s="636"/>
      <c r="B1355" s="425"/>
      <c r="C1355" s="425"/>
    </row>
    <row r="1356" spans="1:3" x14ac:dyDescent="0.2">
      <c r="A1356" s="636"/>
      <c r="B1356" s="425"/>
      <c r="C1356" s="425"/>
    </row>
    <row r="1357" spans="1:3" x14ac:dyDescent="0.2">
      <c r="A1357" s="636"/>
      <c r="B1357" s="425"/>
      <c r="C1357" s="425"/>
    </row>
    <row r="1358" spans="1:3" x14ac:dyDescent="0.2">
      <c r="A1358" s="636"/>
      <c r="B1358" s="425"/>
      <c r="C1358" s="425"/>
    </row>
    <row r="1359" spans="1:3" x14ac:dyDescent="0.2">
      <c r="A1359" s="636"/>
      <c r="B1359" s="425"/>
      <c r="C1359" s="425"/>
    </row>
    <row r="1360" spans="1:3" x14ac:dyDescent="0.2">
      <c r="A1360" s="636"/>
      <c r="B1360" s="425"/>
      <c r="C1360" s="425"/>
    </row>
    <row r="1361" spans="1:3" x14ac:dyDescent="0.2">
      <c r="A1361" s="636"/>
      <c r="B1361" s="425"/>
      <c r="C1361" s="425"/>
    </row>
    <row r="1362" spans="1:3" x14ac:dyDescent="0.2">
      <c r="A1362" s="636"/>
      <c r="B1362" s="425"/>
      <c r="C1362" s="425"/>
    </row>
    <row r="1363" spans="1:3" x14ac:dyDescent="0.2">
      <c r="A1363" s="636"/>
      <c r="B1363" s="425"/>
      <c r="C1363" s="425"/>
    </row>
    <row r="1364" spans="1:3" x14ac:dyDescent="0.2">
      <c r="A1364" s="636"/>
      <c r="B1364" s="425"/>
      <c r="C1364" s="425"/>
    </row>
    <row r="1365" spans="1:3" x14ac:dyDescent="0.2">
      <c r="A1365" s="636"/>
      <c r="B1365" s="425"/>
      <c r="C1365" s="425"/>
    </row>
    <row r="1366" spans="1:3" x14ac:dyDescent="0.2">
      <c r="A1366" s="636"/>
      <c r="B1366" s="425"/>
      <c r="C1366" s="425"/>
    </row>
    <row r="1367" spans="1:3" x14ac:dyDescent="0.2">
      <c r="A1367" s="636"/>
      <c r="B1367" s="425"/>
      <c r="C1367" s="425"/>
    </row>
    <row r="1368" spans="1:3" x14ac:dyDescent="0.2">
      <c r="A1368" s="636"/>
      <c r="B1368" s="425"/>
      <c r="C1368" s="425"/>
    </row>
    <row r="1369" spans="1:3" x14ac:dyDescent="0.2">
      <c r="A1369" s="636"/>
      <c r="B1369" s="425"/>
      <c r="C1369" s="425"/>
    </row>
    <row r="1370" spans="1:3" x14ac:dyDescent="0.2">
      <c r="A1370" s="636"/>
      <c r="B1370" s="425"/>
      <c r="C1370" s="425"/>
    </row>
    <row r="1371" spans="1:3" x14ac:dyDescent="0.2">
      <c r="A1371" s="636"/>
      <c r="B1371" s="425"/>
      <c r="C1371" s="425"/>
    </row>
    <row r="1372" spans="1:3" x14ac:dyDescent="0.2">
      <c r="A1372" s="636"/>
      <c r="B1372" s="425"/>
      <c r="C1372" s="425"/>
    </row>
    <row r="1373" spans="1:3" x14ac:dyDescent="0.2">
      <c r="A1373" s="636"/>
      <c r="B1373" s="425"/>
      <c r="C1373" s="425"/>
    </row>
    <row r="1374" spans="1:3" x14ac:dyDescent="0.2">
      <c r="A1374" s="636"/>
      <c r="B1374" s="425"/>
      <c r="C1374" s="425"/>
    </row>
    <row r="1375" spans="1:3" x14ac:dyDescent="0.2">
      <c r="A1375" s="636"/>
      <c r="B1375" s="425"/>
      <c r="C1375" s="425"/>
    </row>
    <row r="1376" spans="1:3" x14ac:dyDescent="0.2">
      <c r="A1376" s="636"/>
      <c r="B1376" s="425"/>
      <c r="C1376" s="425"/>
    </row>
    <row r="1377" spans="1:3" x14ac:dyDescent="0.2">
      <c r="A1377" s="636"/>
      <c r="B1377" s="425"/>
      <c r="C1377" s="425"/>
    </row>
    <row r="1378" spans="1:3" x14ac:dyDescent="0.2">
      <c r="A1378" s="636"/>
      <c r="B1378" s="425"/>
      <c r="C1378" s="425"/>
    </row>
    <row r="1379" spans="1:3" x14ac:dyDescent="0.2">
      <c r="A1379" s="636"/>
      <c r="B1379" s="425"/>
      <c r="C1379" s="425"/>
    </row>
    <row r="1380" spans="1:3" x14ac:dyDescent="0.2">
      <c r="A1380" s="636"/>
      <c r="B1380" s="425"/>
      <c r="C1380" s="425"/>
    </row>
    <row r="1381" spans="1:3" x14ac:dyDescent="0.2">
      <c r="A1381" s="636"/>
      <c r="B1381" s="425"/>
      <c r="C1381" s="425"/>
    </row>
    <row r="1382" spans="1:3" x14ac:dyDescent="0.2">
      <c r="A1382" s="636"/>
      <c r="B1382" s="425"/>
      <c r="C1382" s="425"/>
    </row>
    <row r="1383" spans="1:3" x14ac:dyDescent="0.2">
      <c r="A1383" s="636"/>
      <c r="B1383" s="425"/>
      <c r="C1383" s="425"/>
    </row>
    <row r="1384" spans="1:3" x14ac:dyDescent="0.2">
      <c r="A1384" s="636"/>
      <c r="B1384" s="425"/>
      <c r="C1384" s="425"/>
    </row>
    <row r="1385" spans="1:3" x14ac:dyDescent="0.2">
      <c r="A1385" s="636"/>
      <c r="B1385" s="425"/>
      <c r="C1385" s="425"/>
    </row>
    <row r="1386" spans="1:3" x14ac:dyDescent="0.2">
      <c r="A1386" s="636"/>
      <c r="B1386" s="425"/>
      <c r="C1386" s="425"/>
    </row>
    <row r="1387" spans="1:3" x14ac:dyDescent="0.2">
      <c r="A1387" s="636"/>
      <c r="B1387" s="425"/>
      <c r="C1387" s="425"/>
    </row>
    <row r="1388" spans="1:3" x14ac:dyDescent="0.2">
      <c r="A1388" s="636"/>
      <c r="B1388" s="425"/>
      <c r="C1388" s="425"/>
    </row>
    <row r="1389" spans="1:3" x14ac:dyDescent="0.2">
      <c r="A1389" s="636"/>
      <c r="B1389" s="425"/>
      <c r="C1389" s="425"/>
    </row>
    <row r="1390" spans="1:3" x14ac:dyDescent="0.2">
      <c r="A1390" s="636"/>
      <c r="B1390" s="425"/>
      <c r="C1390" s="425"/>
    </row>
    <row r="1391" spans="1:3" x14ac:dyDescent="0.2">
      <c r="A1391" s="636"/>
      <c r="B1391" s="425"/>
      <c r="C1391" s="425"/>
    </row>
    <row r="1392" spans="1:3" x14ac:dyDescent="0.2">
      <c r="A1392" s="636"/>
      <c r="B1392" s="425"/>
      <c r="C1392" s="425"/>
    </row>
    <row r="1393" spans="1:3" x14ac:dyDescent="0.2">
      <c r="A1393" s="636"/>
      <c r="B1393" s="425"/>
      <c r="C1393" s="425"/>
    </row>
    <row r="1394" spans="1:3" x14ac:dyDescent="0.2">
      <c r="A1394" s="636"/>
      <c r="B1394" s="425"/>
      <c r="C1394" s="425"/>
    </row>
    <row r="1395" spans="1:3" x14ac:dyDescent="0.2">
      <c r="A1395" s="636"/>
      <c r="B1395" s="425"/>
      <c r="C1395" s="425"/>
    </row>
    <row r="1396" spans="1:3" x14ac:dyDescent="0.2">
      <c r="A1396" s="636"/>
      <c r="B1396" s="425"/>
      <c r="C1396" s="425"/>
    </row>
    <row r="1397" spans="1:3" x14ac:dyDescent="0.2">
      <c r="A1397" s="636"/>
      <c r="B1397" s="425"/>
      <c r="C1397" s="425"/>
    </row>
    <row r="1398" spans="1:3" x14ac:dyDescent="0.2">
      <c r="A1398" s="636"/>
      <c r="B1398" s="425"/>
      <c r="C1398" s="425"/>
    </row>
    <row r="1399" spans="1:3" x14ac:dyDescent="0.2">
      <c r="A1399" s="636"/>
      <c r="B1399" s="425"/>
      <c r="C1399" s="425"/>
    </row>
    <row r="1400" spans="1:3" x14ac:dyDescent="0.2">
      <c r="A1400" s="636"/>
      <c r="B1400" s="425"/>
      <c r="C1400" s="425"/>
    </row>
    <row r="1401" spans="1:3" x14ac:dyDescent="0.2">
      <c r="A1401" s="636"/>
      <c r="B1401" s="425"/>
      <c r="C1401" s="425"/>
    </row>
    <row r="1402" spans="1:3" x14ac:dyDescent="0.2">
      <c r="A1402" s="636"/>
      <c r="B1402" s="425"/>
      <c r="C1402" s="425"/>
    </row>
    <row r="1403" spans="1:3" x14ac:dyDescent="0.2">
      <c r="A1403" s="636"/>
      <c r="B1403" s="425"/>
      <c r="C1403" s="425"/>
    </row>
    <row r="1404" spans="1:3" x14ac:dyDescent="0.2">
      <c r="A1404" s="636"/>
      <c r="B1404" s="425"/>
      <c r="C1404" s="425"/>
    </row>
    <row r="1405" spans="1:3" x14ac:dyDescent="0.2">
      <c r="A1405" s="636"/>
      <c r="B1405" s="425"/>
      <c r="C1405" s="425"/>
    </row>
    <row r="1406" spans="1:3" x14ac:dyDescent="0.2">
      <c r="A1406" s="636"/>
      <c r="B1406" s="425"/>
      <c r="C1406" s="425"/>
    </row>
    <row r="1407" spans="1:3" x14ac:dyDescent="0.2">
      <c r="A1407" s="636"/>
      <c r="B1407" s="425"/>
      <c r="C1407" s="425"/>
    </row>
    <row r="1408" spans="1:3" x14ac:dyDescent="0.2">
      <c r="A1408" s="636"/>
      <c r="B1408" s="425"/>
      <c r="C1408" s="425"/>
    </row>
    <row r="1409" spans="1:3" x14ac:dyDescent="0.2">
      <c r="A1409" s="636"/>
      <c r="B1409" s="425"/>
      <c r="C1409" s="425"/>
    </row>
    <row r="1410" spans="1:3" x14ac:dyDescent="0.2">
      <c r="A1410" s="636"/>
      <c r="B1410" s="425"/>
      <c r="C1410" s="425"/>
    </row>
    <row r="1411" spans="1:3" x14ac:dyDescent="0.2">
      <c r="A1411" s="636"/>
      <c r="B1411" s="425"/>
      <c r="C1411" s="425"/>
    </row>
    <row r="1412" spans="1:3" x14ac:dyDescent="0.2">
      <c r="A1412" s="636"/>
      <c r="B1412" s="425"/>
      <c r="C1412" s="425"/>
    </row>
    <row r="1413" spans="1:3" x14ac:dyDescent="0.2">
      <c r="A1413" s="636"/>
      <c r="B1413" s="425"/>
      <c r="C1413" s="425"/>
    </row>
    <row r="1414" spans="1:3" x14ac:dyDescent="0.2">
      <c r="A1414" s="636"/>
      <c r="B1414" s="425"/>
      <c r="C1414" s="425"/>
    </row>
    <row r="1415" spans="1:3" x14ac:dyDescent="0.2">
      <c r="A1415" s="636"/>
      <c r="B1415" s="425"/>
      <c r="C1415" s="425"/>
    </row>
    <row r="1416" spans="1:3" x14ac:dyDescent="0.2">
      <c r="A1416" s="636"/>
      <c r="B1416" s="425"/>
      <c r="C1416" s="425"/>
    </row>
    <row r="1417" spans="1:3" x14ac:dyDescent="0.2">
      <c r="A1417" s="636"/>
      <c r="B1417" s="425"/>
      <c r="C1417" s="425"/>
    </row>
    <row r="1418" spans="1:3" x14ac:dyDescent="0.2">
      <c r="A1418" s="636"/>
      <c r="B1418" s="425"/>
      <c r="C1418" s="425"/>
    </row>
    <row r="1419" spans="1:3" x14ac:dyDescent="0.2">
      <c r="A1419" s="636"/>
      <c r="B1419" s="425"/>
      <c r="C1419" s="425"/>
    </row>
    <row r="1420" spans="1:3" x14ac:dyDescent="0.2">
      <c r="A1420" s="636"/>
      <c r="B1420" s="425"/>
      <c r="C1420" s="425"/>
    </row>
    <row r="1421" spans="1:3" x14ac:dyDescent="0.2">
      <c r="A1421" s="636"/>
      <c r="B1421" s="425"/>
      <c r="C1421" s="425"/>
    </row>
    <row r="1422" spans="1:3" x14ac:dyDescent="0.2">
      <c r="A1422" s="636"/>
      <c r="B1422" s="425"/>
      <c r="C1422" s="425"/>
    </row>
    <row r="1423" spans="1:3" x14ac:dyDescent="0.2">
      <c r="A1423" s="636"/>
      <c r="B1423" s="425"/>
      <c r="C1423" s="425"/>
    </row>
    <row r="1424" spans="1:3" x14ac:dyDescent="0.2">
      <c r="A1424" s="636"/>
      <c r="B1424" s="425"/>
      <c r="C1424" s="425"/>
    </row>
    <row r="1425" spans="1:3" x14ac:dyDescent="0.2">
      <c r="A1425" s="636"/>
      <c r="B1425" s="425"/>
      <c r="C1425" s="425"/>
    </row>
    <row r="1426" spans="1:3" x14ac:dyDescent="0.2">
      <c r="A1426" s="636"/>
      <c r="B1426" s="425"/>
      <c r="C1426" s="425"/>
    </row>
    <row r="1427" spans="1:3" x14ac:dyDescent="0.2">
      <c r="A1427" s="636"/>
      <c r="B1427" s="425"/>
      <c r="C1427" s="425"/>
    </row>
    <row r="1428" spans="1:3" x14ac:dyDescent="0.2">
      <c r="A1428" s="636"/>
      <c r="B1428" s="425"/>
      <c r="C1428" s="425"/>
    </row>
    <row r="1429" spans="1:3" x14ac:dyDescent="0.2">
      <c r="A1429" s="636"/>
      <c r="B1429" s="425"/>
      <c r="C1429" s="425"/>
    </row>
    <row r="1430" spans="1:3" x14ac:dyDescent="0.2">
      <c r="A1430" s="636"/>
      <c r="B1430" s="425"/>
      <c r="C1430" s="425"/>
    </row>
    <row r="1431" spans="1:3" x14ac:dyDescent="0.2">
      <c r="A1431" s="636"/>
      <c r="B1431" s="425"/>
      <c r="C1431" s="425"/>
    </row>
    <row r="1432" spans="1:3" x14ac:dyDescent="0.2">
      <c r="A1432" s="636"/>
      <c r="B1432" s="425"/>
      <c r="C1432" s="425"/>
    </row>
    <row r="1433" spans="1:3" x14ac:dyDescent="0.2">
      <c r="A1433" s="636"/>
      <c r="B1433" s="425"/>
      <c r="C1433" s="425"/>
    </row>
    <row r="1434" spans="1:3" x14ac:dyDescent="0.2">
      <c r="A1434" s="636"/>
      <c r="B1434" s="425"/>
      <c r="C1434" s="425"/>
    </row>
    <row r="1435" spans="1:3" x14ac:dyDescent="0.2">
      <c r="A1435" s="636"/>
      <c r="B1435" s="425"/>
      <c r="C1435" s="425"/>
    </row>
    <row r="1436" spans="1:3" x14ac:dyDescent="0.2">
      <c r="A1436" s="636"/>
      <c r="B1436" s="425"/>
      <c r="C1436" s="425"/>
    </row>
    <row r="1437" spans="1:3" x14ac:dyDescent="0.2">
      <c r="A1437" s="636"/>
      <c r="B1437" s="425"/>
      <c r="C1437" s="425"/>
    </row>
    <row r="1438" spans="1:3" x14ac:dyDescent="0.2">
      <c r="A1438" s="636"/>
      <c r="B1438" s="425"/>
      <c r="C1438" s="425"/>
    </row>
    <row r="1439" spans="1:3" x14ac:dyDescent="0.2">
      <c r="A1439" s="636"/>
      <c r="B1439" s="425"/>
      <c r="C1439" s="425"/>
    </row>
    <row r="1440" spans="1:3" x14ac:dyDescent="0.2">
      <c r="A1440" s="636"/>
      <c r="B1440" s="425"/>
      <c r="C1440" s="425"/>
    </row>
    <row r="1441" spans="1:3" x14ac:dyDescent="0.2">
      <c r="A1441" s="636"/>
      <c r="B1441" s="425"/>
      <c r="C1441" s="425"/>
    </row>
    <row r="1442" spans="1:3" x14ac:dyDescent="0.2">
      <c r="A1442" s="636"/>
      <c r="B1442" s="425"/>
      <c r="C1442" s="425"/>
    </row>
    <row r="1443" spans="1:3" x14ac:dyDescent="0.2">
      <c r="A1443" s="636"/>
      <c r="B1443" s="425"/>
      <c r="C1443" s="425"/>
    </row>
    <row r="1444" spans="1:3" x14ac:dyDescent="0.2">
      <c r="A1444" s="636"/>
      <c r="B1444" s="425"/>
      <c r="C1444" s="425"/>
    </row>
    <row r="1445" spans="1:3" x14ac:dyDescent="0.2">
      <c r="A1445" s="636"/>
      <c r="B1445" s="425"/>
      <c r="C1445" s="425"/>
    </row>
    <row r="1446" spans="1:3" x14ac:dyDescent="0.2">
      <c r="A1446" s="636"/>
      <c r="B1446" s="425"/>
      <c r="C1446" s="425"/>
    </row>
    <row r="1447" spans="1:3" x14ac:dyDescent="0.2">
      <c r="A1447" s="636"/>
      <c r="B1447" s="425"/>
      <c r="C1447" s="425"/>
    </row>
    <row r="1448" spans="1:3" x14ac:dyDescent="0.2">
      <c r="A1448" s="636"/>
      <c r="B1448" s="425"/>
      <c r="C1448" s="425"/>
    </row>
    <row r="1449" spans="1:3" x14ac:dyDescent="0.2">
      <c r="A1449" s="636"/>
      <c r="B1449" s="425"/>
      <c r="C1449" s="425"/>
    </row>
    <row r="1450" spans="1:3" x14ac:dyDescent="0.2">
      <c r="A1450" s="636"/>
      <c r="B1450" s="425"/>
      <c r="C1450" s="425"/>
    </row>
    <row r="1451" spans="1:3" x14ac:dyDescent="0.2">
      <c r="A1451" s="636"/>
      <c r="B1451" s="425"/>
      <c r="C1451" s="425"/>
    </row>
    <row r="1452" spans="1:3" x14ac:dyDescent="0.2">
      <c r="A1452" s="636"/>
      <c r="B1452" s="425"/>
      <c r="C1452" s="425"/>
    </row>
    <row r="1453" spans="1:3" x14ac:dyDescent="0.2">
      <c r="A1453" s="636"/>
      <c r="B1453" s="425"/>
      <c r="C1453" s="425"/>
    </row>
    <row r="1454" spans="1:3" x14ac:dyDescent="0.2">
      <c r="A1454" s="636"/>
      <c r="B1454" s="425"/>
      <c r="C1454" s="425"/>
    </row>
    <row r="1455" spans="1:3" x14ac:dyDescent="0.2">
      <c r="A1455" s="636"/>
      <c r="B1455" s="425"/>
      <c r="C1455" s="425"/>
    </row>
    <row r="1456" spans="1:3" x14ac:dyDescent="0.2">
      <c r="A1456" s="636"/>
      <c r="B1456" s="425"/>
      <c r="C1456" s="425"/>
    </row>
    <row r="1457" spans="1:3" x14ac:dyDescent="0.2">
      <c r="A1457" s="636"/>
      <c r="B1457" s="425"/>
      <c r="C1457" s="425"/>
    </row>
    <row r="1458" spans="1:3" x14ac:dyDescent="0.2">
      <c r="A1458" s="636"/>
      <c r="B1458" s="425"/>
      <c r="C1458" s="425"/>
    </row>
    <row r="1459" spans="1:3" x14ac:dyDescent="0.2">
      <c r="A1459" s="636"/>
      <c r="B1459" s="425"/>
      <c r="C1459" s="425"/>
    </row>
    <row r="1460" spans="1:3" x14ac:dyDescent="0.2">
      <c r="A1460" s="636"/>
      <c r="B1460" s="425"/>
      <c r="C1460" s="425"/>
    </row>
    <row r="1461" spans="1:3" x14ac:dyDescent="0.2">
      <c r="A1461" s="636"/>
      <c r="B1461" s="425"/>
      <c r="C1461" s="425"/>
    </row>
    <row r="1462" spans="1:3" x14ac:dyDescent="0.2">
      <c r="A1462" s="636"/>
      <c r="B1462" s="425"/>
      <c r="C1462" s="425"/>
    </row>
    <row r="1463" spans="1:3" x14ac:dyDescent="0.2">
      <c r="A1463" s="636"/>
      <c r="B1463" s="425"/>
      <c r="C1463" s="425"/>
    </row>
    <row r="1464" spans="1:3" x14ac:dyDescent="0.2">
      <c r="A1464" s="636"/>
      <c r="B1464" s="425"/>
      <c r="C1464" s="425"/>
    </row>
    <row r="1465" spans="1:3" x14ac:dyDescent="0.2">
      <c r="A1465" s="636"/>
      <c r="B1465" s="425"/>
      <c r="C1465" s="425"/>
    </row>
    <row r="1466" spans="1:3" x14ac:dyDescent="0.2">
      <c r="A1466" s="636"/>
      <c r="B1466" s="425"/>
      <c r="C1466" s="425"/>
    </row>
    <row r="1467" spans="1:3" x14ac:dyDescent="0.2">
      <c r="A1467" s="636"/>
      <c r="B1467" s="425"/>
      <c r="C1467" s="425"/>
    </row>
    <row r="1468" spans="1:3" x14ac:dyDescent="0.2">
      <c r="A1468" s="636"/>
      <c r="B1468" s="425"/>
      <c r="C1468" s="425"/>
    </row>
    <row r="1469" spans="1:3" x14ac:dyDescent="0.2">
      <c r="A1469" s="636"/>
      <c r="B1469" s="425"/>
      <c r="C1469" s="425"/>
    </row>
    <row r="1470" spans="1:3" x14ac:dyDescent="0.2">
      <c r="A1470" s="636"/>
      <c r="B1470" s="425"/>
      <c r="C1470" s="425"/>
    </row>
    <row r="1471" spans="1:3" x14ac:dyDescent="0.2">
      <c r="A1471" s="636"/>
      <c r="B1471" s="425"/>
      <c r="C1471" s="425"/>
    </row>
    <row r="1472" spans="1:3" x14ac:dyDescent="0.2">
      <c r="A1472" s="636"/>
      <c r="B1472" s="425"/>
      <c r="C1472" s="425"/>
    </row>
    <row r="1473" spans="1:3" x14ac:dyDescent="0.2">
      <c r="A1473" s="636"/>
      <c r="B1473" s="425"/>
      <c r="C1473" s="425"/>
    </row>
    <row r="1474" spans="1:3" x14ac:dyDescent="0.2">
      <c r="A1474" s="636"/>
      <c r="B1474" s="425"/>
      <c r="C1474" s="425"/>
    </row>
    <row r="1475" spans="1:3" x14ac:dyDescent="0.2">
      <c r="A1475" s="636"/>
      <c r="B1475" s="425"/>
      <c r="C1475" s="425"/>
    </row>
    <row r="1476" spans="1:3" x14ac:dyDescent="0.2">
      <c r="A1476" s="636"/>
      <c r="B1476" s="425"/>
      <c r="C1476" s="425"/>
    </row>
    <row r="1477" spans="1:3" x14ac:dyDescent="0.2">
      <c r="A1477" s="636"/>
      <c r="B1477" s="425"/>
      <c r="C1477" s="425"/>
    </row>
    <row r="1478" spans="1:3" x14ac:dyDescent="0.2">
      <c r="A1478" s="636"/>
      <c r="B1478" s="425"/>
      <c r="C1478" s="425"/>
    </row>
    <row r="1479" spans="1:3" x14ac:dyDescent="0.2">
      <c r="A1479" s="636"/>
      <c r="B1479" s="425"/>
      <c r="C1479" s="425"/>
    </row>
    <row r="1480" spans="1:3" x14ac:dyDescent="0.2">
      <c r="A1480" s="636"/>
      <c r="B1480" s="425"/>
      <c r="C1480" s="425"/>
    </row>
    <row r="1481" spans="1:3" x14ac:dyDescent="0.2">
      <c r="A1481" s="636"/>
      <c r="B1481" s="425"/>
      <c r="C1481" s="425"/>
    </row>
    <row r="1482" spans="1:3" x14ac:dyDescent="0.2">
      <c r="A1482" s="636"/>
      <c r="B1482" s="425"/>
      <c r="C1482" s="425"/>
    </row>
    <row r="1483" spans="1:3" x14ac:dyDescent="0.2">
      <c r="A1483" s="636"/>
      <c r="B1483" s="425"/>
      <c r="C1483" s="425"/>
    </row>
    <row r="1484" spans="1:3" x14ac:dyDescent="0.2">
      <c r="A1484" s="636"/>
      <c r="B1484" s="425"/>
      <c r="C1484" s="425"/>
    </row>
    <row r="1485" spans="1:3" x14ac:dyDescent="0.2">
      <c r="A1485" s="636"/>
      <c r="B1485" s="425"/>
      <c r="C1485" s="425"/>
    </row>
    <row r="1486" spans="1:3" x14ac:dyDescent="0.2">
      <c r="A1486" s="636"/>
      <c r="B1486" s="425"/>
      <c r="C1486" s="425"/>
    </row>
    <row r="1487" spans="1:3" x14ac:dyDescent="0.2">
      <c r="A1487" s="636"/>
      <c r="B1487" s="425"/>
      <c r="C1487" s="425"/>
    </row>
    <row r="1488" spans="1:3" x14ac:dyDescent="0.2">
      <c r="A1488" s="636"/>
      <c r="B1488" s="425"/>
      <c r="C1488" s="425"/>
    </row>
    <row r="1489" spans="1:3" x14ac:dyDescent="0.2">
      <c r="A1489" s="636"/>
      <c r="B1489" s="425"/>
      <c r="C1489" s="425"/>
    </row>
    <row r="1490" spans="1:3" x14ac:dyDescent="0.2">
      <c r="A1490" s="636"/>
      <c r="B1490" s="425"/>
      <c r="C1490" s="425"/>
    </row>
    <row r="1491" spans="1:3" x14ac:dyDescent="0.2">
      <c r="A1491" s="636"/>
      <c r="B1491" s="425"/>
      <c r="C1491" s="425"/>
    </row>
    <row r="1492" spans="1:3" x14ac:dyDescent="0.2">
      <c r="A1492" s="636"/>
      <c r="B1492" s="425"/>
      <c r="C1492" s="425"/>
    </row>
    <row r="1493" spans="1:3" x14ac:dyDescent="0.2">
      <c r="A1493" s="636"/>
      <c r="B1493" s="425"/>
      <c r="C1493" s="425"/>
    </row>
    <row r="1494" spans="1:3" x14ac:dyDescent="0.2">
      <c r="A1494" s="636"/>
      <c r="B1494" s="425"/>
      <c r="C1494" s="425"/>
    </row>
    <row r="1495" spans="1:3" x14ac:dyDescent="0.2">
      <c r="A1495" s="636"/>
      <c r="B1495" s="425"/>
      <c r="C1495" s="425"/>
    </row>
    <row r="1496" spans="1:3" x14ac:dyDescent="0.2">
      <c r="A1496" s="636"/>
      <c r="B1496" s="425"/>
      <c r="C1496" s="425"/>
    </row>
    <row r="1497" spans="1:3" x14ac:dyDescent="0.2">
      <c r="A1497" s="636"/>
      <c r="B1497" s="425"/>
      <c r="C1497" s="425"/>
    </row>
    <row r="1498" spans="1:3" x14ac:dyDescent="0.2">
      <c r="A1498" s="636"/>
      <c r="B1498" s="425"/>
      <c r="C1498" s="425"/>
    </row>
    <row r="1499" spans="1:3" x14ac:dyDescent="0.2">
      <c r="A1499" s="636"/>
      <c r="B1499" s="425"/>
      <c r="C1499" s="425"/>
    </row>
    <row r="1500" spans="1:3" x14ac:dyDescent="0.2">
      <c r="A1500" s="636"/>
      <c r="B1500" s="425"/>
      <c r="C1500" s="425"/>
    </row>
    <row r="1501" spans="1:3" x14ac:dyDescent="0.2">
      <c r="A1501" s="636"/>
      <c r="B1501" s="425"/>
      <c r="C1501" s="425"/>
    </row>
    <row r="1502" spans="1:3" x14ac:dyDescent="0.2">
      <c r="A1502" s="636"/>
      <c r="B1502" s="425"/>
      <c r="C1502" s="425"/>
    </row>
    <row r="1503" spans="1:3" x14ac:dyDescent="0.2">
      <c r="A1503" s="636"/>
      <c r="B1503" s="425"/>
      <c r="C1503" s="425"/>
    </row>
    <row r="1504" spans="1:3" x14ac:dyDescent="0.2">
      <c r="A1504" s="636"/>
      <c r="B1504" s="425"/>
      <c r="C1504" s="425"/>
    </row>
    <row r="1505" spans="1:3" x14ac:dyDescent="0.2">
      <c r="A1505" s="636"/>
      <c r="B1505" s="425"/>
      <c r="C1505" s="425"/>
    </row>
    <row r="1506" spans="1:3" x14ac:dyDescent="0.2">
      <c r="A1506" s="636"/>
      <c r="B1506" s="425"/>
      <c r="C1506" s="425"/>
    </row>
    <row r="1507" spans="1:3" x14ac:dyDescent="0.2">
      <c r="A1507" s="636"/>
      <c r="B1507" s="425"/>
      <c r="C1507" s="425"/>
    </row>
    <row r="1508" spans="1:3" x14ac:dyDescent="0.2">
      <c r="A1508" s="636"/>
      <c r="B1508" s="425"/>
      <c r="C1508" s="425"/>
    </row>
    <row r="1509" spans="1:3" x14ac:dyDescent="0.2">
      <c r="A1509" s="636"/>
      <c r="B1509" s="425"/>
      <c r="C1509" s="425"/>
    </row>
    <row r="1510" spans="1:3" x14ac:dyDescent="0.2">
      <c r="A1510" s="636"/>
      <c r="B1510" s="425"/>
      <c r="C1510" s="425"/>
    </row>
    <row r="1511" spans="1:3" x14ac:dyDescent="0.2">
      <c r="A1511" s="636"/>
      <c r="B1511" s="425"/>
      <c r="C1511" s="425"/>
    </row>
    <row r="1512" spans="1:3" x14ac:dyDescent="0.2">
      <c r="A1512" s="636"/>
      <c r="B1512" s="425"/>
      <c r="C1512" s="425"/>
    </row>
    <row r="1513" spans="1:3" x14ac:dyDescent="0.2">
      <c r="A1513" s="636"/>
      <c r="B1513" s="425"/>
      <c r="C1513" s="425"/>
    </row>
    <row r="1514" spans="1:3" x14ac:dyDescent="0.2">
      <c r="A1514" s="636"/>
      <c r="B1514" s="425"/>
      <c r="C1514" s="425"/>
    </row>
    <row r="1515" spans="1:3" x14ac:dyDescent="0.2">
      <c r="A1515" s="636"/>
      <c r="B1515" s="425"/>
      <c r="C1515" s="425"/>
    </row>
    <row r="1516" spans="1:3" x14ac:dyDescent="0.2">
      <c r="A1516" s="636"/>
      <c r="B1516" s="425"/>
      <c r="C1516" s="425"/>
    </row>
    <row r="1517" spans="1:3" x14ac:dyDescent="0.2">
      <c r="A1517" s="636"/>
      <c r="B1517" s="425"/>
      <c r="C1517" s="425"/>
    </row>
    <row r="1518" spans="1:3" x14ac:dyDescent="0.2">
      <c r="A1518" s="636"/>
      <c r="B1518" s="425"/>
      <c r="C1518" s="425"/>
    </row>
    <row r="1519" spans="1:3" x14ac:dyDescent="0.2">
      <c r="A1519" s="636"/>
      <c r="B1519" s="425"/>
      <c r="C1519" s="425"/>
    </row>
    <row r="1520" spans="1:3" x14ac:dyDescent="0.2">
      <c r="A1520" s="636"/>
      <c r="B1520" s="425"/>
      <c r="C1520" s="425"/>
    </row>
    <row r="1521" spans="1:3" x14ac:dyDescent="0.2">
      <c r="A1521" s="636"/>
      <c r="B1521" s="425"/>
      <c r="C1521" s="425"/>
    </row>
    <row r="1522" spans="1:3" x14ac:dyDescent="0.2">
      <c r="A1522" s="636"/>
      <c r="B1522" s="425"/>
      <c r="C1522" s="425"/>
    </row>
    <row r="1523" spans="1:3" x14ac:dyDescent="0.2">
      <c r="A1523" s="636"/>
      <c r="B1523" s="425"/>
      <c r="C1523" s="425"/>
    </row>
    <row r="1524" spans="1:3" x14ac:dyDescent="0.2">
      <c r="A1524" s="636"/>
      <c r="B1524" s="425"/>
      <c r="C1524" s="425"/>
    </row>
    <row r="1525" spans="1:3" x14ac:dyDescent="0.2">
      <c r="A1525" s="636"/>
      <c r="B1525" s="425"/>
      <c r="C1525" s="425"/>
    </row>
    <row r="1526" spans="1:3" x14ac:dyDescent="0.2">
      <c r="A1526" s="636"/>
      <c r="B1526" s="425"/>
      <c r="C1526" s="425"/>
    </row>
    <row r="1527" spans="1:3" x14ac:dyDescent="0.2">
      <c r="A1527" s="636"/>
      <c r="B1527" s="425"/>
      <c r="C1527" s="425"/>
    </row>
    <row r="1528" spans="1:3" x14ac:dyDescent="0.2">
      <c r="A1528" s="636"/>
      <c r="B1528" s="425"/>
      <c r="C1528" s="425"/>
    </row>
    <row r="1529" spans="1:3" x14ac:dyDescent="0.2">
      <c r="A1529" s="636"/>
      <c r="B1529" s="425"/>
      <c r="C1529" s="425"/>
    </row>
    <row r="1530" spans="1:3" x14ac:dyDescent="0.2">
      <c r="A1530" s="636"/>
      <c r="B1530" s="425"/>
      <c r="C1530" s="425"/>
    </row>
    <row r="1531" spans="1:3" x14ac:dyDescent="0.2">
      <c r="A1531" s="636"/>
      <c r="B1531" s="425"/>
      <c r="C1531" s="425"/>
    </row>
    <row r="1532" spans="1:3" x14ac:dyDescent="0.2">
      <c r="A1532" s="636"/>
      <c r="B1532" s="425"/>
      <c r="C1532" s="425"/>
    </row>
    <row r="1533" spans="1:3" x14ac:dyDescent="0.2">
      <c r="A1533" s="636"/>
      <c r="B1533" s="425"/>
      <c r="C1533" s="425"/>
    </row>
    <row r="1534" spans="1:3" x14ac:dyDescent="0.2">
      <c r="A1534" s="636"/>
      <c r="B1534" s="425"/>
      <c r="C1534" s="425"/>
    </row>
    <row r="1535" spans="1:3" x14ac:dyDescent="0.2">
      <c r="A1535" s="636"/>
      <c r="B1535" s="425"/>
      <c r="C1535" s="425"/>
    </row>
    <row r="1536" spans="1:3" x14ac:dyDescent="0.2">
      <c r="A1536" s="636"/>
      <c r="B1536" s="425"/>
      <c r="C1536" s="425"/>
    </row>
    <row r="1537" spans="1:3" x14ac:dyDescent="0.2">
      <c r="A1537" s="636"/>
      <c r="B1537" s="425"/>
      <c r="C1537" s="425"/>
    </row>
    <row r="1538" spans="1:3" x14ac:dyDescent="0.2">
      <c r="A1538" s="636"/>
      <c r="B1538" s="425"/>
      <c r="C1538" s="425"/>
    </row>
    <row r="1539" spans="1:3" x14ac:dyDescent="0.2">
      <c r="A1539" s="636"/>
      <c r="B1539" s="425"/>
      <c r="C1539" s="425"/>
    </row>
    <row r="1540" spans="1:3" x14ac:dyDescent="0.2">
      <c r="A1540" s="636"/>
      <c r="B1540" s="425"/>
      <c r="C1540" s="425"/>
    </row>
    <row r="1541" spans="1:3" x14ac:dyDescent="0.2">
      <c r="A1541" s="636"/>
      <c r="B1541" s="425"/>
      <c r="C1541" s="425"/>
    </row>
    <row r="1542" spans="1:3" x14ac:dyDescent="0.2">
      <c r="A1542" s="636"/>
      <c r="B1542" s="425"/>
      <c r="C1542" s="425"/>
    </row>
    <row r="1543" spans="1:3" x14ac:dyDescent="0.2">
      <c r="A1543" s="636"/>
      <c r="B1543" s="425"/>
      <c r="C1543" s="425"/>
    </row>
    <row r="1544" spans="1:3" x14ac:dyDescent="0.2">
      <c r="A1544" s="636"/>
      <c r="B1544" s="425"/>
      <c r="C1544" s="425"/>
    </row>
    <row r="1545" spans="1:3" x14ac:dyDescent="0.2">
      <c r="A1545" s="636"/>
      <c r="B1545" s="425"/>
      <c r="C1545" s="425"/>
    </row>
    <row r="1546" spans="1:3" x14ac:dyDescent="0.2">
      <c r="A1546" s="636"/>
      <c r="B1546" s="425"/>
      <c r="C1546" s="425"/>
    </row>
    <row r="1547" spans="1:3" x14ac:dyDescent="0.2">
      <c r="A1547" s="636"/>
      <c r="B1547" s="425"/>
      <c r="C1547" s="425"/>
    </row>
    <row r="1548" spans="1:3" x14ac:dyDescent="0.2">
      <c r="A1548" s="636"/>
      <c r="B1548" s="425"/>
      <c r="C1548" s="425"/>
    </row>
    <row r="1549" spans="1:3" x14ac:dyDescent="0.2">
      <c r="A1549" s="636"/>
      <c r="B1549" s="425"/>
      <c r="C1549" s="425"/>
    </row>
    <row r="1550" spans="1:3" x14ac:dyDescent="0.2">
      <c r="A1550" s="636"/>
      <c r="B1550" s="425"/>
      <c r="C1550" s="425"/>
    </row>
    <row r="1551" spans="1:3" x14ac:dyDescent="0.2">
      <c r="A1551" s="636"/>
      <c r="B1551" s="425"/>
      <c r="C1551" s="425"/>
    </row>
    <row r="1552" spans="1:3" x14ac:dyDescent="0.2">
      <c r="A1552" s="636"/>
      <c r="B1552" s="425"/>
      <c r="C1552" s="425"/>
    </row>
    <row r="1553" spans="1:3" x14ac:dyDescent="0.2">
      <c r="A1553" s="636"/>
      <c r="B1553" s="425"/>
      <c r="C1553" s="425"/>
    </row>
    <row r="1554" spans="1:3" x14ac:dyDescent="0.2">
      <c r="A1554" s="636"/>
      <c r="B1554" s="425"/>
      <c r="C1554" s="425"/>
    </row>
    <row r="1555" spans="1:3" x14ac:dyDescent="0.2">
      <c r="A1555" s="636"/>
      <c r="B1555" s="425"/>
      <c r="C1555" s="425"/>
    </row>
    <row r="1556" spans="1:3" x14ac:dyDescent="0.2">
      <c r="A1556" s="636"/>
      <c r="B1556" s="425"/>
      <c r="C1556" s="425"/>
    </row>
    <row r="1557" spans="1:3" x14ac:dyDescent="0.2">
      <c r="A1557" s="636"/>
      <c r="B1557" s="425"/>
      <c r="C1557" s="425"/>
    </row>
    <row r="1558" spans="1:3" x14ac:dyDescent="0.2">
      <c r="A1558" s="636"/>
      <c r="B1558" s="425"/>
      <c r="C1558" s="425"/>
    </row>
    <row r="1559" spans="1:3" x14ac:dyDescent="0.2">
      <c r="A1559" s="636"/>
      <c r="B1559" s="425"/>
      <c r="C1559" s="425"/>
    </row>
    <row r="1560" spans="1:3" x14ac:dyDescent="0.2">
      <c r="A1560" s="636"/>
      <c r="B1560" s="425"/>
      <c r="C1560" s="425"/>
    </row>
    <row r="1561" spans="1:3" x14ac:dyDescent="0.2">
      <c r="A1561" s="636"/>
      <c r="B1561" s="425"/>
      <c r="C1561" s="425"/>
    </row>
    <row r="1562" spans="1:3" x14ac:dyDescent="0.2">
      <c r="A1562" s="636"/>
      <c r="B1562" s="425"/>
      <c r="C1562" s="425"/>
    </row>
    <row r="1563" spans="1:3" x14ac:dyDescent="0.2">
      <c r="A1563" s="636"/>
      <c r="B1563" s="425"/>
      <c r="C1563" s="425"/>
    </row>
    <row r="1564" spans="1:3" x14ac:dyDescent="0.2">
      <c r="A1564" s="636"/>
      <c r="B1564" s="425"/>
      <c r="C1564" s="425"/>
    </row>
    <row r="1565" spans="1:3" x14ac:dyDescent="0.2">
      <c r="A1565" s="636"/>
      <c r="B1565" s="425"/>
      <c r="C1565" s="425"/>
    </row>
    <row r="1566" spans="1:3" x14ac:dyDescent="0.2">
      <c r="A1566" s="636"/>
      <c r="B1566" s="425"/>
      <c r="C1566" s="425"/>
    </row>
    <row r="1567" spans="1:3" x14ac:dyDescent="0.2">
      <c r="A1567" s="636"/>
      <c r="B1567" s="425"/>
      <c r="C1567" s="425"/>
    </row>
    <row r="1568" spans="1:3" x14ac:dyDescent="0.2">
      <c r="A1568" s="636"/>
      <c r="B1568" s="425"/>
      <c r="C1568" s="425"/>
    </row>
    <row r="1569" spans="1:3" x14ac:dyDescent="0.2">
      <c r="A1569" s="636"/>
      <c r="B1569" s="425"/>
      <c r="C1569" s="425"/>
    </row>
    <row r="1570" spans="1:3" x14ac:dyDescent="0.2">
      <c r="A1570" s="636"/>
      <c r="B1570" s="425"/>
      <c r="C1570" s="425"/>
    </row>
    <row r="1571" spans="1:3" x14ac:dyDescent="0.2">
      <c r="A1571" s="636"/>
      <c r="B1571" s="425"/>
      <c r="C1571" s="425"/>
    </row>
    <row r="1572" spans="1:3" x14ac:dyDescent="0.2">
      <c r="A1572" s="636"/>
      <c r="B1572" s="425"/>
      <c r="C1572" s="425"/>
    </row>
    <row r="1573" spans="1:3" x14ac:dyDescent="0.2">
      <c r="A1573" s="636"/>
      <c r="B1573" s="425"/>
      <c r="C1573" s="425"/>
    </row>
    <row r="1574" spans="1:3" x14ac:dyDescent="0.2">
      <c r="A1574" s="636"/>
      <c r="B1574" s="425"/>
      <c r="C1574" s="425"/>
    </row>
    <row r="1575" spans="1:3" x14ac:dyDescent="0.2">
      <c r="A1575" s="636"/>
      <c r="B1575" s="425"/>
      <c r="C1575" s="425"/>
    </row>
    <row r="1576" spans="1:3" x14ac:dyDescent="0.2">
      <c r="A1576" s="636"/>
      <c r="B1576" s="425"/>
      <c r="C1576" s="425"/>
    </row>
    <row r="1577" spans="1:3" x14ac:dyDescent="0.2">
      <c r="A1577" s="636"/>
      <c r="B1577" s="425"/>
      <c r="C1577" s="425"/>
    </row>
    <row r="1578" spans="1:3" x14ac:dyDescent="0.2">
      <c r="A1578" s="636"/>
      <c r="B1578" s="425"/>
      <c r="C1578" s="425"/>
    </row>
    <row r="1579" spans="1:3" x14ac:dyDescent="0.2">
      <c r="A1579" s="636"/>
      <c r="B1579" s="425"/>
      <c r="C1579" s="425"/>
    </row>
    <row r="1580" spans="1:3" x14ac:dyDescent="0.2">
      <c r="A1580" s="636"/>
      <c r="B1580" s="425"/>
      <c r="C1580" s="425"/>
    </row>
    <row r="1581" spans="1:3" x14ac:dyDescent="0.2">
      <c r="A1581" s="636"/>
      <c r="B1581" s="425"/>
      <c r="C1581" s="425"/>
    </row>
    <row r="1582" spans="1:3" x14ac:dyDescent="0.2">
      <c r="A1582" s="636"/>
      <c r="B1582" s="425"/>
      <c r="C1582" s="425"/>
    </row>
    <row r="1583" spans="1:3" x14ac:dyDescent="0.2">
      <c r="A1583" s="636"/>
      <c r="B1583" s="425"/>
      <c r="C1583" s="425"/>
    </row>
    <row r="1584" spans="1:3" x14ac:dyDescent="0.2">
      <c r="A1584" s="636"/>
      <c r="B1584" s="425"/>
      <c r="C1584" s="425"/>
    </row>
    <row r="1585" spans="1:3" x14ac:dyDescent="0.2">
      <c r="A1585" s="636"/>
      <c r="B1585" s="425"/>
      <c r="C1585" s="425"/>
    </row>
    <row r="1586" spans="1:3" x14ac:dyDescent="0.2">
      <c r="A1586" s="636"/>
      <c r="B1586" s="425"/>
      <c r="C1586" s="425"/>
    </row>
    <row r="1587" spans="1:3" x14ac:dyDescent="0.2">
      <c r="A1587" s="636"/>
      <c r="B1587" s="425"/>
      <c r="C1587" s="425"/>
    </row>
    <row r="1588" spans="1:3" x14ac:dyDescent="0.2">
      <c r="A1588" s="636"/>
      <c r="B1588" s="425"/>
      <c r="C1588" s="425"/>
    </row>
    <row r="1589" spans="1:3" x14ac:dyDescent="0.2">
      <c r="A1589" s="636"/>
      <c r="B1589" s="425"/>
      <c r="C1589" s="425"/>
    </row>
    <row r="1590" spans="1:3" x14ac:dyDescent="0.2">
      <c r="A1590" s="636"/>
      <c r="B1590" s="425"/>
      <c r="C1590" s="425"/>
    </row>
    <row r="1591" spans="1:3" x14ac:dyDescent="0.2">
      <c r="A1591" s="636"/>
      <c r="B1591" s="425"/>
      <c r="C1591" s="425"/>
    </row>
    <row r="1592" spans="1:3" x14ac:dyDescent="0.2">
      <c r="A1592" s="636"/>
      <c r="B1592" s="425"/>
      <c r="C1592" s="425"/>
    </row>
    <row r="1593" spans="1:3" x14ac:dyDescent="0.2">
      <c r="A1593" s="636"/>
      <c r="B1593" s="425"/>
      <c r="C1593" s="425"/>
    </row>
    <row r="1594" spans="1:3" x14ac:dyDescent="0.2">
      <c r="A1594" s="636"/>
      <c r="B1594" s="425"/>
      <c r="C1594" s="425"/>
    </row>
    <row r="1595" spans="1:3" x14ac:dyDescent="0.2">
      <c r="A1595" s="636"/>
      <c r="B1595" s="425"/>
      <c r="C1595" s="425"/>
    </row>
    <row r="1596" spans="1:3" x14ac:dyDescent="0.2">
      <c r="A1596" s="636"/>
      <c r="B1596" s="425"/>
      <c r="C1596" s="425"/>
    </row>
    <row r="1597" spans="1:3" x14ac:dyDescent="0.2">
      <c r="A1597" s="636"/>
      <c r="B1597" s="425"/>
      <c r="C1597" s="425"/>
    </row>
    <row r="1598" spans="1:3" x14ac:dyDescent="0.2">
      <c r="A1598" s="636"/>
      <c r="B1598" s="425"/>
      <c r="C1598" s="425"/>
    </row>
    <row r="1599" spans="1:3" x14ac:dyDescent="0.2">
      <c r="A1599" s="636"/>
      <c r="B1599" s="425"/>
      <c r="C1599" s="425"/>
    </row>
    <row r="1600" spans="1:3" x14ac:dyDescent="0.2">
      <c r="A1600" s="636"/>
      <c r="B1600" s="425"/>
      <c r="C1600" s="425"/>
    </row>
    <row r="1601" spans="1:3" x14ac:dyDescent="0.2">
      <c r="A1601" s="636"/>
      <c r="B1601" s="425"/>
      <c r="C1601" s="425"/>
    </row>
    <row r="1602" spans="1:3" x14ac:dyDescent="0.2">
      <c r="A1602" s="636"/>
      <c r="B1602" s="425"/>
      <c r="C1602" s="425"/>
    </row>
    <row r="1603" spans="1:3" x14ac:dyDescent="0.2">
      <c r="A1603" s="636"/>
      <c r="B1603" s="425"/>
      <c r="C1603" s="425"/>
    </row>
    <row r="1604" spans="1:3" x14ac:dyDescent="0.2">
      <c r="A1604" s="636"/>
      <c r="B1604" s="425"/>
      <c r="C1604" s="425"/>
    </row>
    <row r="1605" spans="1:3" x14ac:dyDescent="0.2">
      <c r="A1605" s="636"/>
      <c r="B1605" s="425"/>
      <c r="C1605" s="425"/>
    </row>
    <row r="1606" spans="1:3" x14ac:dyDescent="0.2">
      <c r="A1606" s="636"/>
      <c r="B1606" s="425"/>
      <c r="C1606" s="425"/>
    </row>
    <row r="1607" spans="1:3" x14ac:dyDescent="0.2">
      <c r="A1607" s="636"/>
      <c r="B1607" s="425"/>
      <c r="C1607" s="425"/>
    </row>
    <row r="1608" spans="1:3" x14ac:dyDescent="0.2">
      <c r="A1608" s="636"/>
      <c r="B1608" s="425"/>
      <c r="C1608" s="425"/>
    </row>
    <row r="1609" spans="1:3" x14ac:dyDescent="0.2">
      <c r="A1609" s="636"/>
      <c r="B1609" s="425"/>
      <c r="C1609" s="425"/>
    </row>
    <row r="1610" spans="1:3" x14ac:dyDescent="0.2">
      <c r="A1610" s="636"/>
      <c r="B1610" s="425"/>
      <c r="C1610" s="425"/>
    </row>
    <row r="1611" spans="1:3" x14ac:dyDescent="0.2">
      <c r="A1611" s="636"/>
      <c r="B1611" s="425"/>
      <c r="C1611" s="425"/>
    </row>
    <row r="1612" spans="1:3" x14ac:dyDescent="0.2">
      <c r="A1612" s="636"/>
      <c r="B1612" s="425"/>
      <c r="C1612" s="425"/>
    </row>
    <row r="1613" spans="1:3" x14ac:dyDescent="0.2">
      <c r="A1613" s="636"/>
      <c r="B1613" s="425"/>
      <c r="C1613" s="425"/>
    </row>
    <row r="1614" spans="1:3" x14ac:dyDescent="0.2">
      <c r="A1614" s="636"/>
      <c r="B1614" s="425"/>
      <c r="C1614" s="425"/>
    </row>
    <row r="1615" spans="1:3" x14ac:dyDescent="0.2">
      <c r="A1615" s="636"/>
      <c r="B1615" s="425"/>
      <c r="C1615" s="425"/>
    </row>
    <row r="1616" spans="1:3" x14ac:dyDescent="0.2">
      <c r="A1616" s="636"/>
      <c r="B1616" s="425"/>
      <c r="C1616" s="425"/>
    </row>
    <row r="1617" spans="1:3" x14ac:dyDescent="0.2">
      <c r="A1617" s="636"/>
      <c r="B1617" s="425"/>
      <c r="C1617" s="425"/>
    </row>
    <row r="1618" spans="1:3" x14ac:dyDescent="0.2">
      <c r="A1618" s="636"/>
      <c r="B1618" s="425"/>
      <c r="C1618" s="425"/>
    </row>
    <row r="1619" spans="1:3" x14ac:dyDescent="0.2">
      <c r="A1619" s="636"/>
      <c r="B1619" s="425"/>
      <c r="C1619" s="425"/>
    </row>
    <row r="1620" spans="1:3" x14ac:dyDescent="0.2">
      <c r="A1620" s="636"/>
      <c r="B1620" s="425"/>
      <c r="C1620" s="425"/>
    </row>
    <row r="1621" spans="1:3" x14ac:dyDescent="0.2">
      <c r="A1621" s="636"/>
      <c r="B1621" s="425"/>
      <c r="C1621" s="425"/>
    </row>
    <row r="1622" spans="1:3" x14ac:dyDescent="0.2">
      <c r="A1622" s="636"/>
      <c r="B1622" s="425"/>
      <c r="C1622" s="425"/>
    </row>
    <row r="1623" spans="1:3" x14ac:dyDescent="0.2">
      <c r="A1623" s="636"/>
      <c r="B1623" s="425"/>
      <c r="C1623" s="425"/>
    </row>
    <row r="1624" spans="1:3" x14ac:dyDescent="0.2">
      <c r="A1624" s="636"/>
      <c r="B1624" s="425"/>
      <c r="C1624" s="425"/>
    </row>
    <row r="1625" spans="1:3" x14ac:dyDescent="0.2">
      <c r="A1625" s="636"/>
      <c r="B1625" s="425"/>
      <c r="C1625" s="425"/>
    </row>
    <row r="1626" spans="1:3" x14ac:dyDescent="0.2">
      <c r="A1626" s="636"/>
      <c r="B1626" s="425"/>
      <c r="C1626" s="425"/>
    </row>
    <row r="1627" spans="1:3" x14ac:dyDescent="0.2">
      <c r="A1627" s="636"/>
      <c r="B1627" s="425"/>
      <c r="C1627" s="425"/>
    </row>
    <row r="1628" spans="1:3" x14ac:dyDescent="0.2">
      <c r="A1628" s="636"/>
      <c r="B1628" s="425"/>
      <c r="C1628" s="425"/>
    </row>
    <row r="1629" spans="1:3" x14ac:dyDescent="0.2">
      <c r="A1629" s="636"/>
      <c r="B1629" s="425"/>
      <c r="C1629" s="425"/>
    </row>
    <row r="1630" spans="1:3" x14ac:dyDescent="0.2">
      <c r="A1630" s="636"/>
      <c r="B1630" s="425"/>
      <c r="C1630" s="425"/>
    </row>
    <row r="1631" spans="1:3" x14ac:dyDescent="0.2">
      <c r="A1631" s="636"/>
      <c r="B1631" s="425"/>
      <c r="C1631" s="425"/>
    </row>
    <row r="1632" spans="1:3" x14ac:dyDescent="0.2">
      <c r="A1632" s="636"/>
      <c r="B1632" s="425"/>
      <c r="C1632" s="425"/>
    </row>
    <row r="1633" spans="1:3" x14ac:dyDescent="0.2">
      <c r="A1633" s="636"/>
      <c r="B1633" s="425"/>
      <c r="C1633" s="425"/>
    </row>
    <row r="1634" spans="1:3" x14ac:dyDescent="0.2">
      <c r="A1634" s="636"/>
      <c r="B1634" s="425"/>
      <c r="C1634" s="425"/>
    </row>
    <row r="1635" spans="1:3" x14ac:dyDescent="0.2">
      <c r="A1635" s="636"/>
      <c r="B1635" s="425"/>
      <c r="C1635" s="425"/>
    </row>
    <row r="1636" spans="1:3" x14ac:dyDescent="0.2">
      <c r="A1636" s="636"/>
      <c r="B1636" s="425"/>
      <c r="C1636" s="425"/>
    </row>
    <row r="1637" spans="1:3" x14ac:dyDescent="0.2">
      <c r="A1637" s="636"/>
      <c r="B1637" s="425"/>
      <c r="C1637" s="425"/>
    </row>
    <row r="1638" spans="1:3" x14ac:dyDescent="0.2">
      <c r="A1638" s="636"/>
      <c r="B1638" s="425"/>
      <c r="C1638" s="425"/>
    </row>
    <row r="1639" spans="1:3" x14ac:dyDescent="0.2">
      <c r="A1639" s="636"/>
      <c r="B1639" s="425"/>
      <c r="C1639" s="425"/>
    </row>
    <row r="1640" spans="1:3" x14ac:dyDescent="0.2">
      <c r="A1640" s="636"/>
      <c r="B1640" s="425"/>
      <c r="C1640" s="425"/>
    </row>
    <row r="1641" spans="1:3" x14ac:dyDescent="0.2">
      <c r="A1641" s="636"/>
      <c r="B1641" s="425"/>
      <c r="C1641" s="425"/>
    </row>
    <row r="1642" spans="1:3" x14ac:dyDescent="0.2">
      <c r="A1642" s="636"/>
      <c r="B1642" s="425"/>
      <c r="C1642" s="425"/>
    </row>
    <row r="1643" spans="1:3" x14ac:dyDescent="0.2">
      <c r="A1643" s="636"/>
      <c r="B1643" s="425"/>
      <c r="C1643" s="425"/>
    </row>
    <row r="1644" spans="1:3" x14ac:dyDescent="0.2">
      <c r="A1644" s="636"/>
      <c r="B1644" s="425"/>
      <c r="C1644" s="425"/>
    </row>
    <row r="1645" spans="1:3" x14ac:dyDescent="0.2">
      <c r="A1645" s="636"/>
      <c r="B1645" s="425"/>
      <c r="C1645" s="425"/>
    </row>
    <row r="1646" spans="1:3" x14ac:dyDescent="0.2">
      <c r="A1646" s="636"/>
      <c r="B1646" s="425"/>
      <c r="C1646" s="425"/>
    </row>
    <row r="1647" spans="1:3" x14ac:dyDescent="0.2">
      <c r="A1647" s="636"/>
      <c r="B1647" s="425"/>
      <c r="C1647" s="425"/>
    </row>
    <row r="1648" spans="1:3" x14ac:dyDescent="0.2">
      <c r="A1648" s="636"/>
      <c r="B1648" s="425"/>
      <c r="C1648" s="425"/>
    </row>
    <row r="1649" spans="1:3" x14ac:dyDescent="0.2">
      <c r="A1649" s="636"/>
      <c r="B1649" s="425"/>
      <c r="C1649" s="425"/>
    </row>
    <row r="1650" spans="1:3" x14ac:dyDescent="0.2">
      <c r="A1650" s="636"/>
      <c r="B1650" s="425"/>
      <c r="C1650" s="425"/>
    </row>
    <row r="1651" spans="1:3" x14ac:dyDescent="0.2">
      <c r="A1651" s="636"/>
      <c r="B1651" s="425"/>
      <c r="C1651" s="425"/>
    </row>
    <row r="1652" spans="1:3" x14ac:dyDescent="0.2">
      <c r="A1652" s="636"/>
      <c r="B1652" s="425"/>
      <c r="C1652" s="425"/>
    </row>
    <row r="1653" spans="1:3" x14ac:dyDescent="0.2">
      <c r="A1653" s="636"/>
      <c r="B1653" s="425"/>
      <c r="C1653" s="425"/>
    </row>
    <row r="1654" spans="1:3" x14ac:dyDescent="0.2">
      <c r="A1654" s="636"/>
      <c r="B1654" s="425"/>
      <c r="C1654" s="425"/>
    </row>
    <row r="1655" spans="1:3" x14ac:dyDescent="0.2">
      <c r="A1655" s="636"/>
      <c r="B1655" s="425"/>
      <c r="C1655" s="425"/>
    </row>
    <row r="1656" spans="1:3" x14ac:dyDescent="0.2">
      <c r="A1656" s="636"/>
      <c r="B1656" s="425"/>
      <c r="C1656" s="425"/>
    </row>
    <row r="1657" spans="1:3" x14ac:dyDescent="0.2">
      <c r="A1657" s="636"/>
      <c r="B1657" s="425"/>
      <c r="C1657" s="425"/>
    </row>
    <row r="1658" spans="1:3" x14ac:dyDescent="0.2">
      <c r="A1658" s="636"/>
      <c r="B1658" s="425"/>
      <c r="C1658" s="425"/>
    </row>
    <row r="1659" spans="1:3" x14ac:dyDescent="0.2">
      <c r="A1659" s="636"/>
      <c r="B1659" s="425"/>
      <c r="C1659" s="425"/>
    </row>
    <row r="1660" spans="1:3" x14ac:dyDescent="0.2">
      <c r="A1660" s="636"/>
      <c r="B1660" s="425"/>
      <c r="C1660" s="425"/>
    </row>
    <row r="1661" spans="1:3" x14ac:dyDescent="0.2">
      <c r="A1661" s="636"/>
      <c r="B1661" s="425"/>
      <c r="C1661" s="425"/>
    </row>
    <row r="1662" spans="1:3" x14ac:dyDescent="0.2">
      <c r="A1662" s="636"/>
      <c r="B1662" s="425"/>
      <c r="C1662" s="425"/>
    </row>
    <row r="1663" spans="1:3" x14ac:dyDescent="0.2">
      <c r="A1663" s="636"/>
      <c r="B1663" s="425"/>
      <c r="C1663" s="425"/>
    </row>
    <row r="1664" spans="1:3" x14ac:dyDescent="0.2">
      <c r="A1664" s="636"/>
      <c r="B1664" s="425"/>
      <c r="C1664" s="425"/>
    </row>
    <row r="1665" spans="1:3" x14ac:dyDescent="0.2">
      <c r="A1665" s="636"/>
      <c r="B1665" s="425"/>
      <c r="C1665" s="425"/>
    </row>
    <row r="1666" spans="1:3" x14ac:dyDescent="0.2">
      <c r="A1666" s="636"/>
      <c r="B1666" s="425"/>
      <c r="C1666" s="425"/>
    </row>
    <row r="1667" spans="1:3" x14ac:dyDescent="0.2">
      <c r="A1667" s="636"/>
      <c r="B1667" s="425"/>
      <c r="C1667" s="425"/>
    </row>
    <row r="1668" spans="1:3" x14ac:dyDescent="0.2">
      <c r="A1668" s="636"/>
      <c r="B1668" s="425"/>
      <c r="C1668" s="425"/>
    </row>
    <row r="1669" spans="1:3" x14ac:dyDescent="0.2">
      <c r="A1669" s="636"/>
      <c r="B1669" s="425"/>
      <c r="C1669" s="425"/>
    </row>
    <row r="1670" spans="1:3" x14ac:dyDescent="0.2">
      <c r="A1670" s="636"/>
      <c r="B1670" s="425"/>
      <c r="C1670" s="425"/>
    </row>
    <row r="1671" spans="1:3" x14ac:dyDescent="0.2">
      <c r="A1671" s="636"/>
      <c r="B1671" s="425"/>
      <c r="C1671" s="425"/>
    </row>
    <row r="1672" spans="1:3" x14ac:dyDescent="0.2">
      <c r="A1672" s="636"/>
      <c r="B1672" s="425"/>
      <c r="C1672" s="425"/>
    </row>
    <row r="1673" spans="1:3" x14ac:dyDescent="0.2">
      <c r="A1673" s="636"/>
      <c r="B1673" s="425"/>
      <c r="C1673" s="425"/>
    </row>
    <row r="1674" spans="1:3" x14ac:dyDescent="0.2">
      <c r="A1674" s="636"/>
      <c r="B1674" s="425"/>
      <c r="C1674" s="425"/>
    </row>
    <row r="1675" spans="1:3" x14ac:dyDescent="0.2">
      <c r="A1675" s="636"/>
      <c r="B1675" s="425"/>
      <c r="C1675" s="425"/>
    </row>
    <row r="1676" spans="1:3" x14ac:dyDescent="0.2">
      <c r="A1676" s="636"/>
      <c r="B1676" s="425"/>
      <c r="C1676" s="425"/>
    </row>
    <row r="1677" spans="1:3" x14ac:dyDescent="0.2">
      <c r="A1677" s="636"/>
      <c r="B1677" s="425"/>
      <c r="C1677" s="425"/>
    </row>
    <row r="1678" spans="1:3" x14ac:dyDescent="0.2">
      <c r="A1678" s="636"/>
      <c r="B1678" s="425"/>
      <c r="C1678" s="425"/>
    </row>
    <row r="1679" spans="1:3" x14ac:dyDescent="0.2">
      <c r="A1679" s="636"/>
      <c r="B1679" s="425"/>
      <c r="C1679" s="425"/>
    </row>
    <row r="1680" spans="1:3" x14ac:dyDescent="0.2">
      <c r="A1680" s="636"/>
      <c r="B1680" s="425"/>
      <c r="C1680" s="425"/>
    </row>
    <row r="1681" spans="1:3" x14ac:dyDescent="0.2">
      <c r="A1681" s="636"/>
      <c r="B1681" s="425"/>
      <c r="C1681" s="425"/>
    </row>
    <row r="1682" spans="1:3" x14ac:dyDescent="0.2">
      <c r="A1682" s="636"/>
      <c r="B1682" s="425"/>
      <c r="C1682" s="425"/>
    </row>
    <row r="1683" spans="1:3" x14ac:dyDescent="0.2">
      <c r="A1683" s="636"/>
      <c r="B1683" s="425"/>
      <c r="C1683" s="425"/>
    </row>
    <row r="1684" spans="1:3" x14ac:dyDescent="0.2">
      <c r="A1684" s="636"/>
      <c r="B1684" s="425"/>
      <c r="C1684" s="425"/>
    </row>
    <row r="1685" spans="1:3" x14ac:dyDescent="0.2">
      <c r="A1685" s="636"/>
      <c r="B1685" s="425"/>
      <c r="C1685" s="425"/>
    </row>
    <row r="1686" spans="1:3" x14ac:dyDescent="0.2">
      <c r="A1686" s="636"/>
      <c r="B1686" s="425"/>
      <c r="C1686" s="425"/>
    </row>
    <row r="1687" spans="1:3" x14ac:dyDescent="0.2">
      <c r="A1687" s="636"/>
      <c r="B1687" s="425"/>
      <c r="C1687" s="425"/>
    </row>
    <row r="1688" spans="1:3" x14ac:dyDescent="0.2">
      <c r="A1688" s="636"/>
      <c r="B1688" s="425"/>
      <c r="C1688" s="425"/>
    </row>
    <row r="1689" spans="1:3" x14ac:dyDescent="0.2">
      <c r="A1689" s="636"/>
      <c r="B1689" s="425"/>
      <c r="C1689" s="425"/>
    </row>
    <row r="1690" spans="1:3" x14ac:dyDescent="0.2">
      <c r="A1690" s="636"/>
      <c r="B1690" s="425"/>
      <c r="C1690" s="425"/>
    </row>
    <row r="1691" spans="1:3" x14ac:dyDescent="0.2">
      <c r="A1691" s="636"/>
      <c r="B1691" s="425"/>
      <c r="C1691" s="425"/>
    </row>
    <row r="1692" spans="1:3" x14ac:dyDescent="0.2">
      <c r="A1692" s="636"/>
      <c r="B1692" s="425"/>
      <c r="C1692" s="425"/>
    </row>
    <row r="1693" spans="1:3" x14ac:dyDescent="0.2">
      <c r="A1693" s="636"/>
      <c r="B1693" s="425"/>
      <c r="C1693" s="425"/>
    </row>
    <row r="1694" spans="1:3" x14ac:dyDescent="0.2">
      <c r="A1694" s="636"/>
      <c r="B1694" s="425"/>
      <c r="C1694" s="425"/>
    </row>
    <row r="1695" spans="1:3" x14ac:dyDescent="0.2">
      <c r="A1695" s="636"/>
      <c r="B1695" s="425"/>
      <c r="C1695" s="425"/>
    </row>
    <row r="1696" spans="1:3" x14ac:dyDescent="0.2">
      <c r="A1696" s="636"/>
      <c r="B1696" s="425"/>
      <c r="C1696" s="425"/>
    </row>
    <row r="1697" spans="1:3" x14ac:dyDescent="0.2">
      <c r="A1697" s="636"/>
      <c r="B1697" s="425"/>
      <c r="C1697" s="425"/>
    </row>
    <row r="1698" spans="1:3" x14ac:dyDescent="0.2">
      <c r="A1698" s="636"/>
      <c r="B1698" s="425"/>
      <c r="C1698" s="425"/>
    </row>
    <row r="1699" spans="1:3" x14ac:dyDescent="0.2">
      <c r="A1699" s="636"/>
      <c r="B1699" s="425"/>
      <c r="C1699" s="425"/>
    </row>
    <row r="1700" spans="1:3" x14ac:dyDescent="0.2">
      <c r="A1700" s="636"/>
      <c r="B1700" s="425"/>
      <c r="C1700" s="425"/>
    </row>
    <row r="1701" spans="1:3" x14ac:dyDescent="0.2">
      <c r="A1701" s="636"/>
      <c r="B1701" s="425"/>
      <c r="C1701" s="425"/>
    </row>
    <row r="1702" spans="1:3" x14ac:dyDescent="0.2">
      <c r="A1702" s="636"/>
      <c r="B1702" s="425"/>
      <c r="C1702" s="425"/>
    </row>
    <row r="1703" spans="1:3" x14ac:dyDescent="0.2">
      <c r="A1703" s="636"/>
      <c r="B1703" s="425"/>
      <c r="C1703" s="425"/>
    </row>
    <row r="1704" spans="1:3" x14ac:dyDescent="0.2">
      <c r="A1704" s="636"/>
      <c r="B1704" s="425"/>
      <c r="C1704" s="425"/>
    </row>
    <row r="1705" spans="1:3" x14ac:dyDescent="0.2">
      <c r="A1705" s="636"/>
      <c r="B1705" s="425"/>
      <c r="C1705" s="425"/>
    </row>
    <row r="1706" spans="1:3" x14ac:dyDescent="0.2">
      <c r="A1706" s="636"/>
      <c r="B1706" s="425"/>
      <c r="C1706" s="425"/>
    </row>
    <row r="1707" spans="1:3" x14ac:dyDescent="0.2">
      <c r="A1707" s="636"/>
      <c r="B1707" s="425"/>
      <c r="C1707" s="425"/>
    </row>
    <row r="1708" spans="1:3" x14ac:dyDescent="0.2">
      <c r="A1708" s="636"/>
      <c r="B1708" s="425"/>
      <c r="C1708" s="425"/>
    </row>
    <row r="1709" spans="1:3" x14ac:dyDescent="0.2">
      <c r="A1709" s="636"/>
      <c r="B1709" s="425"/>
      <c r="C1709" s="425"/>
    </row>
    <row r="1710" spans="1:3" x14ac:dyDescent="0.2">
      <c r="A1710" s="636"/>
      <c r="B1710" s="425"/>
      <c r="C1710" s="425"/>
    </row>
    <row r="1711" spans="1:3" x14ac:dyDescent="0.2">
      <c r="A1711" s="636"/>
      <c r="B1711" s="425"/>
      <c r="C1711" s="425"/>
    </row>
    <row r="1712" spans="1:3" x14ac:dyDescent="0.2">
      <c r="A1712" s="636"/>
      <c r="B1712" s="425"/>
      <c r="C1712" s="425"/>
    </row>
    <row r="1713" spans="1:3" x14ac:dyDescent="0.2">
      <c r="A1713" s="636"/>
      <c r="B1713" s="425"/>
      <c r="C1713" s="425"/>
    </row>
    <row r="1714" spans="1:3" x14ac:dyDescent="0.2">
      <c r="A1714" s="636"/>
      <c r="B1714" s="425"/>
      <c r="C1714" s="425"/>
    </row>
    <row r="1715" spans="1:3" x14ac:dyDescent="0.2">
      <c r="A1715" s="636"/>
      <c r="B1715" s="425"/>
      <c r="C1715" s="425"/>
    </row>
    <row r="1716" spans="1:3" x14ac:dyDescent="0.2">
      <c r="A1716" s="636"/>
      <c r="B1716" s="425"/>
      <c r="C1716" s="425"/>
    </row>
    <row r="1717" spans="1:3" x14ac:dyDescent="0.2">
      <c r="A1717" s="636"/>
      <c r="B1717" s="425"/>
      <c r="C1717" s="425"/>
    </row>
    <row r="1718" spans="1:3" x14ac:dyDescent="0.2">
      <c r="A1718" s="636"/>
      <c r="B1718" s="425"/>
      <c r="C1718" s="425"/>
    </row>
    <row r="1719" spans="1:3" x14ac:dyDescent="0.2">
      <c r="A1719" s="636"/>
      <c r="B1719" s="425"/>
      <c r="C1719" s="425"/>
    </row>
    <row r="1720" spans="1:3" x14ac:dyDescent="0.2">
      <c r="A1720" s="636"/>
      <c r="B1720" s="425"/>
      <c r="C1720" s="425"/>
    </row>
    <row r="1721" spans="1:3" x14ac:dyDescent="0.2">
      <c r="A1721" s="636"/>
      <c r="B1721" s="425"/>
      <c r="C1721" s="425"/>
    </row>
    <row r="1722" spans="1:3" x14ac:dyDescent="0.2">
      <c r="A1722" s="636"/>
      <c r="B1722" s="425"/>
      <c r="C1722" s="425"/>
    </row>
    <row r="1723" spans="1:3" x14ac:dyDescent="0.2">
      <c r="A1723" s="636"/>
      <c r="B1723" s="425"/>
      <c r="C1723" s="425"/>
    </row>
    <row r="1724" spans="1:3" x14ac:dyDescent="0.2">
      <c r="A1724" s="636"/>
      <c r="B1724" s="425"/>
      <c r="C1724" s="425"/>
    </row>
    <row r="1725" spans="1:3" x14ac:dyDescent="0.2">
      <c r="A1725" s="636"/>
      <c r="B1725" s="425"/>
      <c r="C1725" s="425"/>
    </row>
    <row r="1726" spans="1:3" x14ac:dyDescent="0.2">
      <c r="A1726" s="636"/>
      <c r="B1726" s="425"/>
      <c r="C1726" s="425"/>
    </row>
    <row r="1727" spans="1:3" x14ac:dyDescent="0.2">
      <c r="A1727" s="636"/>
      <c r="B1727" s="425"/>
      <c r="C1727" s="425"/>
    </row>
    <row r="1728" spans="1:3" x14ac:dyDescent="0.2">
      <c r="A1728" s="636"/>
      <c r="B1728" s="425"/>
      <c r="C1728" s="425"/>
    </row>
    <row r="1729" spans="1:3" x14ac:dyDescent="0.2">
      <c r="A1729" s="636"/>
      <c r="B1729" s="425"/>
      <c r="C1729" s="425"/>
    </row>
    <row r="1730" spans="1:3" x14ac:dyDescent="0.2">
      <c r="A1730" s="636"/>
      <c r="B1730" s="425"/>
      <c r="C1730" s="425"/>
    </row>
    <row r="1731" spans="1:3" x14ac:dyDescent="0.2">
      <c r="A1731" s="636"/>
      <c r="B1731" s="425"/>
      <c r="C1731" s="425"/>
    </row>
    <row r="1732" spans="1:3" x14ac:dyDescent="0.2">
      <c r="A1732" s="636"/>
      <c r="B1732" s="425"/>
      <c r="C1732" s="425"/>
    </row>
    <row r="1733" spans="1:3" x14ac:dyDescent="0.2">
      <c r="A1733" s="636"/>
      <c r="B1733" s="425"/>
      <c r="C1733" s="425"/>
    </row>
    <row r="1734" spans="1:3" x14ac:dyDescent="0.2">
      <c r="A1734" s="636"/>
      <c r="B1734" s="425"/>
      <c r="C1734" s="425"/>
    </row>
    <row r="1735" spans="1:3" x14ac:dyDescent="0.2">
      <c r="A1735" s="636"/>
      <c r="B1735" s="425"/>
      <c r="C1735" s="425"/>
    </row>
    <row r="1736" spans="1:3" x14ac:dyDescent="0.2">
      <c r="A1736" s="636"/>
      <c r="B1736" s="425"/>
      <c r="C1736" s="425"/>
    </row>
    <row r="1737" spans="1:3" x14ac:dyDescent="0.2">
      <c r="A1737" s="636"/>
      <c r="B1737" s="425"/>
      <c r="C1737" s="425"/>
    </row>
    <row r="1738" spans="1:3" x14ac:dyDescent="0.2">
      <c r="A1738" s="636"/>
      <c r="B1738" s="425"/>
      <c r="C1738" s="425"/>
    </row>
    <row r="1739" spans="1:3" x14ac:dyDescent="0.2">
      <c r="A1739" s="636"/>
      <c r="B1739" s="425"/>
      <c r="C1739" s="425"/>
    </row>
    <row r="1740" spans="1:3" x14ac:dyDescent="0.2">
      <c r="A1740" s="636"/>
      <c r="B1740" s="425"/>
      <c r="C1740" s="425"/>
    </row>
    <row r="1741" spans="1:3" x14ac:dyDescent="0.2">
      <c r="A1741" s="636"/>
      <c r="B1741" s="425"/>
      <c r="C1741" s="425"/>
    </row>
    <row r="1742" spans="1:3" x14ac:dyDescent="0.2">
      <c r="A1742" s="636"/>
      <c r="B1742" s="425"/>
      <c r="C1742" s="425"/>
    </row>
    <row r="1743" spans="1:3" x14ac:dyDescent="0.2">
      <c r="A1743" s="636"/>
      <c r="B1743" s="425"/>
      <c r="C1743" s="425"/>
    </row>
    <row r="1744" spans="1:3" x14ac:dyDescent="0.2">
      <c r="A1744" s="636"/>
      <c r="B1744" s="425"/>
      <c r="C1744" s="425"/>
    </row>
    <row r="1745" spans="1:3" x14ac:dyDescent="0.2">
      <c r="A1745" s="636"/>
      <c r="B1745" s="425"/>
      <c r="C1745" s="425"/>
    </row>
    <row r="1746" spans="1:3" x14ac:dyDescent="0.2">
      <c r="A1746" s="636"/>
      <c r="B1746" s="425"/>
      <c r="C1746" s="425"/>
    </row>
    <row r="1747" spans="1:3" x14ac:dyDescent="0.2">
      <c r="A1747" s="636"/>
      <c r="B1747" s="425"/>
      <c r="C1747" s="425"/>
    </row>
    <row r="1748" spans="1:3" x14ac:dyDescent="0.2">
      <c r="A1748" s="636"/>
      <c r="B1748" s="425"/>
      <c r="C1748" s="425"/>
    </row>
    <row r="1749" spans="1:3" x14ac:dyDescent="0.2">
      <c r="A1749" s="636"/>
      <c r="B1749" s="425"/>
      <c r="C1749" s="425"/>
    </row>
    <row r="1750" spans="1:3" x14ac:dyDescent="0.2">
      <c r="A1750" s="636"/>
      <c r="B1750" s="425"/>
      <c r="C1750" s="425"/>
    </row>
    <row r="1751" spans="1:3" x14ac:dyDescent="0.2">
      <c r="A1751" s="636"/>
      <c r="B1751" s="425"/>
      <c r="C1751" s="425"/>
    </row>
    <row r="1752" spans="1:3" x14ac:dyDescent="0.2">
      <c r="A1752" s="636"/>
      <c r="B1752" s="425"/>
      <c r="C1752" s="425"/>
    </row>
    <row r="1753" spans="1:3" x14ac:dyDescent="0.2">
      <c r="A1753" s="636"/>
      <c r="B1753" s="425"/>
      <c r="C1753" s="425"/>
    </row>
    <row r="1754" spans="1:3" x14ac:dyDescent="0.2">
      <c r="A1754" s="636"/>
      <c r="B1754" s="425"/>
      <c r="C1754" s="425"/>
    </row>
    <row r="1755" spans="1:3" x14ac:dyDescent="0.2">
      <c r="A1755" s="636"/>
      <c r="B1755" s="425"/>
      <c r="C1755" s="425"/>
    </row>
    <row r="1756" spans="1:3" x14ac:dyDescent="0.2">
      <c r="A1756" s="636"/>
      <c r="B1756" s="425"/>
      <c r="C1756" s="425"/>
    </row>
    <row r="1757" spans="1:3" x14ac:dyDescent="0.2">
      <c r="A1757" s="636"/>
      <c r="B1757" s="425"/>
      <c r="C1757" s="425"/>
    </row>
    <row r="1758" spans="1:3" x14ac:dyDescent="0.2">
      <c r="A1758" s="636"/>
      <c r="B1758" s="425"/>
      <c r="C1758" s="425"/>
    </row>
    <row r="1759" spans="1:3" x14ac:dyDescent="0.2">
      <c r="A1759" s="636"/>
      <c r="B1759" s="425"/>
      <c r="C1759" s="425"/>
    </row>
    <row r="1760" spans="1:3" x14ac:dyDescent="0.2">
      <c r="A1760" s="636"/>
      <c r="B1760" s="425"/>
      <c r="C1760" s="425"/>
    </row>
    <row r="1761" spans="1:3" x14ac:dyDescent="0.2">
      <c r="A1761" s="636"/>
      <c r="B1761" s="425"/>
      <c r="C1761" s="425"/>
    </row>
    <row r="1762" spans="1:3" x14ac:dyDescent="0.2">
      <c r="A1762" s="636"/>
      <c r="B1762" s="425"/>
      <c r="C1762" s="425"/>
    </row>
    <row r="1763" spans="1:3" x14ac:dyDescent="0.2">
      <c r="A1763" s="636"/>
      <c r="B1763" s="425"/>
      <c r="C1763" s="425"/>
    </row>
    <row r="1764" spans="1:3" x14ac:dyDescent="0.2">
      <c r="A1764" s="636"/>
      <c r="B1764" s="425"/>
      <c r="C1764" s="425"/>
    </row>
    <row r="1765" spans="1:3" x14ac:dyDescent="0.2">
      <c r="A1765" s="636"/>
      <c r="B1765" s="425"/>
      <c r="C1765" s="425"/>
    </row>
    <row r="1766" spans="1:3" x14ac:dyDescent="0.2">
      <c r="A1766" s="636"/>
      <c r="B1766" s="425"/>
      <c r="C1766" s="425"/>
    </row>
    <row r="1767" spans="1:3" x14ac:dyDescent="0.2">
      <c r="A1767" s="636"/>
      <c r="B1767" s="425"/>
      <c r="C1767" s="425"/>
    </row>
    <row r="1768" spans="1:3" x14ac:dyDescent="0.2">
      <c r="A1768" s="636"/>
      <c r="B1768" s="425"/>
      <c r="C1768" s="425"/>
    </row>
    <row r="1769" spans="1:3" x14ac:dyDescent="0.2">
      <c r="A1769" s="636"/>
      <c r="B1769" s="425"/>
      <c r="C1769" s="425"/>
    </row>
    <row r="1770" spans="1:3" x14ac:dyDescent="0.2">
      <c r="A1770" s="636"/>
      <c r="B1770" s="425"/>
      <c r="C1770" s="425"/>
    </row>
    <row r="1771" spans="1:3" x14ac:dyDescent="0.2">
      <c r="A1771" s="636"/>
      <c r="B1771" s="425"/>
      <c r="C1771" s="425"/>
    </row>
    <row r="1772" spans="1:3" x14ac:dyDescent="0.2">
      <c r="A1772" s="636"/>
      <c r="B1772" s="425"/>
      <c r="C1772" s="425"/>
    </row>
    <row r="1773" spans="1:3" x14ac:dyDescent="0.2">
      <c r="A1773" s="636"/>
      <c r="B1773" s="425"/>
      <c r="C1773" s="425"/>
    </row>
    <row r="1774" spans="1:3" x14ac:dyDescent="0.2">
      <c r="A1774" s="636"/>
      <c r="B1774" s="425"/>
      <c r="C1774" s="425"/>
    </row>
    <row r="1775" spans="1:3" x14ac:dyDescent="0.2">
      <c r="A1775" s="636"/>
      <c r="B1775" s="425"/>
      <c r="C1775" s="425"/>
    </row>
    <row r="1776" spans="1:3" x14ac:dyDescent="0.2">
      <c r="A1776" s="636"/>
      <c r="B1776" s="425"/>
      <c r="C1776" s="425"/>
    </row>
    <row r="1777" spans="1:3" x14ac:dyDescent="0.2">
      <c r="A1777" s="636"/>
      <c r="B1777" s="425"/>
      <c r="C1777" s="425"/>
    </row>
    <row r="1778" spans="1:3" x14ac:dyDescent="0.2">
      <c r="A1778" s="636"/>
      <c r="B1778" s="425"/>
      <c r="C1778" s="425"/>
    </row>
    <row r="1779" spans="1:3" x14ac:dyDescent="0.2">
      <c r="A1779" s="636"/>
      <c r="B1779" s="425"/>
      <c r="C1779" s="425"/>
    </row>
    <row r="1780" spans="1:3" x14ac:dyDescent="0.2">
      <c r="A1780" s="636"/>
      <c r="B1780" s="425"/>
      <c r="C1780" s="425"/>
    </row>
    <row r="1781" spans="1:3" x14ac:dyDescent="0.2">
      <c r="A1781" s="636"/>
      <c r="B1781" s="425"/>
      <c r="C1781" s="425"/>
    </row>
    <row r="1782" spans="1:3" x14ac:dyDescent="0.2">
      <c r="A1782" s="636"/>
      <c r="B1782" s="425"/>
      <c r="C1782" s="425"/>
    </row>
    <row r="1783" spans="1:3" x14ac:dyDescent="0.2">
      <c r="A1783" s="636"/>
      <c r="B1783" s="425"/>
      <c r="C1783" s="425"/>
    </row>
    <row r="1784" spans="1:3" x14ac:dyDescent="0.2">
      <c r="A1784" s="636"/>
      <c r="B1784" s="425"/>
      <c r="C1784" s="425"/>
    </row>
    <row r="1785" spans="1:3" x14ac:dyDescent="0.2">
      <c r="A1785" s="636"/>
      <c r="B1785" s="425"/>
      <c r="C1785" s="425"/>
    </row>
    <row r="1786" spans="1:3" x14ac:dyDescent="0.2">
      <c r="A1786" s="636"/>
      <c r="B1786" s="425"/>
      <c r="C1786" s="425"/>
    </row>
    <row r="1787" spans="1:3" x14ac:dyDescent="0.2">
      <c r="A1787" s="636"/>
      <c r="B1787" s="425"/>
      <c r="C1787" s="425"/>
    </row>
    <row r="1788" spans="1:3" x14ac:dyDescent="0.2">
      <c r="A1788" s="636"/>
      <c r="B1788" s="425"/>
      <c r="C1788" s="425"/>
    </row>
    <row r="1789" spans="1:3" x14ac:dyDescent="0.2">
      <c r="A1789" s="636"/>
      <c r="B1789" s="425"/>
      <c r="C1789" s="425"/>
    </row>
    <row r="1790" spans="1:3" x14ac:dyDescent="0.2">
      <c r="A1790" s="636"/>
      <c r="B1790" s="425"/>
      <c r="C1790" s="425"/>
    </row>
    <row r="1791" spans="1:3" x14ac:dyDescent="0.2">
      <c r="A1791" s="636"/>
      <c r="B1791" s="425"/>
      <c r="C1791" s="425"/>
    </row>
    <row r="1792" spans="1:3" x14ac:dyDescent="0.2">
      <c r="A1792" s="636"/>
      <c r="B1792" s="425"/>
      <c r="C1792" s="425"/>
    </row>
    <row r="1793" spans="1:3" x14ac:dyDescent="0.2">
      <c r="A1793" s="636"/>
      <c r="B1793" s="425"/>
      <c r="C1793" s="425"/>
    </row>
    <row r="1794" spans="1:3" x14ac:dyDescent="0.2">
      <c r="A1794" s="636"/>
      <c r="B1794" s="425"/>
      <c r="C1794" s="425"/>
    </row>
    <row r="1795" spans="1:3" x14ac:dyDescent="0.2">
      <c r="A1795" s="636"/>
      <c r="B1795" s="425"/>
      <c r="C1795" s="425"/>
    </row>
    <row r="1796" spans="1:3" x14ac:dyDescent="0.2">
      <c r="A1796" s="636"/>
      <c r="B1796" s="425"/>
      <c r="C1796" s="425"/>
    </row>
    <row r="1797" spans="1:3" x14ac:dyDescent="0.2">
      <c r="A1797" s="636"/>
      <c r="B1797" s="425"/>
      <c r="C1797" s="425"/>
    </row>
    <row r="1798" spans="1:3" x14ac:dyDescent="0.2">
      <c r="A1798" s="636"/>
      <c r="B1798" s="425"/>
      <c r="C1798" s="425"/>
    </row>
    <row r="1799" spans="1:3" x14ac:dyDescent="0.2">
      <c r="A1799" s="636"/>
      <c r="B1799" s="425"/>
      <c r="C1799" s="425"/>
    </row>
    <row r="1800" spans="1:3" x14ac:dyDescent="0.2">
      <c r="A1800" s="636"/>
      <c r="B1800" s="425"/>
      <c r="C1800" s="425"/>
    </row>
    <row r="1801" spans="1:3" x14ac:dyDescent="0.2">
      <c r="A1801" s="636"/>
      <c r="B1801" s="425"/>
      <c r="C1801" s="425"/>
    </row>
    <row r="1802" spans="1:3" x14ac:dyDescent="0.2">
      <c r="A1802" s="636"/>
      <c r="B1802" s="425"/>
      <c r="C1802" s="425"/>
    </row>
    <row r="1803" spans="1:3" x14ac:dyDescent="0.2">
      <c r="A1803" s="636"/>
      <c r="B1803" s="425"/>
      <c r="C1803" s="425"/>
    </row>
    <row r="1804" spans="1:3" x14ac:dyDescent="0.2">
      <c r="A1804" s="636"/>
      <c r="B1804" s="425"/>
      <c r="C1804" s="425"/>
    </row>
    <row r="1805" spans="1:3" x14ac:dyDescent="0.2">
      <c r="A1805" s="636"/>
      <c r="B1805" s="425"/>
      <c r="C1805" s="425"/>
    </row>
    <row r="1806" spans="1:3" x14ac:dyDescent="0.2">
      <c r="A1806" s="636"/>
      <c r="B1806" s="425"/>
      <c r="C1806" s="425"/>
    </row>
    <row r="1807" spans="1:3" x14ac:dyDescent="0.2">
      <c r="A1807" s="636"/>
      <c r="B1807" s="425"/>
      <c r="C1807" s="425"/>
    </row>
    <row r="1808" spans="1:3" x14ac:dyDescent="0.2">
      <c r="A1808" s="636"/>
      <c r="B1808" s="425"/>
      <c r="C1808" s="425"/>
    </row>
    <row r="1809" spans="1:3" x14ac:dyDescent="0.2">
      <c r="A1809" s="636"/>
      <c r="B1809" s="425"/>
      <c r="C1809" s="425"/>
    </row>
    <row r="1810" spans="1:3" x14ac:dyDescent="0.2">
      <c r="A1810" s="636"/>
      <c r="B1810" s="425"/>
      <c r="C1810" s="425"/>
    </row>
    <row r="1811" spans="1:3" x14ac:dyDescent="0.2">
      <c r="A1811" s="636"/>
      <c r="B1811" s="425"/>
      <c r="C1811" s="425"/>
    </row>
    <row r="1812" spans="1:3" x14ac:dyDescent="0.2">
      <c r="A1812" s="636"/>
      <c r="B1812" s="425"/>
      <c r="C1812" s="425"/>
    </row>
    <row r="1813" spans="1:3" x14ac:dyDescent="0.2">
      <c r="A1813" s="636"/>
      <c r="B1813" s="425"/>
      <c r="C1813" s="425"/>
    </row>
    <row r="1814" spans="1:3" x14ac:dyDescent="0.2">
      <c r="A1814" s="636"/>
      <c r="B1814" s="425"/>
      <c r="C1814" s="425"/>
    </row>
    <row r="1815" spans="1:3" x14ac:dyDescent="0.2">
      <c r="A1815" s="636"/>
      <c r="B1815" s="425"/>
      <c r="C1815" s="425"/>
    </row>
    <row r="1816" spans="1:3" x14ac:dyDescent="0.2">
      <c r="A1816" s="636"/>
      <c r="B1816" s="425"/>
      <c r="C1816" s="425"/>
    </row>
    <row r="1817" spans="1:3" x14ac:dyDescent="0.2">
      <c r="A1817" s="636"/>
      <c r="B1817" s="425"/>
      <c r="C1817" s="425"/>
    </row>
    <row r="1818" spans="1:3" x14ac:dyDescent="0.2">
      <c r="A1818" s="636"/>
      <c r="B1818" s="425"/>
      <c r="C1818" s="425"/>
    </row>
    <row r="1819" spans="1:3" x14ac:dyDescent="0.2">
      <c r="A1819" s="636"/>
      <c r="B1819" s="425"/>
      <c r="C1819" s="425"/>
    </row>
    <row r="1820" spans="1:3" x14ac:dyDescent="0.2">
      <c r="A1820" s="636"/>
      <c r="B1820" s="425"/>
      <c r="C1820" s="425"/>
    </row>
    <row r="1821" spans="1:3" x14ac:dyDescent="0.2">
      <c r="A1821" s="636"/>
      <c r="B1821" s="425"/>
      <c r="C1821" s="425"/>
    </row>
    <row r="1822" spans="1:3" x14ac:dyDescent="0.2">
      <c r="A1822" s="636"/>
      <c r="B1822" s="425"/>
      <c r="C1822" s="425"/>
    </row>
    <row r="1823" spans="1:3" x14ac:dyDescent="0.2">
      <c r="A1823" s="636"/>
      <c r="B1823" s="425"/>
      <c r="C1823" s="425"/>
    </row>
    <row r="1824" spans="1:3" x14ac:dyDescent="0.2">
      <c r="A1824" s="636"/>
      <c r="B1824" s="425"/>
      <c r="C1824" s="425"/>
    </row>
    <row r="1825" spans="1:3" x14ac:dyDescent="0.2">
      <c r="A1825" s="636"/>
      <c r="B1825" s="425"/>
      <c r="C1825" s="425"/>
    </row>
    <row r="1826" spans="1:3" x14ac:dyDescent="0.2">
      <c r="A1826" s="636"/>
      <c r="B1826" s="425"/>
      <c r="C1826" s="425"/>
    </row>
    <row r="1827" spans="1:3" x14ac:dyDescent="0.2">
      <c r="A1827" s="636"/>
      <c r="B1827" s="425"/>
      <c r="C1827" s="425"/>
    </row>
    <row r="1828" spans="1:3" x14ac:dyDescent="0.2">
      <c r="A1828" s="636"/>
      <c r="B1828" s="425"/>
      <c r="C1828" s="425"/>
    </row>
    <row r="1829" spans="1:3" x14ac:dyDescent="0.2">
      <c r="A1829" s="636"/>
      <c r="B1829" s="425"/>
      <c r="C1829" s="425"/>
    </row>
    <row r="1830" spans="1:3" x14ac:dyDescent="0.2">
      <c r="A1830" s="636"/>
      <c r="B1830" s="425"/>
      <c r="C1830" s="425"/>
    </row>
    <row r="1831" spans="1:3" x14ac:dyDescent="0.2">
      <c r="A1831" s="636"/>
      <c r="B1831" s="425"/>
      <c r="C1831" s="425"/>
    </row>
    <row r="1832" spans="1:3" x14ac:dyDescent="0.2">
      <c r="A1832" s="636"/>
      <c r="B1832" s="425"/>
      <c r="C1832" s="425"/>
    </row>
    <row r="1833" spans="1:3" x14ac:dyDescent="0.2">
      <c r="A1833" s="636"/>
      <c r="B1833" s="425"/>
      <c r="C1833" s="425"/>
    </row>
    <row r="1834" spans="1:3" x14ac:dyDescent="0.2">
      <c r="A1834" s="636"/>
      <c r="B1834" s="425"/>
      <c r="C1834" s="425"/>
    </row>
    <row r="1835" spans="1:3" x14ac:dyDescent="0.2">
      <c r="A1835" s="636"/>
      <c r="B1835" s="425"/>
      <c r="C1835" s="425"/>
    </row>
    <row r="1836" spans="1:3" x14ac:dyDescent="0.2">
      <c r="A1836" s="636"/>
      <c r="B1836" s="425"/>
      <c r="C1836" s="425"/>
    </row>
    <row r="1837" spans="1:3" x14ac:dyDescent="0.2">
      <c r="A1837" s="636"/>
      <c r="B1837" s="425"/>
      <c r="C1837" s="425"/>
    </row>
    <row r="1838" spans="1:3" x14ac:dyDescent="0.2">
      <c r="A1838" s="636"/>
      <c r="B1838" s="425"/>
      <c r="C1838" s="425"/>
    </row>
    <row r="1839" spans="1:3" x14ac:dyDescent="0.2">
      <c r="A1839" s="636"/>
      <c r="B1839" s="425"/>
      <c r="C1839" s="425"/>
    </row>
    <row r="1840" spans="1:3" x14ac:dyDescent="0.2">
      <c r="A1840" s="636"/>
      <c r="B1840" s="425"/>
      <c r="C1840" s="425"/>
    </row>
    <row r="1841" spans="1:3" x14ac:dyDescent="0.2">
      <c r="A1841" s="636"/>
      <c r="B1841" s="425"/>
      <c r="C1841" s="425"/>
    </row>
    <row r="1842" spans="1:3" x14ac:dyDescent="0.2">
      <c r="A1842" s="636"/>
      <c r="B1842" s="425"/>
      <c r="C1842" s="425"/>
    </row>
    <row r="1843" spans="1:3" x14ac:dyDescent="0.2">
      <c r="A1843" s="636"/>
      <c r="B1843" s="425"/>
      <c r="C1843" s="425"/>
    </row>
    <row r="1844" spans="1:3" x14ac:dyDescent="0.2">
      <c r="A1844" s="636"/>
      <c r="B1844" s="425"/>
      <c r="C1844" s="425"/>
    </row>
    <row r="1845" spans="1:3" x14ac:dyDescent="0.2">
      <c r="A1845" s="636"/>
      <c r="B1845" s="425"/>
      <c r="C1845" s="425"/>
    </row>
    <row r="1846" spans="1:3" x14ac:dyDescent="0.2">
      <c r="A1846" s="636"/>
      <c r="B1846" s="425"/>
      <c r="C1846" s="425"/>
    </row>
    <row r="1847" spans="1:3" x14ac:dyDescent="0.2">
      <c r="A1847" s="636"/>
      <c r="B1847" s="425"/>
      <c r="C1847" s="425"/>
    </row>
    <row r="1848" spans="1:3" x14ac:dyDescent="0.2">
      <c r="A1848" s="636"/>
      <c r="B1848" s="425"/>
      <c r="C1848" s="425"/>
    </row>
    <row r="1849" spans="1:3" x14ac:dyDescent="0.2">
      <c r="A1849" s="636"/>
      <c r="B1849" s="425"/>
      <c r="C1849" s="425"/>
    </row>
    <row r="1850" spans="1:3" x14ac:dyDescent="0.2">
      <c r="A1850" s="636"/>
      <c r="B1850" s="425"/>
      <c r="C1850" s="425"/>
    </row>
    <row r="1851" spans="1:3" x14ac:dyDescent="0.2">
      <c r="A1851" s="636"/>
      <c r="B1851" s="425"/>
      <c r="C1851" s="425"/>
    </row>
    <row r="1852" spans="1:3" x14ac:dyDescent="0.2">
      <c r="A1852" s="636"/>
      <c r="B1852" s="425"/>
      <c r="C1852" s="425"/>
    </row>
    <row r="1853" spans="1:3" x14ac:dyDescent="0.2">
      <c r="A1853" s="636"/>
      <c r="B1853" s="425"/>
      <c r="C1853" s="425"/>
    </row>
    <row r="1854" spans="1:3" x14ac:dyDescent="0.2">
      <c r="A1854" s="636"/>
      <c r="B1854" s="425"/>
      <c r="C1854" s="425"/>
    </row>
    <row r="1855" spans="1:3" x14ac:dyDescent="0.2">
      <c r="A1855" s="636"/>
      <c r="B1855" s="425"/>
      <c r="C1855" s="425"/>
    </row>
    <row r="1856" spans="1:3" x14ac:dyDescent="0.2">
      <c r="A1856" s="636"/>
      <c r="B1856" s="425"/>
      <c r="C1856" s="425"/>
    </row>
    <row r="1857" spans="1:3" x14ac:dyDescent="0.2">
      <c r="A1857" s="636"/>
      <c r="B1857" s="425"/>
      <c r="C1857" s="425"/>
    </row>
    <row r="1858" spans="1:3" x14ac:dyDescent="0.2">
      <c r="A1858" s="636"/>
      <c r="B1858" s="425"/>
      <c r="C1858" s="425"/>
    </row>
    <row r="1859" spans="1:3" x14ac:dyDescent="0.2">
      <c r="A1859" s="636"/>
      <c r="B1859" s="425"/>
      <c r="C1859" s="425"/>
    </row>
    <row r="1860" spans="1:3" x14ac:dyDescent="0.2">
      <c r="A1860" s="636"/>
      <c r="B1860" s="425"/>
      <c r="C1860" s="425"/>
    </row>
    <row r="1861" spans="1:3" x14ac:dyDescent="0.2">
      <c r="A1861" s="636"/>
      <c r="B1861" s="425"/>
      <c r="C1861" s="425"/>
    </row>
    <row r="1862" spans="1:3" x14ac:dyDescent="0.2">
      <c r="A1862" s="636"/>
      <c r="B1862" s="425"/>
      <c r="C1862" s="425"/>
    </row>
    <row r="1863" spans="1:3" x14ac:dyDescent="0.2">
      <c r="A1863" s="636"/>
      <c r="B1863" s="425"/>
      <c r="C1863" s="425"/>
    </row>
    <row r="1864" spans="1:3" x14ac:dyDescent="0.2">
      <c r="A1864" s="636"/>
      <c r="B1864" s="425"/>
      <c r="C1864" s="425"/>
    </row>
    <row r="1865" spans="1:3" x14ac:dyDescent="0.2">
      <c r="A1865" s="636"/>
      <c r="B1865" s="425"/>
      <c r="C1865" s="425"/>
    </row>
    <row r="1866" spans="1:3" x14ac:dyDescent="0.2">
      <c r="A1866" s="636"/>
      <c r="B1866" s="425"/>
      <c r="C1866" s="425"/>
    </row>
    <row r="1867" spans="1:3" x14ac:dyDescent="0.2">
      <c r="A1867" s="636"/>
      <c r="B1867" s="425"/>
      <c r="C1867" s="425"/>
    </row>
    <row r="1868" spans="1:3" x14ac:dyDescent="0.2">
      <c r="A1868" s="636"/>
      <c r="B1868" s="425"/>
      <c r="C1868" s="425"/>
    </row>
    <row r="1869" spans="1:3" x14ac:dyDescent="0.2">
      <c r="A1869" s="636"/>
      <c r="B1869" s="425"/>
      <c r="C1869" s="425"/>
    </row>
    <row r="1870" spans="1:3" x14ac:dyDescent="0.2">
      <c r="A1870" s="636"/>
      <c r="B1870" s="425"/>
      <c r="C1870" s="425"/>
    </row>
    <row r="1871" spans="1:3" x14ac:dyDescent="0.2">
      <c r="A1871" s="636"/>
      <c r="B1871" s="425"/>
      <c r="C1871" s="425"/>
    </row>
    <row r="1872" spans="1:3" x14ac:dyDescent="0.2">
      <c r="A1872" s="636"/>
      <c r="B1872" s="425"/>
      <c r="C1872" s="425"/>
    </row>
    <row r="1873" spans="1:3" x14ac:dyDescent="0.2">
      <c r="A1873" s="636"/>
      <c r="B1873" s="425"/>
      <c r="C1873" s="425"/>
    </row>
    <row r="1874" spans="1:3" x14ac:dyDescent="0.2">
      <c r="A1874" s="636"/>
      <c r="B1874" s="425"/>
      <c r="C1874" s="425"/>
    </row>
    <row r="1875" spans="1:3" x14ac:dyDescent="0.2">
      <c r="A1875" s="636"/>
      <c r="B1875" s="425"/>
      <c r="C1875" s="425"/>
    </row>
    <row r="1876" spans="1:3" x14ac:dyDescent="0.2">
      <c r="A1876" s="636"/>
      <c r="B1876" s="425"/>
      <c r="C1876" s="425"/>
    </row>
    <row r="1877" spans="1:3" x14ac:dyDescent="0.2">
      <c r="A1877" s="636"/>
      <c r="B1877" s="425"/>
      <c r="C1877" s="425"/>
    </row>
    <row r="1878" spans="1:3" x14ac:dyDescent="0.2">
      <c r="A1878" s="636"/>
      <c r="B1878" s="425"/>
      <c r="C1878" s="425"/>
    </row>
    <row r="1879" spans="1:3" x14ac:dyDescent="0.2">
      <c r="A1879" s="636"/>
      <c r="B1879" s="425"/>
      <c r="C1879" s="425"/>
    </row>
    <row r="1880" spans="1:3" x14ac:dyDescent="0.2">
      <c r="A1880" s="636"/>
      <c r="B1880" s="425"/>
      <c r="C1880" s="425"/>
    </row>
    <row r="1881" spans="1:3" x14ac:dyDescent="0.2">
      <c r="A1881" s="636"/>
      <c r="B1881" s="425"/>
      <c r="C1881" s="425"/>
    </row>
    <row r="1882" spans="1:3" x14ac:dyDescent="0.2">
      <c r="A1882" s="636"/>
      <c r="B1882" s="425"/>
      <c r="C1882" s="425"/>
    </row>
    <row r="1883" spans="1:3" x14ac:dyDescent="0.2">
      <c r="A1883" s="636"/>
      <c r="B1883" s="425"/>
      <c r="C1883" s="425"/>
    </row>
    <row r="1884" spans="1:3" x14ac:dyDescent="0.2">
      <c r="A1884" s="636"/>
      <c r="B1884" s="425"/>
      <c r="C1884" s="425"/>
    </row>
    <row r="1885" spans="1:3" x14ac:dyDescent="0.2">
      <c r="A1885" s="636"/>
      <c r="B1885" s="425"/>
      <c r="C1885" s="425"/>
    </row>
    <row r="1886" spans="1:3" x14ac:dyDescent="0.2">
      <c r="A1886" s="636"/>
      <c r="B1886" s="425"/>
      <c r="C1886" s="425"/>
    </row>
    <row r="1887" spans="1:3" x14ac:dyDescent="0.2">
      <c r="A1887" s="636"/>
      <c r="B1887" s="425"/>
      <c r="C1887" s="425"/>
    </row>
    <row r="1888" spans="1:3" x14ac:dyDescent="0.2">
      <c r="A1888" s="636"/>
      <c r="B1888" s="425"/>
      <c r="C1888" s="425"/>
    </row>
    <row r="1889" spans="1:3" x14ac:dyDescent="0.2">
      <c r="A1889" s="636"/>
      <c r="B1889" s="425"/>
      <c r="C1889" s="425"/>
    </row>
    <row r="1890" spans="1:3" x14ac:dyDescent="0.2">
      <c r="A1890" s="636"/>
      <c r="B1890" s="425"/>
      <c r="C1890" s="425"/>
    </row>
    <row r="1891" spans="1:3" x14ac:dyDescent="0.2">
      <c r="A1891" s="636"/>
      <c r="B1891" s="425"/>
      <c r="C1891" s="425"/>
    </row>
    <row r="1892" spans="1:3" x14ac:dyDescent="0.2">
      <c r="A1892" s="636"/>
      <c r="B1892" s="425"/>
      <c r="C1892" s="425"/>
    </row>
    <row r="1893" spans="1:3" x14ac:dyDescent="0.2">
      <c r="A1893" s="636"/>
      <c r="B1893" s="425"/>
      <c r="C1893" s="425"/>
    </row>
    <row r="1894" spans="1:3" x14ac:dyDescent="0.2">
      <c r="A1894" s="636"/>
      <c r="B1894" s="425"/>
      <c r="C1894" s="425"/>
    </row>
    <row r="1895" spans="1:3" x14ac:dyDescent="0.2">
      <c r="A1895" s="636"/>
      <c r="B1895" s="425"/>
      <c r="C1895" s="425"/>
    </row>
    <row r="1896" spans="1:3" x14ac:dyDescent="0.2">
      <c r="A1896" s="636"/>
      <c r="B1896" s="425"/>
      <c r="C1896" s="425"/>
    </row>
    <row r="1897" spans="1:3" x14ac:dyDescent="0.2">
      <c r="A1897" s="636"/>
      <c r="B1897" s="425"/>
      <c r="C1897" s="425"/>
    </row>
    <row r="1898" spans="1:3" x14ac:dyDescent="0.2">
      <c r="A1898" s="636"/>
      <c r="B1898" s="425"/>
      <c r="C1898" s="425"/>
    </row>
    <row r="1899" spans="1:3" x14ac:dyDescent="0.2">
      <c r="A1899" s="636"/>
      <c r="B1899" s="425"/>
      <c r="C1899" s="425"/>
    </row>
    <row r="1900" spans="1:3" x14ac:dyDescent="0.2">
      <c r="A1900" s="636"/>
      <c r="B1900" s="425"/>
      <c r="C1900" s="425"/>
    </row>
    <row r="1901" spans="1:3" x14ac:dyDescent="0.2">
      <c r="A1901" s="636"/>
      <c r="B1901" s="425"/>
      <c r="C1901" s="425"/>
    </row>
    <row r="1902" spans="1:3" x14ac:dyDescent="0.2">
      <c r="A1902" s="636"/>
      <c r="B1902" s="425"/>
      <c r="C1902" s="425"/>
    </row>
    <row r="1903" spans="1:3" x14ac:dyDescent="0.2">
      <c r="A1903" s="636"/>
      <c r="B1903" s="425"/>
      <c r="C1903" s="425"/>
    </row>
    <row r="1904" spans="1:3" x14ac:dyDescent="0.2">
      <c r="A1904" s="636"/>
      <c r="B1904" s="425"/>
      <c r="C1904" s="425"/>
    </row>
    <row r="1905" spans="1:3" x14ac:dyDescent="0.2">
      <c r="A1905" s="636"/>
      <c r="B1905" s="425"/>
      <c r="C1905" s="425"/>
    </row>
    <row r="1906" spans="1:3" x14ac:dyDescent="0.2">
      <c r="A1906" s="636"/>
      <c r="B1906" s="425"/>
      <c r="C1906" s="425"/>
    </row>
    <row r="1907" spans="1:3" x14ac:dyDescent="0.2">
      <c r="A1907" s="636"/>
      <c r="B1907" s="425"/>
      <c r="C1907" s="425"/>
    </row>
    <row r="1908" spans="1:3" x14ac:dyDescent="0.2">
      <c r="A1908" s="636"/>
      <c r="B1908" s="425"/>
      <c r="C1908" s="425"/>
    </row>
    <row r="1909" spans="1:3" x14ac:dyDescent="0.2">
      <c r="A1909" s="636"/>
      <c r="B1909" s="425"/>
      <c r="C1909" s="425"/>
    </row>
    <row r="1910" spans="1:3" x14ac:dyDescent="0.2">
      <c r="A1910" s="636"/>
      <c r="B1910" s="425"/>
      <c r="C1910" s="425"/>
    </row>
    <row r="1911" spans="1:3" x14ac:dyDescent="0.2">
      <c r="A1911" s="636"/>
      <c r="B1911" s="425"/>
      <c r="C1911" s="425"/>
    </row>
    <row r="1912" spans="1:3" x14ac:dyDescent="0.2">
      <c r="A1912" s="636"/>
      <c r="B1912" s="425"/>
      <c r="C1912" s="425"/>
    </row>
    <row r="1913" spans="1:3" x14ac:dyDescent="0.2">
      <c r="A1913" s="636"/>
      <c r="B1913" s="425"/>
      <c r="C1913" s="425"/>
    </row>
    <row r="1914" spans="1:3" x14ac:dyDescent="0.2">
      <c r="A1914" s="636"/>
      <c r="B1914" s="425"/>
      <c r="C1914" s="425"/>
    </row>
    <row r="1915" spans="1:3" x14ac:dyDescent="0.2">
      <c r="A1915" s="636"/>
      <c r="B1915" s="425"/>
      <c r="C1915" s="425"/>
    </row>
    <row r="1916" spans="1:3" x14ac:dyDescent="0.2">
      <c r="A1916" s="636"/>
      <c r="B1916" s="425"/>
      <c r="C1916" s="425"/>
    </row>
    <row r="1917" spans="1:3" x14ac:dyDescent="0.2">
      <c r="A1917" s="636"/>
      <c r="B1917" s="425"/>
      <c r="C1917" s="425"/>
    </row>
    <row r="1918" spans="1:3" x14ac:dyDescent="0.2">
      <c r="A1918" s="636"/>
      <c r="B1918" s="425"/>
      <c r="C1918" s="425"/>
    </row>
    <row r="1919" spans="1:3" x14ac:dyDescent="0.2">
      <c r="A1919" s="636"/>
      <c r="B1919" s="425"/>
      <c r="C1919" s="425"/>
    </row>
    <row r="1920" spans="1:3" x14ac:dyDescent="0.2">
      <c r="A1920" s="636"/>
      <c r="B1920" s="425"/>
      <c r="C1920" s="425"/>
    </row>
    <row r="1921" spans="1:3" x14ac:dyDescent="0.2">
      <c r="A1921" s="636"/>
      <c r="B1921" s="425"/>
      <c r="C1921" s="425"/>
    </row>
    <row r="1922" spans="1:3" x14ac:dyDescent="0.2">
      <c r="A1922" s="636"/>
      <c r="B1922" s="425"/>
      <c r="C1922" s="425"/>
    </row>
    <row r="1923" spans="1:3" x14ac:dyDescent="0.2">
      <c r="A1923" s="636"/>
      <c r="B1923" s="425"/>
      <c r="C1923" s="425"/>
    </row>
    <row r="1924" spans="1:3" x14ac:dyDescent="0.2">
      <c r="A1924" s="636"/>
      <c r="B1924" s="425"/>
      <c r="C1924" s="425"/>
    </row>
    <row r="1925" spans="1:3" x14ac:dyDescent="0.2">
      <c r="A1925" s="636"/>
      <c r="B1925" s="425"/>
      <c r="C1925" s="425"/>
    </row>
    <row r="1926" spans="1:3" x14ac:dyDescent="0.2">
      <c r="A1926" s="636"/>
      <c r="B1926" s="425"/>
      <c r="C1926" s="425"/>
    </row>
    <row r="1927" spans="1:3" x14ac:dyDescent="0.2">
      <c r="A1927" s="636"/>
      <c r="B1927" s="425"/>
      <c r="C1927" s="425"/>
    </row>
    <row r="1928" spans="1:3" x14ac:dyDescent="0.2">
      <c r="A1928" s="636"/>
      <c r="B1928" s="425"/>
      <c r="C1928" s="425"/>
    </row>
    <row r="1929" spans="1:3" x14ac:dyDescent="0.2">
      <c r="A1929" s="636"/>
      <c r="B1929" s="425"/>
      <c r="C1929" s="425"/>
    </row>
    <row r="1930" spans="1:3" x14ac:dyDescent="0.2">
      <c r="A1930" s="636"/>
      <c r="B1930" s="425"/>
      <c r="C1930" s="425"/>
    </row>
    <row r="1931" spans="1:3" x14ac:dyDescent="0.2">
      <c r="A1931" s="636"/>
      <c r="B1931" s="425"/>
      <c r="C1931" s="425"/>
    </row>
    <row r="1932" spans="1:3" x14ac:dyDescent="0.2">
      <c r="A1932" s="636"/>
      <c r="B1932" s="425"/>
      <c r="C1932" s="425"/>
    </row>
    <row r="1933" spans="1:3" x14ac:dyDescent="0.2">
      <c r="A1933" s="636"/>
      <c r="B1933" s="425"/>
      <c r="C1933" s="425"/>
    </row>
    <row r="1934" spans="1:3" x14ac:dyDescent="0.2">
      <c r="A1934" s="636"/>
      <c r="B1934" s="425"/>
      <c r="C1934" s="425"/>
    </row>
    <row r="1935" spans="1:3" x14ac:dyDescent="0.2">
      <c r="A1935" s="636"/>
      <c r="B1935" s="425"/>
      <c r="C1935" s="425"/>
    </row>
    <row r="1936" spans="1:3" x14ac:dyDescent="0.2">
      <c r="A1936" s="636"/>
      <c r="B1936" s="425"/>
      <c r="C1936" s="425"/>
    </row>
    <row r="1937" spans="1:3" x14ac:dyDescent="0.2">
      <c r="A1937" s="636"/>
      <c r="B1937" s="425"/>
      <c r="C1937" s="425"/>
    </row>
    <row r="1938" spans="1:3" x14ac:dyDescent="0.2">
      <c r="A1938" s="636"/>
      <c r="B1938" s="425"/>
      <c r="C1938" s="425"/>
    </row>
    <row r="1939" spans="1:3" x14ac:dyDescent="0.2">
      <c r="A1939" s="636"/>
      <c r="B1939" s="425"/>
      <c r="C1939" s="425"/>
    </row>
    <row r="1940" spans="1:3" x14ac:dyDescent="0.2">
      <c r="A1940" s="636"/>
      <c r="B1940" s="425"/>
      <c r="C1940" s="425"/>
    </row>
    <row r="1941" spans="1:3" x14ac:dyDescent="0.2">
      <c r="A1941" s="636"/>
      <c r="B1941" s="425"/>
      <c r="C1941" s="425"/>
    </row>
    <row r="1942" spans="1:3" x14ac:dyDescent="0.2">
      <c r="A1942" s="636"/>
      <c r="B1942" s="425"/>
      <c r="C1942" s="425"/>
    </row>
    <row r="1943" spans="1:3" x14ac:dyDescent="0.2">
      <c r="A1943" s="636"/>
      <c r="B1943" s="425"/>
      <c r="C1943" s="425"/>
    </row>
    <row r="1944" spans="1:3" x14ac:dyDescent="0.2">
      <c r="A1944" s="636"/>
      <c r="B1944" s="425"/>
      <c r="C1944" s="425"/>
    </row>
    <row r="1945" spans="1:3" x14ac:dyDescent="0.2">
      <c r="A1945" s="636"/>
      <c r="B1945" s="425"/>
      <c r="C1945" s="425"/>
    </row>
    <row r="1946" spans="1:3" x14ac:dyDescent="0.2">
      <c r="A1946" s="636"/>
      <c r="B1946" s="425"/>
      <c r="C1946" s="425"/>
    </row>
    <row r="1947" spans="1:3" x14ac:dyDescent="0.2">
      <c r="A1947" s="636"/>
      <c r="B1947" s="425"/>
      <c r="C1947" s="425"/>
    </row>
    <row r="1948" spans="1:3" x14ac:dyDescent="0.2">
      <c r="A1948" s="636"/>
      <c r="B1948" s="425"/>
      <c r="C1948" s="425"/>
    </row>
    <row r="1949" spans="1:3" x14ac:dyDescent="0.2">
      <c r="A1949" s="636"/>
      <c r="B1949" s="425"/>
      <c r="C1949" s="425"/>
    </row>
    <row r="1950" spans="1:3" x14ac:dyDescent="0.2">
      <c r="A1950" s="636"/>
      <c r="B1950" s="425"/>
      <c r="C1950" s="425"/>
    </row>
    <row r="1951" spans="1:3" x14ac:dyDescent="0.2">
      <c r="A1951" s="636"/>
      <c r="B1951" s="425"/>
      <c r="C1951" s="425"/>
    </row>
    <row r="1952" spans="1:3" x14ac:dyDescent="0.2">
      <c r="A1952" s="636"/>
      <c r="B1952" s="425"/>
      <c r="C1952" s="425"/>
    </row>
    <row r="1953" spans="1:3" x14ac:dyDescent="0.2">
      <c r="A1953" s="636"/>
      <c r="B1953" s="425"/>
      <c r="C1953" s="425"/>
    </row>
    <row r="1954" spans="1:3" x14ac:dyDescent="0.2">
      <c r="A1954" s="636"/>
      <c r="B1954" s="425"/>
      <c r="C1954" s="425"/>
    </row>
    <row r="1955" spans="1:3" x14ac:dyDescent="0.2">
      <c r="A1955" s="636"/>
      <c r="B1955" s="425"/>
      <c r="C1955" s="425"/>
    </row>
    <row r="1956" spans="1:3" x14ac:dyDescent="0.2">
      <c r="A1956" s="636"/>
      <c r="B1956" s="425"/>
      <c r="C1956" s="425"/>
    </row>
    <row r="1957" spans="1:3" x14ac:dyDescent="0.2">
      <c r="A1957" s="636"/>
      <c r="B1957" s="425"/>
      <c r="C1957" s="425"/>
    </row>
    <row r="1958" spans="1:3" x14ac:dyDescent="0.2">
      <c r="A1958" s="636"/>
      <c r="B1958" s="425"/>
      <c r="C1958" s="425"/>
    </row>
    <row r="1959" spans="1:3" x14ac:dyDescent="0.2">
      <c r="A1959" s="636"/>
      <c r="B1959" s="425"/>
      <c r="C1959" s="425"/>
    </row>
    <row r="1960" spans="1:3" x14ac:dyDescent="0.2">
      <c r="A1960" s="636"/>
      <c r="B1960" s="425"/>
      <c r="C1960" s="425"/>
    </row>
    <row r="1961" spans="1:3" x14ac:dyDescent="0.2">
      <c r="A1961" s="636"/>
      <c r="B1961" s="425"/>
      <c r="C1961" s="425"/>
    </row>
    <row r="1962" spans="1:3" x14ac:dyDescent="0.2">
      <c r="A1962" s="636"/>
      <c r="B1962" s="425"/>
      <c r="C1962" s="425"/>
    </row>
    <row r="1963" spans="1:3" x14ac:dyDescent="0.2">
      <c r="A1963" s="636"/>
      <c r="B1963" s="425"/>
      <c r="C1963" s="425"/>
    </row>
    <row r="1964" spans="1:3" x14ac:dyDescent="0.2">
      <c r="A1964" s="636"/>
      <c r="B1964" s="425"/>
      <c r="C1964" s="425"/>
    </row>
    <row r="1965" spans="1:3" x14ac:dyDescent="0.2">
      <c r="A1965" s="636"/>
      <c r="B1965" s="425"/>
      <c r="C1965" s="425"/>
    </row>
    <row r="1966" spans="1:3" x14ac:dyDescent="0.2">
      <c r="A1966" s="636"/>
      <c r="B1966" s="425"/>
      <c r="C1966" s="425"/>
    </row>
    <row r="1967" spans="1:3" x14ac:dyDescent="0.2">
      <c r="A1967" s="636"/>
      <c r="B1967" s="425"/>
      <c r="C1967" s="425"/>
    </row>
    <row r="1968" spans="1:3" x14ac:dyDescent="0.2">
      <c r="A1968" s="636"/>
      <c r="B1968" s="425"/>
      <c r="C1968" s="425"/>
    </row>
    <row r="1969" spans="1:3" x14ac:dyDescent="0.2">
      <c r="A1969" s="636"/>
      <c r="B1969" s="425"/>
      <c r="C1969" s="425"/>
    </row>
    <row r="1970" spans="1:3" x14ac:dyDescent="0.2">
      <c r="A1970" s="636"/>
      <c r="B1970" s="425"/>
      <c r="C1970" s="425"/>
    </row>
    <row r="1971" spans="1:3" x14ac:dyDescent="0.2">
      <c r="A1971" s="636"/>
      <c r="B1971" s="425"/>
      <c r="C1971" s="425"/>
    </row>
    <row r="1972" spans="1:3" x14ac:dyDescent="0.2">
      <c r="A1972" s="636"/>
      <c r="B1972" s="425"/>
      <c r="C1972" s="425"/>
    </row>
    <row r="1973" spans="1:3" x14ac:dyDescent="0.2">
      <c r="A1973" s="636"/>
      <c r="B1973" s="425"/>
      <c r="C1973" s="425"/>
    </row>
    <row r="1974" spans="1:3" x14ac:dyDescent="0.2">
      <c r="A1974" s="636"/>
      <c r="B1974" s="425"/>
      <c r="C1974" s="425"/>
    </row>
    <row r="1975" spans="1:3" x14ac:dyDescent="0.2">
      <c r="A1975" s="636"/>
      <c r="B1975" s="425"/>
      <c r="C1975" s="425"/>
    </row>
    <row r="1976" spans="1:3" x14ac:dyDescent="0.2">
      <c r="A1976" s="636"/>
      <c r="B1976" s="425"/>
      <c r="C1976" s="425"/>
    </row>
    <row r="1977" spans="1:3" x14ac:dyDescent="0.2">
      <c r="A1977" s="636"/>
      <c r="B1977" s="425"/>
      <c r="C1977" s="425"/>
    </row>
    <row r="1978" spans="1:3" x14ac:dyDescent="0.2">
      <c r="A1978" s="636"/>
      <c r="B1978" s="425"/>
      <c r="C1978" s="425"/>
    </row>
    <row r="1979" spans="1:3" x14ac:dyDescent="0.2">
      <c r="A1979" s="636"/>
      <c r="B1979" s="425"/>
      <c r="C1979" s="425"/>
    </row>
    <row r="1980" spans="1:3" x14ac:dyDescent="0.2">
      <c r="A1980" s="636"/>
      <c r="B1980" s="425"/>
      <c r="C1980" s="425"/>
    </row>
    <row r="1981" spans="1:3" x14ac:dyDescent="0.2">
      <c r="A1981" s="636"/>
      <c r="B1981" s="425"/>
      <c r="C1981" s="425"/>
    </row>
    <row r="1982" spans="1:3" x14ac:dyDescent="0.2">
      <c r="A1982" s="636"/>
      <c r="B1982" s="425"/>
      <c r="C1982" s="425"/>
    </row>
    <row r="1983" spans="1:3" x14ac:dyDescent="0.2">
      <c r="A1983" s="636"/>
      <c r="B1983" s="425"/>
      <c r="C1983" s="425"/>
    </row>
    <row r="1984" spans="1:3" x14ac:dyDescent="0.2">
      <c r="A1984" s="636"/>
      <c r="B1984" s="425"/>
      <c r="C1984" s="425"/>
    </row>
    <row r="1985" spans="1:3" x14ac:dyDescent="0.2">
      <c r="A1985" s="636"/>
      <c r="B1985" s="425"/>
      <c r="C1985" s="425"/>
    </row>
    <row r="1986" spans="1:3" x14ac:dyDescent="0.2">
      <c r="A1986" s="636"/>
      <c r="B1986" s="425"/>
      <c r="C1986" s="425"/>
    </row>
    <row r="1987" spans="1:3" x14ac:dyDescent="0.2">
      <c r="A1987" s="636"/>
      <c r="B1987" s="425"/>
      <c r="C1987" s="425"/>
    </row>
    <row r="1988" spans="1:3" x14ac:dyDescent="0.2">
      <c r="A1988" s="636"/>
      <c r="B1988" s="425"/>
      <c r="C1988" s="425"/>
    </row>
    <row r="1989" spans="1:3" x14ac:dyDescent="0.2">
      <c r="A1989" s="636"/>
      <c r="B1989" s="425"/>
      <c r="C1989" s="425"/>
    </row>
    <row r="1990" spans="1:3" x14ac:dyDescent="0.2">
      <c r="A1990" s="636"/>
      <c r="B1990" s="425"/>
      <c r="C1990" s="425"/>
    </row>
    <row r="1991" spans="1:3" x14ac:dyDescent="0.2">
      <c r="A1991" s="636"/>
      <c r="B1991" s="425"/>
      <c r="C1991" s="425"/>
    </row>
    <row r="1992" spans="1:3" x14ac:dyDescent="0.2">
      <c r="A1992" s="636"/>
      <c r="B1992" s="425"/>
      <c r="C1992" s="425"/>
    </row>
    <row r="1993" spans="1:3" x14ac:dyDescent="0.2">
      <c r="A1993" s="636"/>
      <c r="B1993" s="425"/>
      <c r="C1993" s="425"/>
    </row>
    <row r="1994" spans="1:3" x14ac:dyDescent="0.2">
      <c r="A1994" s="636"/>
      <c r="B1994" s="425"/>
      <c r="C1994" s="425"/>
    </row>
    <row r="1995" spans="1:3" x14ac:dyDescent="0.2">
      <c r="A1995" s="636"/>
      <c r="B1995" s="425"/>
      <c r="C1995" s="425"/>
    </row>
    <row r="1996" spans="1:3" x14ac:dyDescent="0.2">
      <c r="A1996" s="636"/>
      <c r="B1996" s="425"/>
      <c r="C1996" s="425"/>
    </row>
    <row r="1997" spans="1:3" x14ac:dyDescent="0.2">
      <c r="A1997" s="636"/>
      <c r="B1997" s="425"/>
      <c r="C1997" s="425"/>
    </row>
    <row r="1998" spans="1:3" x14ac:dyDescent="0.2">
      <c r="A1998" s="636"/>
      <c r="B1998" s="425"/>
      <c r="C1998" s="425"/>
    </row>
    <row r="1999" spans="1:3" x14ac:dyDescent="0.2">
      <c r="A1999" s="636"/>
      <c r="B1999" s="425"/>
      <c r="C1999" s="425"/>
    </row>
    <row r="2000" spans="1:3" x14ac:dyDescent="0.2">
      <c r="A2000" s="636"/>
      <c r="B2000" s="425"/>
      <c r="C2000" s="425"/>
    </row>
    <row r="2001" spans="1:3" x14ac:dyDescent="0.2">
      <c r="A2001" s="636"/>
      <c r="B2001" s="425"/>
      <c r="C2001" s="425"/>
    </row>
    <row r="2002" spans="1:3" x14ac:dyDescent="0.2">
      <c r="A2002" s="636"/>
      <c r="B2002" s="425"/>
      <c r="C2002" s="425"/>
    </row>
    <row r="2003" spans="1:3" x14ac:dyDescent="0.2">
      <c r="A2003" s="636"/>
      <c r="B2003" s="425"/>
      <c r="C2003" s="425"/>
    </row>
    <row r="2004" spans="1:3" x14ac:dyDescent="0.2">
      <c r="A2004" s="636"/>
      <c r="B2004" s="425"/>
      <c r="C2004" s="425"/>
    </row>
    <row r="2005" spans="1:3" x14ac:dyDescent="0.2">
      <c r="A2005" s="636"/>
      <c r="B2005" s="425"/>
      <c r="C2005" s="425"/>
    </row>
    <row r="2006" spans="1:3" x14ac:dyDescent="0.2">
      <c r="A2006" s="636"/>
      <c r="B2006" s="425"/>
      <c r="C2006" s="425"/>
    </row>
    <row r="2007" spans="1:3" x14ac:dyDescent="0.2">
      <c r="A2007" s="636"/>
      <c r="B2007" s="425"/>
      <c r="C2007" s="425"/>
    </row>
    <row r="2008" spans="1:3" x14ac:dyDescent="0.2">
      <c r="A2008" s="636"/>
      <c r="B2008" s="425"/>
      <c r="C2008" s="425"/>
    </row>
    <row r="2009" spans="1:3" x14ac:dyDescent="0.2">
      <c r="A2009" s="636"/>
      <c r="B2009" s="425"/>
      <c r="C2009" s="425"/>
    </row>
    <row r="2010" spans="1:3" x14ac:dyDescent="0.2">
      <c r="A2010" s="636"/>
      <c r="B2010" s="425"/>
      <c r="C2010" s="425"/>
    </row>
    <row r="2011" spans="1:3" x14ac:dyDescent="0.2">
      <c r="A2011" s="636"/>
      <c r="B2011" s="425"/>
      <c r="C2011" s="425"/>
    </row>
    <row r="2012" spans="1:3" x14ac:dyDescent="0.2">
      <c r="A2012" s="636"/>
      <c r="B2012" s="425"/>
      <c r="C2012" s="425"/>
    </row>
    <row r="2013" spans="1:3" x14ac:dyDescent="0.2">
      <c r="A2013" s="636"/>
      <c r="B2013" s="425"/>
      <c r="C2013" s="425"/>
    </row>
    <row r="2014" spans="1:3" x14ac:dyDescent="0.2">
      <c r="A2014" s="636"/>
      <c r="B2014" s="425"/>
      <c r="C2014" s="425"/>
    </row>
    <row r="2015" spans="1:3" x14ac:dyDescent="0.2">
      <c r="A2015" s="636"/>
      <c r="B2015" s="425"/>
      <c r="C2015" s="425"/>
    </row>
    <row r="2016" spans="1:3" x14ac:dyDescent="0.2">
      <c r="A2016" s="636"/>
      <c r="B2016" s="425"/>
      <c r="C2016" s="425"/>
    </row>
    <row r="2017" spans="1:3" x14ac:dyDescent="0.2">
      <c r="A2017" s="636"/>
      <c r="B2017" s="425"/>
      <c r="C2017" s="425"/>
    </row>
    <row r="2018" spans="1:3" x14ac:dyDescent="0.2">
      <c r="A2018" s="636"/>
      <c r="B2018" s="425"/>
      <c r="C2018" s="425"/>
    </row>
    <row r="2019" spans="1:3" x14ac:dyDescent="0.2">
      <c r="A2019" s="636"/>
      <c r="B2019" s="425"/>
      <c r="C2019" s="425"/>
    </row>
    <row r="2020" spans="1:3" x14ac:dyDescent="0.2">
      <c r="A2020" s="636"/>
      <c r="B2020" s="425"/>
      <c r="C2020" s="425"/>
    </row>
    <row r="2021" spans="1:3" x14ac:dyDescent="0.2">
      <c r="A2021" s="636"/>
      <c r="B2021" s="425"/>
      <c r="C2021" s="425"/>
    </row>
    <row r="2022" spans="1:3" x14ac:dyDescent="0.2">
      <c r="A2022" s="636"/>
      <c r="B2022" s="425"/>
      <c r="C2022" s="425"/>
    </row>
    <row r="2023" spans="1:3" x14ac:dyDescent="0.2">
      <c r="A2023" s="636"/>
      <c r="B2023" s="425"/>
      <c r="C2023" s="425"/>
    </row>
    <row r="2024" spans="1:3" x14ac:dyDescent="0.2">
      <c r="A2024" s="636"/>
      <c r="B2024" s="425"/>
      <c r="C2024" s="425"/>
    </row>
    <row r="2025" spans="1:3" x14ac:dyDescent="0.2">
      <c r="A2025" s="636"/>
      <c r="B2025" s="425"/>
      <c r="C2025" s="425"/>
    </row>
    <row r="2026" spans="1:3" x14ac:dyDescent="0.2">
      <c r="A2026" s="636"/>
      <c r="B2026" s="425"/>
      <c r="C2026" s="425"/>
    </row>
    <row r="2027" spans="1:3" x14ac:dyDescent="0.2">
      <c r="A2027" s="636"/>
      <c r="B2027" s="425"/>
      <c r="C2027" s="425"/>
    </row>
    <row r="2028" spans="1:3" x14ac:dyDescent="0.2">
      <c r="A2028" s="636"/>
      <c r="B2028" s="425"/>
      <c r="C2028" s="425"/>
    </row>
    <row r="2029" spans="1:3" x14ac:dyDescent="0.2">
      <c r="A2029" s="636"/>
      <c r="B2029" s="425"/>
      <c r="C2029" s="425"/>
    </row>
    <row r="2030" spans="1:3" x14ac:dyDescent="0.2">
      <c r="A2030" s="636"/>
      <c r="B2030" s="425"/>
      <c r="C2030" s="425"/>
    </row>
    <row r="2031" spans="1:3" x14ac:dyDescent="0.2">
      <c r="A2031" s="636"/>
      <c r="B2031" s="425"/>
      <c r="C2031" s="425"/>
    </row>
    <row r="2032" spans="1:3" x14ac:dyDescent="0.2">
      <c r="A2032" s="636"/>
      <c r="B2032" s="425"/>
      <c r="C2032" s="425"/>
    </row>
    <row r="2033" spans="1:3" x14ac:dyDescent="0.2">
      <c r="A2033" s="636"/>
      <c r="B2033" s="425"/>
      <c r="C2033" s="425"/>
    </row>
    <row r="2034" spans="1:3" x14ac:dyDescent="0.2">
      <c r="A2034" s="636"/>
      <c r="B2034" s="425"/>
      <c r="C2034" s="425"/>
    </row>
    <row r="2035" spans="1:3" x14ac:dyDescent="0.2">
      <c r="A2035" s="636"/>
      <c r="B2035" s="425"/>
      <c r="C2035" s="425"/>
    </row>
    <row r="2036" spans="1:3" x14ac:dyDescent="0.2">
      <c r="A2036" s="636"/>
      <c r="B2036" s="425"/>
      <c r="C2036" s="425"/>
    </row>
    <row r="2037" spans="1:3" x14ac:dyDescent="0.2">
      <c r="A2037" s="636"/>
      <c r="B2037" s="425"/>
      <c r="C2037" s="425"/>
    </row>
    <row r="2038" spans="1:3" x14ac:dyDescent="0.2">
      <c r="A2038" s="636"/>
      <c r="B2038" s="425"/>
      <c r="C2038" s="425"/>
    </row>
    <row r="2039" spans="1:3" x14ac:dyDescent="0.2">
      <c r="A2039" s="636"/>
      <c r="B2039" s="425"/>
      <c r="C2039" s="425"/>
    </row>
    <row r="2040" spans="1:3" x14ac:dyDescent="0.2">
      <c r="A2040" s="636"/>
      <c r="B2040" s="425"/>
      <c r="C2040" s="425"/>
    </row>
    <row r="2041" spans="1:3" x14ac:dyDescent="0.2">
      <c r="A2041" s="636"/>
      <c r="B2041" s="425"/>
      <c r="C2041" s="425"/>
    </row>
    <row r="2042" spans="1:3" x14ac:dyDescent="0.2">
      <c r="A2042" s="636"/>
      <c r="B2042" s="425"/>
      <c r="C2042" s="425"/>
    </row>
    <row r="2043" spans="1:3" x14ac:dyDescent="0.2">
      <c r="A2043" s="636"/>
      <c r="B2043" s="425"/>
      <c r="C2043" s="425"/>
    </row>
    <row r="2044" spans="1:3" x14ac:dyDescent="0.2">
      <c r="A2044" s="636"/>
      <c r="B2044" s="425"/>
      <c r="C2044" s="425"/>
    </row>
    <row r="2045" spans="1:3" x14ac:dyDescent="0.2">
      <c r="A2045" s="636"/>
      <c r="B2045" s="425"/>
      <c r="C2045" s="425"/>
    </row>
    <row r="2046" spans="1:3" x14ac:dyDescent="0.2">
      <c r="A2046" s="636"/>
      <c r="B2046" s="425"/>
      <c r="C2046" s="425"/>
    </row>
    <row r="2047" spans="1:3" x14ac:dyDescent="0.2">
      <c r="A2047" s="636"/>
      <c r="B2047" s="425"/>
      <c r="C2047" s="425"/>
    </row>
    <row r="2048" spans="1:3" x14ac:dyDescent="0.2">
      <c r="A2048" s="636"/>
      <c r="B2048" s="425"/>
      <c r="C2048" s="425"/>
    </row>
    <row r="2049" spans="1:3" x14ac:dyDescent="0.2">
      <c r="A2049" s="636"/>
      <c r="B2049" s="425"/>
      <c r="C2049" s="425"/>
    </row>
    <row r="2050" spans="1:3" x14ac:dyDescent="0.2">
      <c r="A2050" s="636"/>
      <c r="B2050" s="425"/>
      <c r="C2050" s="425"/>
    </row>
    <row r="2051" spans="1:3" x14ac:dyDescent="0.2">
      <c r="A2051" s="636"/>
      <c r="B2051" s="425"/>
      <c r="C2051" s="425"/>
    </row>
    <row r="2052" spans="1:3" x14ac:dyDescent="0.2">
      <c r="A2052" s="636"/>
      <c r="B2052" s="425"/>
      <c r="C2052" s="425"/>
    </row>
    <row r="2053" spans="1:3" x14ac:dyDescent="0.2">
      <c r="A2053" s="636"/>
      <c r="B2053" s="425"/>
      <c r="C2053" s="425"/>
    </row>
    <row r="2054" spans="1:3" x14ac:dyDescent="0.2">
      <c r="A2054" s="636"/>
      <c r="B2054" s="425"/>
      <c r="C2054" s="425"/>
    </row>
    <row r="2055" spans="1:3" x14ac:dyDescent="0.2">
      <c r="A2055" s="636"/>
      <c r="B2055" s="425"/>
      <c r="C2055" s="425"/>
    </row>
    <row r="2056" spans="1:3" x14ac:dyDescent="0.2">
      <c r="A2056" s="636"/>
      <c r="B2056" s="425"/>
      <c r="C2056" s="425"/>
    </row>
    <row r="2057" spans="1:3" x14ac:dyDescent="0.2">
      <c r="A2057" s="636"/>
      <c r="B2057" s="425"/>
      <c r="C2057" s="425"/>
    </row>
    <row r="2058" spans="1:3" x14ac:dyDescent="0.2">
      <c r="A2058" s="636"/>
      <c r="B2058" s="425"/>
      <c r="C2058" s="425"/>
    </row>
    <row r="2059" spans="1:3" x14ac:dyDescent="0.2">
      <c r="A2059" s="636"/>
      <c r="B2059" s="425"/>
      <c r="C2059" s="425"/>
    </row>
    <row r="2060" spans="1:3" x14ac:dyDescent="0.2">
      <c r="A2060" s="636"/>
      <c r="B2060" s="425"/>
      <c r="C2060" s="425"/>
    </row>
    <row r="2061" spans="1:3" x14ac:dyDescent="0.2">
      <c r="A2061" s="636"/>
      <c r="B2061" s="425"/>
      <c r="C2061" s="425"/>
    </row>
    <row r="2062" spans="1:3" x14ac:dyDescent="0.2">
      <c r="A2062" s="636"/>
      <c r="B2062" s="425"/>
      <c r="C2062" s="425"/>
    </row>
    <row r="2063" spans="1:3" x14ac:dyDescent="0.2">
      <c r="A2063" s="636"/>
      <c r="B2063" s="425"/>
      <c r="C2063" s="425"/>
    </row>
    <row r="2064" spans="1:3" x14ac:dyDescent="0.2">
      <c r="A2064" s="636"/>
      <c r="B2064" s="425"/>
      <c r="C2064" s="425"/>
    </row>
    <row r="2065" spans="1:3" x14ac:dyDescent="0.2">
      <c r="A2065" s="636"/>
      <c r="B2065" s="425"/>
      <c r="C2065" s="425"/>
    </row>
    <row r="2066" spans="1:3" x14ac:dyDescent="0.2">
      <c r="A2066" s="636"/>
      <c r="B2066" s="425"/>
      <c r="C2066" s="425"/>
    </row>
    <row r="2067" spans="1:3" x14ac:dyDescent="0.2">
      <c r="A2067" s="636"/>
      <c r="B2067" s="425"/>
      <c r="C2067" s="425"/>
    </row>
    <row r="2068" spans="1:3" x14ac:dyDescent="0.2">
      <c r="A2068" s="636"/>
      <c r="B2068" s="425"/>
      <c r="C2068" s="425"/>
    </row>
    <row r="2069" spans="1:3" x14ac:dyDescent="0.2">
      <c r="A2069" s="636"/>
      <c r="B2069" s="425"/>
      <c r="C2069" s="425"/>
    </row>
    <row r="2070" spans="1:3" x14ac:dyDescent="0.2">
      <c r="A2070" s="636"/>
      <c r="B2070" s="425"/>
      <c r="C2070" s="425"/>
    </row>
    <row r="2071" spans="1:3" x14ac:dyDescent="0.2">
      <c r="A2071" s="636"/>
      <c r="B2071" s="425"/>
      <c r="C2071" s="425"/>
    </row>
    <row r="2072" spans="1:3" x14ac:dyDescent="0.2">
      <c r="A2072" s="636"/>
      <c r="B2072" s="425"/>
      <c r="C2072" s="425"/>
    </row>
    <row r="2073" spans="1:3" x14ac:dyDescent="0.2">
      <c r="A2073" s="636"/>
      <c r="B2073" s="425"/>
      <c r="C2073" s="425"/>
    </row>
    <row r="2074" spans="1:3" x14ac:dyDescent="0.2">
      <c r="A2074" s="636"/>
      <c r="B2074" s="425"/>
      <c r="C2074" s="425"/>
    </row>
    <row r="2075" spans="1:3" x14ac:dyDescent="0.2">
      <c r="A2075" s="636"/>
      <c r="B2075" s="425"/>
      <c r="C2075" s="425"/>
    </row>
    <row r="2076" spans="1:3" x14ac:dyDescent="0.2">
      <c r="A2076" s="636"/>
      <c r="B2076" s="425"/>
      <c r="C2076" s="425"/>
    </row>
    <row r="2077" spans="1:3" x14ac:dyDescent="0.2">
      <c r="A2077" s="636"/>
      <c r="B2077" s="425"/>
      <c r="C2077" s="425"/>
    </row>
    <row r="2078" spans="1:3" x14ac:dyDescent="0.2">
      <c r="A2078" s="636"/>
      <c r="B2078" s="425"/>
      <c r="C2078" s="425"/>
    </row>
    <row r="2079" spans="1:3" x14ac:dyDescent="0.2">
      <c r="A2079" s="636"/>
      <c r="B2079" s="425"/>
      <c r="C2079" s="425"/>
    </row>
    <row r="2080" spans="1:3" x14ac:dyDescent="0.2">
      <c r="A2080" s="636"/>
      <c r="B2080" s="425"/>
      <c r="C2080" s="425"/>
    </row>
    <row r="2081" spans="1:3" x14ac:dyDescent="0.2">
      <c r="A2081" s="636"/>
      <c r="B2081" s="425"/>
      <c r="C2081" s="425"/>
    </row>
    <row r="2082" spans="1:3" x14ac:dyDescent="0.2">
      <c r="A2082" s="636"/>
      <c r="B2082" s="425"/>
      <c r="C2082" s="425"/>
    </row>
    <row r="2083" spans="1:3" x14ac:dyDescent="0.2">
      <c r="A2083" s="636"/>
      <c r="B2083" s="425"/>
      <c r="C2083" s="425"/>
    </row>
    <row r="2084" spans="1:3" x14ac:dyDescent="0.2">
      <c r="A2084" s="636"/>
      <c r="B2084" s="425"/>
      <c r="C2084" s="425"/>
    </row>
    <row r="2085" spans="1:3" x14ac:dyDescent="0.2">
      <c r="A2085" s="636"/>
      <c r="B2085" s="425"/>
      <c r="C2085" s="425"/>
    </row>
    <row r="2086" spans="1:3" x14ac:dyDescent="0.2">
      <c r="A2086" s="636"/>
      <c r="B2086" s="425"/>
      <c r="C2086" s="425"/>
    </row>
    <row r="2087" spans="1:3" x14ac:dyDescent="0.2">
      <c r="A2087" s="636"/>
      <c r="B2087" s="425"/>
      <c r="C2087" s="425"/>
    </row>
    <row r="2088" spans="1:3" x14ac:dyDescent="0.2">
      <c r="A2088" s="636"/>
      <c r="B2088" s="425"/>
      <c r="C2088" s="425"/>
    </row>
    <row r="2089" spans="1:3" x14ac:dyDescent="0.2">
      <c r="A2089" s="636"/>
      <c r="B2089" s="425"/>
      <c r="C2089" s="425"/>
    </row>
    <row r="2090" spans="1:3" x14ac:dyDescent="0.2">
      <c r="A2090" s="636"/>
      <c r="B2090" s="425"/>
      <c r="C2090" s="425"/>
    </row>
    <row r="2091" spans="1:3" x14ac:dyDescent="0.2">
      <c r="A2091" s="636"/>
      <c r="B2091" s="425"/>
      <c r="C2091" s="425"/>
    </row>
    <row r="2092" spans="1:3" x14ac:dyDescent="0.2">
      <c r="A2092" s="636"/>
      <c r="B2092" s="425"/>
      <c r="C2092" s="425"/>
    </row>
    <row r="2093" spans="1:3" x14ac:dyDescent="0.2">
      <c r="A2093" s="636"/>
      <c r="B2093" s="425"/>
      <c r="C2093" s="425"/>
    </row>
    <row r="2094" spans="1:3" x14ac:dyDescent="0.2">
      <c r="A2094" s="636"/>
      <c r="B2094" s="425"/>
      <c r="C2094" s="425"/>
    </row>
    <row r="2095" spans="1:3" x14ac:dyDescent="0.2">
      <c r="A2095" s="636"/>
      <c r="B2095" s="425"/>
      <c r="C2095" s="425"/>
    </row>
    <row r="2096" spans="1:3" x14ac:dyDescent="0.2">
      <c r="A2096" s="636"/>
      <c r="B2096" s="425"/>
      <c r="C2096" s="425"/>
    </row>
    <row r="2097" spans="1:3" x14ac:dyDescent="0.2">
      <c r="A2097" s="636"/>
      <c r="B2097" s="425"/>
      <c r="C2097" s="425"/>
    </row>
    <row r="2098" spans="1:3" x14ac:dyDescent="0.2">
      <c r="A2098" s="636"/>
      <c r="B2098" s="425"/>
      <c r="C2098" s="425"/>
    </row>
    <row r="2099" spans="1:3" x14ac:dyDescent="0.2">
      <c r="A2099" s="636"/>
      <c r="B2099" s="425"/>
      <c r="C2099" s="425"/>
    </row>
    <row r="2100" spans="1:3" x14ac:dyDescent="0.2">
      <c r="A2100" s="636"/>
      <c r="B2100" s="425"/>
      <c r="C2100" s="425"/>
    </row>
    <row r="2101" spans="1:3" x14ac:dyDescent="0.2">
      <c r="A2101" s="636"/>
      <c r="B2101" s="425"/>
      <c r="C2101" s="425"/>
    </row>
    <row r="2102" spans="1:3" x14ac:dyDescent="0.2">
      <c r="A2102" s="636"/>
      <c r="B2102" s="425"/>
      <c r="C2102" s="425"/>
    </row>
    <row r="2103" spans="1:3" x14ac:dyDescent="0.2">
      <c r="A2103" s="636"/>
      <c r="B2103" s="425"/>
      <c r="C2103" s="425"/>
    </row>
    <row r="2104" spans="1:3" x14ac:dyDescent="0.2">
      <c r="A2104" s="636"/>
      <c r="B2104" s="425"/>
      <c r="C2104" s="425"/>
    </row>
    <row r="2105" spans="1:3" x14ac:dyDescent="0.2">
      <c r="A2105" s="636"/>
      <c r="B2105" s="425"/>
      <c r="C2105" s="425"/>
    </row>
    <row r="2106" spans="1:3" x14ac:dyDescent="0.2">
      <c r="A2106" s="636"/>
      <c r="B2106" s="425"/>
      <c r="C2106" s="425"/>
    </row>
    <row r="2107" spans="1:3" x14ac:dyDescent="0.2">
      <c r="A2107" s="636"/>
      <c r="B2107" s="425"/>
      <c r="C2107" s="425"/>
    </row>
    <row r="2108" spans="1:3" x14ac:dyDescent="0.2">
      <c r="A2108" s="636"/>
      <c r="B2108" s="425"/>
      <c r="C2108" s="425"/>
    </row>
    <row r="2109" spans="1:3" x14ac:dyDescent="0.2">
      <c r="A2109" s="636"/>
      <c r="B2109" s="425"/>
      <c r="C2109" s="425"/>
    </row>
    <row r="2110" spans="1:3" x14ac:dyDescent="0.2">
      <c r="A2110" s="636"/>
      <c r="B2110" s="425"/>
      <c r="C2110" s="425"/>
    </row>
    <row r="2111" spans="1:3" x14ac:dyDescent="0.2">
      <c r="A2111" s="636"/>
      <c r="B2111" s="425"/>
      <c r="C2111" s="425"/>
    </row>
    <row r="2112" spans="1:3" x14ac:dyDescent="0.2">
      <c r="A2112" s="636"/>
      <c r="B2112" s="425"/>
      <c r="C2112" s="425"/>
    </row>
    <row r="2113" spans="1:3" x14ac:dyDescent="0.2">
      <c r="A2113" s="636"/>
      <c r="B2113" s="425"/>
      <c r="C2113" s="425"/>
    </row>
    <row r="2114" spans="1:3" x14ac:dyDescent="0.2">
      <c r="A2114" s="636"/>
      <c r="B2114" s="425"/>
      <c r="C2114" s="425"/>
    </row>
    <row r="2115" spans="1:3" x14ac:dyDescent="0.2">
      <c r="A2115" s="636"/>
      <c r="B2115" s="425"/>
      <c r="C2115" s="425"/>
    </row>
    <row r="2116" spans="1:3" x14ac:dyDescent="0.2">
      <c r="A2116" s="636"/>
      <c r="B2116" s="425"/>
      <c r="C2116" s="425"/>
    </row>
    <row r="2117" spans="1:3" x14ac:dyDescent="0.2">
      <c r="A2117" s="636"/>
      <c r="B2117" s="425"/>
      <c r="C2117" s="425"/>
    </row>
    <row r="2118" spans="1:3" x14ac:dyDescent="0.2">
      <c r="A2118" s="636"/>
      <c r="B2118" s="425"/>
      <c r="C2118" s="425"/>
    </row>
    <row r="2119" spans="1:3" x14ac:dyDescent="0.2">
      <c r="A2119" s="636"/>
      <c r="B2119" s="425"/>
      <c r="C2119" s="425"/>
    </row>
    <row r="2120" spans="1:3" x14ac:dyDescent="0.2">
      <c r="A2120" s="636"/>
      <c r="B2120" s="425"/>
      <c r="C2120" s="425"/>
    </row>
    <row r="2121" spans="1:3" x14ac:dyDescent="0.2">
      <c r="A2121" s="636"/>
      <c r="B2121" s="425"/>
      <c r="C2121" s="425"/>
    </row>
    <row r="2122" spans="1:3" x14ac:dyDescent="0.2">
      <c r="A2122" s="636"/>
      <c r="B2122" s="425"/>
      <c r="C2122" s="425"/>
    </row>
    <row r="2123" spans="1:3" x14ac:dyDescent="0.2">
      <c r="A2123" s="636"/>
      <c r="B2123" s="425"/>
      <c r="C2123" s="425"/>
    </row>
    <row r="2124" spans="1:3" x14ac:dyDescent="0.2">
      <c r="A2124" s="636"/>
      <c r="B2124" s="425"/>
      <c r="C2124" s="425"/>
    </row>
    <row r="2125" spans="1:3" x14ac:dyDescent="0.2">
      <c r="A2125" s="636"/>
      <c r="B2125" s="425"/>
      <c r="C2125" s="425"/>
    </row>
    <row r="2126" spans="1:3" x14ac:dyDescent="0.2">
      <c r="A2126" s="636"/>
      <c r="B2126" s="425"/>
      <c r="C2126" s="425"/>
    </row>
    <row r="2127" spans="1:3" x14ac:dyDescent="0.2">
      <c r="A2127" s="636"/>
      <c r="B2127" s="425"/>
      <c r="C2127" s="425"/>
    </row>
    <row r="2128" spans="1:3" x14ac:dyDescent="0.2">
      <c r="A2128" s="636"/>
      <c r="B2128" s="425"/>
      <c r="C2128" s="425"/>
    </row>
    <row r="2129" spans="1:3" x14ac:dyDescent="0.2">
      <c r="A2129" s="636"/>
      <c r="B2129" s="425"/>
      <c r="C2129" s="425"/>
    </row>
    <row r="2130" spans="1:3" x14ac:dyDescent="0.2">
      <c r="A2130" s="636"/>
      <c r="B2130" s="425"/>
      <c r="C2130" s="425"/>
    </row>
    <row r="2131" spans="1:3" x14ac:dyDescent="0.2">
      <c r="A2131" s="636"/>
      <c r="B2131" s="425"/>
      <c r="C2131" s="425"/>
    </row>
    <row r="2132" spans="1:3" x14ac:dyDescent="0.2">
      <c r="A2132" s="636"/>
      <c r="B2132" s="425"/>
      <c r="C2132" s="425"/>
    </row>
    <row r="2133" spans="1:3" x14ac:dyDescent="0.2">
      <c r="A2133" s="636"/>
      <c r="B2133" s="425"/>
      <c r="C2133" s="425"/>
    </row>
    <row r="2134" spans="1:3" x14ac:dyDescent="0.2">
      <c r="A2134" s="636"/>
      <c r="B2134" s="425"/>
      <c r="C2134" s="425"/>
    </row>
    <row r="2135" spans="1:3" x14ac:dyDescent="0.2">
      <c r="A2135" s="636"/>
      <c r="B2135" s="425"/>
      <c r="C2135" s="425"/>
    </row>
    <row r="2136" spans="1:3" x14ac:dyDescent="0.2">
      <c r="A2136" s="636"/>
      <c r="B2136" s="425"/>
      <c r="C2136" s="425"/>
    </row>
    <row r="2137" spans="1:3" x14ac:dyDescent="0.2">
      <c r="A2137" s="636"/>
      <c r="B2137" s="425"/>
      <c r="C2137" s="425"/>
    </row>
    <row r="2138" spans="1:3" x14ac:dyDescent="0.2">
      <c r="A2138" s="636"/>
      <c r="B2138" s="425"/>
      <c r="C2138" s="425"/>
    </row>
    <row r="2139" spans="1:3" x14ac:dyDescent="0.2">
      <c r="A2139" s="636"/>
      <c r="B2139" s="425"/>
      <c r="C2139" s="425"/>
    </row>
    <row r="2140" spans="1:3" x14ac:dyDescent="0.2">
      <c r="A2140" s="636"/>
      <c r="B2140" s="425"/>
      <c r="C2140" s="425"/>
    </row>
    <row r="2141" spans="1:3" x14ac:dyDescent="0.2">
      <c r="A2141" s="636"/>
      <c r="B2141" s="425"/>
      <c r="C2141" s="425"/>
    </row>
    <row r="2142" spans="1:3" x14ac:dyDescent="0.2">
      <c r="A2142" s="636"/>
      <c r="B2142" s="425"/>
      <c r="C2142" s="425"/>
    </row>
    <row r="2143" spans="1:3" x14ac:dyDescent="0.2">
      <c r="A2143" s="636"/>
      <c r="B2143" s="425"/>
      <c r="C2143" s="425"/>
    </row>
    <row r="2144" spans="1:3" x14ac:dyDescent="0.2">
      <c r="A2144" s="636"/>
      <c r="B2144" s="425"/>
      <c r="C2144" s="425"/>
    </row>
    <row r="2145" spans="1:3" x14ac:dyDescent="0.2">
      <c r="A2145" s="636"/>
      <c r="B2145" s="425"/>
      <c r="C2145" s="425"/>
    </row>
    <row r="2146" spans="1:3" x14ac:dyDescent="0.2">
      <c r="A2146" s="636"/>
      <c r="B2146" s="425"/>
      <c r="C2146" s="425"/>
    </row>
    <row r="2147" spans="1:3" x14ac:dyDescent="0.2">
      <c r="A2147" s="636"/>
      <c r="B2147" s="425"/>
      <c r="C2147" s="425"/>
    </row>
    <row r="2148" spans="1:3" x14ac:dyDescent="0.2">
      <c r="A2148" s="636"/>
      <c r="B2148" s="425"/>
      <c r="C2148" s="425"/>
    </row>
    <row r="2149" spans="1:3" x14ac:dyDescent="0.2">
      <c r="A2149" s="636"/>
      <c r="B2149" s="425"/>
      <c r="C2149" s="425"/>
    </row>
    <row r="2150" spans="1:3" x14ac:dyDescent="0.2">
      <c r="A2150" s="636"/>
      <c r="B2150" s="425"/>
      <c r="C2150" s="425"/>
    </row>
    <row r="2151" spans="1:3" x14ac:dyDescent="0.2">
      <c r="A2151" s="636"/>
      <c r="B2151" s="425"/>
      <c r="C2151" s="425"/>
    </row>
    <row r="2152" spans="1:3" x14ac:dyDescent="0.2">
      <c r="A2152" s="636"/>
      <c r="B2152" s="425"/>
      <c r="C2152" s="425"/>
    </row>
    <row r="2153" spans="1:3" x14ac:dyDescent="0.2">
      <c r="A2153" s="636"/>
      <c r="B2153" s="425"/>
      <c r="C2153" s="425"/>
    </row>
    <row r="2154" spans="1:3" x14ac:dyDescent="0.2">
      <c r="A2154" s="636"/>
      <c r="B2154" s="425"/>
      <c r="C2154" s="425"/>
    </row>
    <row r="2155" spans="1:3" x14ac:dyDescent="0.2">
      <c r="A2155" s="636"/>
      <c r="B2155" s="425"/>
      <c r="C2155" s="425"/>
    </row>
    <row r="2156" spans="1:3" x14ac:dyDescent="0.2">
      <c r="A2156" s="636"/>
      <c r="B2156" s="425"/>
      <c r="C2156" s="425"/>
    </row>
    <row r="2157" spans="1:3" x14ac:dyDescent="0.2">
      <c r="A2157" s="636"/>
      <c r="B2157" s="425"/>
      <c r="C2157" s="425"/>
    </row>
    <row r="2158" spans="1:3" x14ac:dyDescent="0.2">
      <c r="A2158" s="636"/>
      <c r="B2158" s="425"/>
      <c r="C2158" s="425"/>
    </row>
    <row r="2159" spans="1:3" x14ac:dyDescent="0.2">
      <c r="A2159" s="636"/>
      <c r="B2159" s="425"/>
      <c r="C2159" s="425"/>
    </row>
    <row r="2160" spans="1:3" x14ac:dyDescent="0.2">
      <c r="A2160" s="636"/>
      <c r="B2160" s="425"/>
      <c r="C2160" s="425"/>
    </row>
    <row r="2161" spans="1:3" x14ac:dyDescent="0.2">
      <c r="A2161" s="636"/>
      <c r="B2161" s="425"/>
      <c r="C2161" s="425"/>
    </row>
    <row r="2162" spans="1:3" x14ac:dyDescent="0.2">
      <c r="A2162" s="636"/>
      <c r="B2162" s="425"/>
      <c r="C2162" s="425"/>
    </row>
    <row r="2163" spans="1:3" x14ac:dyDescent="0.2">
      <c r="A2163" s="636"/>
      <c r="B2163" s="425"/>
      <c r="C2163" s="425"/>
    </row>
    <row r="2164" spans="1:3" x14ac:dyDescent="0.2">
      <c r="A2164" s="636"/>
      <c r="B2164" s="425"/>
      <c r="C2164" s="425"/>
    </row>
    <row r="2165" spans="1:3" x14ac:dyDescent="0.2">
      <c r="A2165" s="636"/>
      <c r="B2165" s="425"/>
      <c r="C2165" s="425"/>
    </row>
    <row r="2166" spans="1:3" x14ac:dyDescent="0.2">
      <c r="A2166" s="636"/>
      <c r="B2166" s="425"/>
      <c r="C2166" s="425"/>
    </row>
    <row r="2167" spans="1:3" x14ac:dyDescent="0.2">
      <c r="A2167" s="636"/>
      <c r="B2167" s="425"/>
      <c r="C2167" s="425"/>
    </row>
    <row r="2168" spans="1:3" x14ac:dyDescent="0.2">
      <c r="A2168" s="636"/>
      <c r="B2168" s="425"/>
      <c r="C2168" s="425"/>
    </row>
    <row r="2169" spans="1:3" x14ac:dyDescent="0.2">
      <c r="A2169" s="636"/>
      <c r="B2169" s="425"/>
      <c r="C2169" s="425"/>
    </row>
    <row r="2170" spans="1:3" x14ac:dyDescent="0.2">
      <c r="A2170" s="636"/>
      <c r="B2170" s="425"/>
      <c r="C2170" s="425"/>
    </row>
    <row r="2171" spans="1:3" x14ac:dyDescent="0.2">
      <c r="A2171" s="636"/>
      <c r="B2171" s="425"/>
      <c r="C2171" s="425"/>
    </row>
    <row r="2172" spans="1:3" x14ac:dyDescent="0.2">
      <c r="A2172" s="636"/>
      <c r="B2172" s="425"/>
      <c r="C2172" s="425"/>
    </row>
    <row r="2173" spans="1:3" x14ac:dyDescent="0.2">
      <c r="A2173" s="636"/>
      <c r="B2173" s="425"/>
      <c r="C2173" s="425"/>
    </row>
    <row r="2174" spans="1:3" x14ac:dyDescent="0.2">
      <c r="A2174" s="636"/>
      <c r="B2174" s="425"/>
      <c r="C2174" s="425"/>
    </row>
    <row r="2175" spans="1:3" x14ac:dyDescent="0.2">
      <c r="A2175" s="636"/>
      <c r="B2175" s="425"/>
      <c r="C2175" s="425"/>
    </row>
    <row r="2176" spans="1:3" x14ac:dyDescent="0.2">
      <c r="A2176" s="636"/>
      <c r="B2176" s="425"/>
      <c r="C2176" s="425"/>
    </row>
    <row r="2177" spans="1:3" x14ac:dyDescent="0.2">
      <c r="A2177" s="636"/>
      <c r="B2177" s="425"/>
      <c r="C2177" s="425"/>
    </row>
    <row r="2178" spans="1:3" x14ac:dyDescent="0.2">
      <c r="A2178" s="636"/>
      <c r="B2178" s="425"/>
      <c r="C2178" s="425"/>
    </row>
    <row r="2179" spans="1:3" x14ac:dyDescent="0.2">
      <c r="A2179" s="636"/>
      <c r="B2179" s="425"/>
      <c r="C2179" s="425"/>
    </row>
    <row r="2180" spans="1:3" x14ac:dyDescent="0.2">
      <c r="A2180" s="636"/>
      <c r="B2180" s="425"/>
      <c r="C2180" s="425"/>
    </row>
    <row r="2181" spans="1:3" x14ac:dyDescent="0.2">
      <c r="A2181" s="636"/>
      <c r="B2181" s="425"/>
      <c r="C2181" s="425"/>
    </row>
    <row r="2182" spans="1:3" x14ac:dyDescent="0.2">
      <c r="A2182" s="636"/>
      <c r="B2182" s="425"/>
      <c r="C2182" s="425"/>
    </row>
    <row r="2183" spans="1:3" x14ac:dyDescent="0.2">
      <c r="A2183" s="636"/>
      <c r="B2183" s="425"/>
      <c r="C2183" s="425"/>
    </row>
    <row r="2184" spans="1:3" x14ac:dyDescent="0.2">
      <c r="A2184" s="636"/>
      <c r="B2184" s="425"/>
      <c r="C2184" s="425"/>
    </row>
    <row r="2185" spans="1:3" x14ac:dyDescent="0.2">
      <c r="A2185" s="636"/>
      <c r="B2185" s="425"/>
      <c r="C2185" s="425"/>
    </row>
    <row r="2186" spans="1:3" x14ac:dyDescent="0.2">
      <c r="A2186" s="636"/>
      <c r="B2186" s="425"/>
      <c r="C2186" s="425"/>
    </row>
    <row r="2187" spans="1:3" x14ac:dyDescent="0.2">
      <c r="A2187" s="636"/>
      <c r="B2187" s="425"/>
      <c r="C2187" s="425"/>
    </row>
    <row r="2188" spans="1:3" x14ac:dyDescent="0.2">
      <c r="A2188" s="636"/>
      <c r="B2188" s="425"/>
      <c r="C2188" s="425"/>
    </row>
    <row r="2189" spans="1:3" x14ac:dyDescent="0.2">
      <c r="A2189" s="636"/>
      <c r="B2189" s="425"/>
      <c r="C2189" s="425"/>
    </row>
    <row r="2190" spans="1:3" x14ac:dyDescent="0.2">
      <c r="A2190" s="636"/>
      <c r="B2190" s="425"/>
      <c r="C2190" s="425"/>
    </row>
    <row r="2191" spans="1:3" x14ac:dyDescent="0.2">
      <c r="A2191" s="636"/>
      <c r="B2191" s="425"/>
      <c r="C2191" s="425"/>
    </row>
    <row r="2192" spans="1:3" x14ac:dyDescent="0.2">
      <c r="A2192" s="636"/>
      <c r="B2192" s="425"/>
      <c r="C2192" s="425"/>
    </row>
    <row r="2193" spans="1:3" x14ac:dyDescent="0.2">
      <c r="A2193" s="636"/>
      <c r="B2193" s="425"/>
      <c r="C2193" s="425"/>
    </row>
    <row r="2194" spans="1:3" x14ac:dyDescent="0.2">
      <c r="A2194" s="636"/>
      <c r="B2194" s="425"/>
      <c r="C2194" s="425"/>
    </row>
    <row r="2195" spans="1:3" x14ac:dyDescent="0.2">
      <c r="A2195" s="636"/>
      <c r="B2195" s="425"/>
      <c r="C2195" s="425"/>
    </row>
    <row r="2196" spans="1:3" x14ac:dyDescent="0.2">
      <c r="A2196" s="636"/>
      <c r="B2196" s="425"/>
      <c r="C2196" s="425"/>
    </row>
    <row r="2197" spans="1:3" x14ac:dyDescent="0.2">
      <c r="A2197" s="636"/>
      <c r="B2197" s="425"/>
      <c r="C2197" s="425"/>
    </row>
    <row r="2198" spans="1:3" x14ac:dyDescent="0.2">
      <c r="A2198" s="636"/>
      <c r="B2198" s="425"/>
      <c r="C2198" s="425"/>
    </row>
    <row r="2199" spans="1:3" x14ac:dyDescent="0.2">
      <c r="A2199" s="636"/>
      <c r="B2199" s="425"/>
      <c r="C2199" s="425"/>
    </row>
    <row r="2200" spans="1:3" x14ac:dyDescent="0.2">
      <c r="A2200" s="636"/>
      <c r="B2200" s="425"/>
      <c r="C2200" s="425"/>
    </row>
    <row r="2201" spans="1:3" x14ac:dyDescent="0.2">
      <c r="A2201" s="636"/>
      <c r="B2201" s="425"/>
      <c r="C2201" s="425"/>
    </row>
    <row r="2202" spans="1:3" x14ac:dyDescent="0.2">
      <c r="A2202" s="636"/>
      <c r="B2202" s="425"/>
      <c r="C2202" s="425"/>
    </row>
    <row r="2203" spans="1:3" x14ac:dyDescent="0.2">
      <c r="A2203" s="636"/>
      <c r="B2203" s="425"/>
      <c r="C2203" s="425"/>
    </row>
    <row r="2204" spans="1:3" x14ac:dyDescent="0.2">
      <c r="A2204" s="636"/>
      <c r="B2204" s="425"/>
      <c r="C2204" s="425"/>
    </row>
    <row r="2205" spans="1:3" x14ac:dyDescent="0.2">
      <c r="A2205" s="636"/>
      <c r="B2205" s="425"/>
      <c r="C2205" s="425"/>
    </row>
    <row r="2206" spans="1:3" x14ac:dyDescent="0.2">
      <c r="A2206" s="636"/>
      <c r="B2206" s="425"/>
      <c r="C2206" s="425"/>
    </row>
    <row r="2207" spans="1:3" x14ac:dyDescent="0.2">
      <c r="A2207" s="636"/>
      <c r="B2207" s="425"/>
      <c r="C2207" s="425"/>
    </row>
    <row r="2208" spans="1:3" x14ac:dyDescent="0.2">
      <c r="A2208" s="636"/>
      <c r="B2208" s="425"/>
      <c r="C2208" s="425"/>
    </row>
    <row r="2209" spans="1:3" x14ac:dyDescent="0.2">
      <c r="A2209" s="636"/>
      <c r="B2209" s="425"/>
      <c r="C2209" s="425"/>
    </row>
    <row r="2210" spans="1:3" x14ac:dyDescent="0.2">
      <c r="A2210" s="636"/>
      <c r="B2210" s="425"/>
      <c r="C2210" s="425"/>
    </row>
    <row r="2211" spans="1:3" x14ac:dyDescent="0.2">
      <c r="A2211" s="636"/>
      <c r="B2211" s="425"/>
      <c r="C2211" s="425"/>
    </row>
    <row r="2212" spans="1:3" x14ac:dyDescent="0.2">
      <c r="A2212" s="636"/>
      <c r="B2212" s="425"/>
      <c r="C2212" s="425"/>
    </row>
    <row r="2213" spans="1:3" x14ac:dyDescent="0.2">
      <c r="A2213" s="636"/>
      <c r="B2213" s="425"/>
      <c r="C2213" s="425"/>
    </row>
    <row r="2214" spans="1:3" x14ac:dyDescent="0.2">
      <c r="A2214" s="636"/>
      <c r="B2214" s="425"/>
      <c r="C2214" s="425"/>
    </row>
    <row r="2215" spans="1:3" x14ac:dyDescent="0.2">
      <c r="A2215" s="636"/>
      <c r="B2215" s="425"/>
      <c r="C2215" s="425"/>
    </row>
    <row r="2216" spans="1:3" x14ac:dyDescent="0.2">
      <c r="A2216" s="636"/>
      <c r="B2216" s="425"/>
      <c r="C2216" s="425"/>
    </row>
    <row r="2217" spans="1:3" x14ac:dyDescent="0.2">
      <c r="A2217" s="636"/>
      <c r="B2217" s="425"/>
      <c r="C2217" s="425"/>
    </row>
    <row r="2218" spans="1:3" x14ac:dyDescent="0.2">
      <c r="A2218" s="636"/>
      <c r="B2218" s="425"/>
      <c r="C2218" s="425"/>
    </row>
    <row r="2219" spans="1:3" x14ac:dyDescent="0.2">
      <c r="A2219" s="636"/>
      <c r="B2219" s="425"/>
      <c r="C2219" s="425"/>
    </row>
    <row r="2220" spans="1:3" x14ac:dyDescent="0.2">
      <c r="A2220" s="636"/>
      <c r="B2220" s="425"/>
      <c r="C2220" s="425"/>
    </row>
    <row r="2221" spans="1:3" x14ac:dyDescent="0.2">
      <c r="A2221" s="636"/>
      <c r="B2221" s="425"/>
      <c r="C2221" s="425"/>
    </row>
    <row r="2222" spans="1:3" x14ac:dyDescent="0.2">
      <c r="A2222" s="636"/>
      <c r="B2222" s="425"/>
      <c r="C2222" s="425"/>
    </row>
    <row r="2223" spans="1:3" x14ac:dyDescent="0.2">
      <c r="A2223" s="636"/>
      <c r="B2223" s="425"/>
      <c r="C2223" s="425"/>
    </row>
    <row r="2224" spans="1:3" x14ac:dyDescent="0.2">
      <c r="A2224" s="636"/>
      <c r="B2224" s="425"/>
      <c r="C2224" s="425"/>
    </row>
    <row r="2225" spans="1:3" x14ac:dyDescent="0.2">
      <c r="A2225" s="636"/>
      <c r="B2225" s="425"/>
      <c r="C2225" s="425"/>
    </row>
    <row r="2226" spans="1:3" x14ac:dyDescent="0.2">
      <c r="A2226" s="636"/>
      <c r="B2226" s="425"/>
      <c r="C2226" s="425"/>
    </row>
    <row r="2227" spans="1:3" x14ac:dyDescent="0.2">
      <c r="A2227" s="636"/>
      <c r="B2227" s="425"/>
      <c r="C2227" s="425"/>
    </row>
    <row r="2228" spans="1:3" x14ac:dyDescent="0.2">
      <c r="A2228" s="636"/>
      <c r="B2228" s="425"/>
      <c r="C2228" s="425"/>
    </row>
    <row r="2229" spans="1:3" x14ac:dyDescent="0.2">
      <c r="A2229" s="636"/>
      <c r="B2229" s="425"/>
      <c r="C2229" s="425"/>
    </row>
    <row r="2230" spans="1:3" x14ac:dyDescent="0.2">
      <c r="A2230" s="636"/>
      <c r="B2230" s="425"/>
      <c r="C2230" s="425"/>
    </row>
    <row r="2231" spans="1:3" x14ac:dyDescent="0.2">
      <c r="A2231" s="636"/>
      <c r="B2231" s="425"/>
      <c r="C2231" s="425"/>
    </row>
    <row r="2232" spans="1:3" x14ac:dyDescent="0.2">
      <c r="A2232" s="636"/>
      <c r="B2232" s="425"/>
      <c r="C2232" s="425"/>
    </row>
    <row r="2233" spans="1:3" x14ac:dyDescent="0.2">
      <c r="A2233" s="636"/>
      <c r="B2233" s="425"/>
      <c r="C2233" s="425"/>
    </row>
    <row r="2234" spans="1:3" x14ac:dyDescent="0.2">
      <c r="A2234" s="636"/>
      <c r="B2234" s="425"/>
      <c r="C2234" s="425"/>
    </row>
    <row r="2235" spans="1:3" x14ac:dyDescent="0.2">
      <c r="A2235" s="636"/>
      <c r="B2235" s="425"/>
      <c r="C2235" s="425"/>
    </row>
    <row r="2236" spans="1:3" x14ac:dyDescent="0.2">
      <c r="A2236" s="636"/>
      <c r="B2236" s="425"/>
      <c r="C2236" s="425"/>
    </row>
    <row r="2237" spans="1:3" x14ac:dyDescent="0.2">
      <c r="A2237" s="636"/>
      <c r="B2237" s="425"/>
      <c r="C2237" s="425"/>
    </row>
    <row r="2238" spans="1:3" x14ac:dyDescent="0.2">
      <c r="A2238" s="636"/>
      <c r="B2238" s="425"/>
      <c r="C2238" s="425"/>
    </row>
    <row r="2239" spans="1:3" x14ac:dyDescent="0.2">
      <c r="A2239" s="636"/>
      <c r="B2239" s="425"/>
      <c r="C2239" s="425"/>
    </row>
    <row r="2240" spans="1:3" x14ac:dyDescent="0.2">
      <c r="A2240" s="636"/>
      <c r="B2240" s="425"/>
      <c r="C2240" s="425"/>
    </row>
    <row r="2241" spans="1:3" x14ac:dyDescent="0.2">
      <c r="A2241" s="636"/>
      <c r="B2241" s="425"/>
      <c r="C2241" s="425"/>
    </row>
    <row r="2242" spans="1:3" x14ac:dyDescent="0.2">
      <c r="A2242" s="636"/>
      <c r="B2242" s="425"/>
      <c r="C2242" s="425"/>
    </row>
    <row r="2243" spans="1:3" x14ac:dyDescent="0.2">
      <c r="A2243" s="636"/>
      <c r="B2243" s="425"/>
      <c r="C2243" s="425"/>
    </row>
    <row r="2244" spans="1:3" x14ac:dyDescent="0.2">
      <c r="A2244" s="636"/>
      <c r="B2244" s="425"/>
      <c r="C2244" s="425"/>
    </row>
    <row r="2245" spans="1:3" x14ac:dyDescent="0.2">
      <c r="A2245" s="636"/>
      <c r="B2245" s="425"/>
      <c r="C2245" s="425"/>
    </row>
    <row r="2246" spans="1:3" x14ac:dyDescent="0.2">
      <c r="A2246" s="636"/>
      <c r="B2246" s="425"/>
      <c r="C2246" s="425"/>
    </row>
    <row r="2247" spans="1:3" x14ac:dyDescent="0.2">
      <c r="A2247" s="636"/>
      <c r="B2247" s="425"/>
      <c r="C2247" s="425"/>
    </row>
    <row r="2248" spans="1:3" x14ac:dyDescent="0.2">
      <c r="A2248" s="636"/>
      <c r="B2248" s="425"/>
      <c r="C2248" s="425"/>
    </row>
    <row r="2249" spans="1:3" x14ac:dyDescent="0.2">
      <c r="A2249" s="636"/>
      <c r="B2249" s="425"/>
      <c r="C2249" s="425"/>
    </row>
    <row r="2250" spans="1:3" x14ac:dyDescent="0.2">
      <c r="A2250" s="636"/>
      <c r="B2250" s="425"/>
      <c r="C2250" s="425"/>
    </row>
    <row r="2251" spans="1:3" x14ac:dyDescent="0.2">
      <c r="A2251" s="636"/>
      <c r="B2251" s="425"/>
      <c r="C2251" s="425"/>
    </row>
    <row r="2252" spans="1:3" x14ac:dyDescent="0.2">
      <c r="A2252" s="636"/>
      <c r="B2252" s="425"/>
      <c r="C2252" s="425"/>
    </row>
    <row r="2253" spans="1:3" x14ac:dyDescent="0.2">
      <c r="A2253" s="636"/>
      <c r="B2253" s="425"/>
      <c r="C2253" s="425"/>
    </row>
    <row r="2254" spans="1:3" x14ac:dyDescent="0.2">
      <c r="A2254" s="636"/>
      <c r="B2254" s="425"/>
      <c r="C2254" s="425"/>
    </row>
    <row r="2255" spans="1:3" x14ac:dyDescent="0.2">
      <c r="A2255" s="636"/>
      <c r="B2255" s="425"/>
      <c r="C2255" s="425"/>
    </row>
    <row r="2256" spans="1:3" x14ac:dyDescent="0.2">
      <c r="A2256" s="636"/>
      <c r="B2256" s="425"/>
      <c r="C2256" s="425"/>
    </row>
    <row r="2257" spans="1:3" x14ac:dyDescent="0.2">
      <c r="A2257" s="636"/>
      <c r="B2257" s="425"/>
      <c r="C2257" s="425"/>
    </row>
    <row r="2258" spans="1:3" x14ac:dyDescent="0.2">
      <c r="A2258" s="636"/>
      <c r="B2258" s="425"/>
      <c r="C2258" s="425"/>
    </row>
    <row r="2259" spans="1:3" x14ac:dyDescent="0.2">
      <c r="A2259" s="636"/>
      <c r="B2259" s="425"/>
      <c r="C2259" s="425"/>
    </row>
    <row r="2260" spans="1:3" x14ac:dyDescent="0.2">
      <c r="A2260" s="636"/>
      <c r="B2260" s="425"/>
      <c r="C2260" s="425"/>
    </row>
    <row r="2261" spans="1:3" x14ac:dyDescent="0.2">
      <c r="A2261" s="636"/>
      <c r="B2261" s="425"/>
      <c r="C2261" s="425"/>
    </row>
    <row r="2262" spans="1:3" x14ac:dyDescent="0.2">
      <c r="A2262" s="636"/>
      <c r="B2262" s="425"/>
      <c r="C2262" s="425"/>
    </row>
    <row r="2263" spans="1:3" x14ac:dyDescent="0.2">
      <c r="A2263" s="636"/>
      <c r="B2263" s="425"/>
      <c r="C2263" s="425"/>
    </row>
    <row r="2264" spans="1:3" x14ac:dyDescent="0.2">
      <c r="A2264" s="636"/>
      <c r="B2264" s="425"/>
      <c r="C2264" s="425"/>
    </row>
    <row r="2265" spans="1:3" x14ac:dyDescent="0.2">
      <c r="A2265" s="636"/>
      <c r="B2265" s="425"/>
      <c r="C2265" s="425"/>
    </row>
    <row r="2266" spans="1:3" x14ac:dyDescent="0.2">
      <c r="A2266" s="636"/>
      <c r="B2266" s="425"/>
      <c r="C2266" s="425"/>
    </row>
    <row r="2267" spans="1:3" x14ac:dyDescent="0.2">
      <c r="A2267" s="636"/>
      <c r="B2267" s="425"/>
      <c r="C2267" s="425"/>
    </row>
    <row r="2268" spans="1:3" x14ac:dyDescent="0.2">
      <c r="A2268" s="636"/>
      <c r="B2268" s="425"/>
      <c r="C2268" s="425"/>
    </row>
    <row r="2269" spans="1:3" x14ac:dyDescent="0.2">
      <c r="A2269" s="636"/>
      <c r="B2269" s="425"/>
      <c r="C2269" s="425"/>
    </row>
    <row r="2270" spans="1:3" x14ac:dyDescent="0.2">
      <c r="A2270" s="636"/>
      <c r="B2270" s="425"/>
      <c r="C2270" s="425"/>
    </row>
    <row r="2271" spans="1:3" x14ac:dyDescent="0.2">
      <c r="A2271" s="636"/>
      <c r="B2271" s="425"/>
      <c r="C2271" s="425"/>
    </row>
    <row r="2272" spans="1:3" x14ac:dyDescent="0.2">
      <c r="A2272" s="636"/>
      <c r="B2272" s="425"/>
      <c r="C2272" s="425"/>
    </row>
    <row r="2273" spans="1:3" x14ac:dyDescent="0.2">
      <c r="A2273" s="636"/>
      <c r="B2273" s="425"/>
      <c r="C2273" s="425"/>
    </row>
    <row r="2274" spans="1:3" x14ac:dyDescent="0.2">
      <c r="A2274" s="636"/>
      <c r="B2274" s="425"/>
      <c r="C2274" s="425"/>
    </row>
    <row r="2275" spans="1:3" x14ac:dyDescent="0.2">
      <c r="A2275" s="636"/>
      <c r="B2275" s="425"/>
      <c r="C2275" s="425"/>
    </row>
    <row r="2276" spans="1:3" x14ac:dyDescent="0.2">
      <c r="A2276" s="636"/>
      <c r="B2276" s="425"/>
      <c r="C2276" s="425"/>
    </row>
    <row r="2277" spans="1:3" x14ac:dyDescent="0.2">
      <c r="A2277" s="636"/>
      <c r="B2277" s="425"/>
      <c r="C2277" s="425"/>
    </row>
    <row r="2278" spans="1:3" x14ac:dyDescent="0.2">
      <c r="A2278" s="636"/>
      <c r="B2278" s="425"/>
      <c r="C2278" s="425"/>
    </row>
    <row r="2279" spans="1:3" x14ac:dyDescent="0.2">
      <c r="A2279" s="636"/>
      <c r="B2279" s="425"/>
      <c r="C2279" s="425"/>
    </row>
    <row r="2280" spans="1:3" x14ac:dyDescent="0.2">
      <c r="A2280" s="636"/>
      <c r="B2280" s="425"/>
      <c r="C2280" s="425"/>
    </row>
    <row r="2281" spans="1:3" x14ac:dyDescent="0.2">
      <c r="A2281" s="636"/>
      <c r="B2281" s="425"/>
      <c r="C2281" s="425"/>
    </row>
    <row r="2282" spans="1:3" x14ac:dyDescent="0.2">
      <c r="A2282" s="636"/>
      <c r="B2282" s="425"/>
      <c r="C2282" s="425"/>
    </row>
    <row r="2283" spans="1:3" x14ac:dyDescent="0.2">
      <c r="A2283" s="636"/>
      <c r="B2283" s="425"/>
      <c r="C2283" s="425"/>
    </row>
    <row r="2284" spans="1:3" x14ac:dyDescent="0.2">
      <c r="A2284" s="636"/>
      <c r="B2284" s="425"/>
      <c r="C2284" s="425"/>
    </row>
    <row r="2285" spans="1:3" x14ac:dyDescent="0.2">
      <c r="A2285" s="636"/>
      <c r="B2285" s="425"/>
      <c r="C2285" s="425"/>
    </row>
    <row r="2286" spans="1:3" x14ac:dyDescent="0.2">
      <c r="A2286" s="636"/>
      <c r="B2286" s="425"/>
      <c r="C2286" s="425"/>
    </row>
    <row r="2287" spans="1:3" x14ac:dyDescent="0.2">
      <c r="A2287" s="636"/>
      <c r="B2287" s="425"/>
      <c r="C2287" s="425"/>
    </row>
    <row r="2288" spans="1:3" x14ac:dyDescent="0.2">
      <c r="A2288" s="636"/>
      <c r="B2288" s="425"/>
      <c r="C2288" s="425"/>
    </row>
    <row r="2289" spans="1:3" x14ac:dyDescent="0.2">
      <c r="A2289" s="636"/>
      <c r="B2289" s="425"/>
      <c r="C2289" s="425"/>
    </row>
    <row r="2290" spans="1:3" x14ac:dyDescent="0.2">
      <c r="A2290" s="636"/>
      <c r="B2290" s="425"/>
      <c r="C2290" s="425"/>
    </row>
    <row r="2291" spans="1:3" x14ac:dyDescent="0.2">
      <c r="A2291" s="636"/>
      <c r="B2291" s="425"/>
      <c r="C2291" s="425"/>
    </row>
    <row r="2292" spans="1:3" x14ac:dyDescent="0.2">
      <c r="A2292" s="636"/>
      <c r="B2292" s="425"/>
      <c r="C2292" s="425"/>
    </row>
    <row r="2293" spans="1:3" x14ac:dyDescent="0.2">
      <c r="A2293" s="636"/>
      <c r="B2293" s="425"/>
      <c r="C2293" s="425"/>
    </row>
    <row r="2294" spans="1:3" x14ac:dyDescent="0.2">
      <c r="A2294" s="636"/>
      <c r="B2294" s="425"/>
      <c r="C2294" s="425"/>
    </row>
    <row r="2295" spans="1:3" x14ac:dyDescent="0.2">
      <c r="A2295" s="636"/>
      <c r="B2295" s="425"/>
      <c r="C2295" s="425"/>
    </row>
    <row r="2296" spans="1:3" x14ac:dyDescent="0.2">
      <c r="A2296" s="636"/>
      <c r="B2296" s="425"/>
      <c r="C2296" s="425"/>
    </row>
    <row r="2297" spans="1:3" x14ac:dyDescent="0.2">
      <c r="A2297" s="636"/>
      <c r="B2297" s="425"/>
      <c r="C2297" s="425"/>
    </row>
    <row r="2298" spans="1:3" x14ac:dyDescent="0.2">
      <c r="A2298" s="636"/>
      <c r="B2298" s="425"/>
      <c r="C2298" s="425"/>
    </row>
    <row r="2299" spans="1:3" x14ac:dyDescent="0.2">
      <c r="A2299" s="636"/>
      <c r="B2299" s="425"/>
      <c r="C2299" s="425"/>
    </row>
    <row r="2300" spans="1:3" x14ac:dyDescent="0.2">
      <c r="A2300" s="636"/>
      <c r="B2300" s="425"/>
      <c r="C2300" s="425"/>
    </row>
    <row r="2301" spans="1:3" x14ac:dyDescent="0.2">
      <c r="A2301" s="636"/>
      <c r="B2301" s="425"/>
      <c r="C2301" s="425"/>
    </row>
    <row r="2302" spans="1:3" x14ac:dyDescent="0.2">
      <c r="A2302" s="636"/>
      <c r="B2302" s="425"/>
      <c r="C2302" s="425"/>
    </row>
    <row r="2303" spans="1:3" x14ac:dyDescent="0.2">
      <c r="A2303" s="636"/>
      <c r="B2303" s="425"/>
      <c r="C2303" s="425"/>
    </row>
    <row r="2304" spans="1:3" x14ac:dyDescent="0.2">
      <c r="A2304" s="636"/>
      <c r="B2304" s="425"/>
      <c r="C2304" s="425"/>
    </row>
    <row r="2305" spans="1:3" x14ac:dyDescent="0.2">
      <c r="A2305" s="636"/>
      <c r="B2305" s="425"/>
      <c r="C2305" s="425"/>
    </row>
    <row r="2306" spans="1:3" x14ac:dyDescent="0.2">
      <c r="A2306" s="636"/>
      <c r="B2306" s="425"/>
      <c r="C2306" s="425"/>
    </row>
    <row r="2307" spans="1:3" x14ac:dyDescent="0.2">
      <c r="A2307" s="636"/>
      <c r="B2307" s="425"/>
      <c r="C2307" s="425"/>
    </row>
    <row r="2308" spans="1:3" x14ac:dyDescent="0.2">
      <c r="A2308" s="636"/>
      <c r="B2308" s="425"/>
      <c r="C2308" s="425"/>
    </row>
    <row r="2309" spans="1:3" x14ac:dyDescent="0.2">
      <c r="A2309" s="636"/>
      <c r="B2309" s="425"/>
      <c r="C2309" s="425"/>
    </row>
    <row r="2310" spans="1:3" x14ac:dyDescent="0.2">
      <c r="A2310" s="636"/>
      <c r="B2310" s="425"/>
      <c r="C2310" s="425"/>
    </row>
    <row r="2311" spans="1:3" x14ac:dyDescent="0.2">
      <c r="A2311" s="636"/>
      <c r="B2311" s="425"/>
      <c r="C2311" s="425"/>
    </row>
    <row r="2312" spans="1:3" x14ac:dyDescent="0.2">
      <c r="A2312" s="636"/>
      <c r="B2312" s="425"/>
      <c r="C2312" s="425"/>
    </row>
    <row r="2313" spans="1:3" x14ac:dyDescent="0.2">
      <c r="A2313" s="636"/>
      <c r="B2313" s="425"/>
      <c r="C2313" s="425"/>
    </row>
    <row r="2314" spans="1:3" x14ac:dyDescent="0.2">
      <c r="A2314" s="636"/>
      <c r="B2314" s="425"/>
      <c r="C2314" s="425"/>
    </row>
    <row r="2315" spans="1:3" x14ac:dyDescent="0.2">
      <c r="A2315" s="636"/>
      <c r="B2315" s="425"/>
      <c r="C2315" s="425"/>
    </row>
    <row r="2316" spans="1:3" x14ac:dyDescent="0.2">
      <c r="A2316" s="636"/>
      <c r="B2316" s="425"/>
      <c r="C2316" s="425"/>
    </row>
    <row r="2317" spans="1:3" x14ac:dyDescent="0.2">
      <c r="A2317" s="636"/>
      <c r="B2317" s="425"/>
      <c r="C2317" s="425"/>
    </row>
    <row r="2318" spans="1:3" x14ac:dyDescent="0.2">
      <c r="A2318" s="636"/>
      <c r="B2318" s="425"/>
      <c r="C2318" s="425"/>
    </row>
    <row r="2319" spans="1:3" x14ac:dyDescent="0.2">
      <c r="A2319" s="636"/>
      <c r="B2319" s="425"/>
      <c r="C2319" s="425"/>
    </row>
    <row r="2320" spans="1:3" x14ac:dyDescent="0.2">
      <c r="A2320" s="636"/>
      <c r="B2320" s="425"/>
      <c r="C2320" s="425"/>
    </row>
    <row r="2321" spans="1:3" x14ac:dyDescent="0.2">
      <c r="A2321" s="636"/>
      <c r="B2321" s="425"/>
      <c r="C2321" s="425"/>
    </row>
    <row r="2322" spans="1:3" x14ac:dyDescent="0.2">
      <c r="A2322" s="636"/>
      <c r="B2322" s="425"/>
      <c r="C2322" s="425"/>
    </row>
    <row r="2323" spans="1:3" x14ac:dyDescent="0.2">
      <c r="A2323" s="636"/>
      <c r="B2323" s="425"/>
      <c r="C2323" s="425"/>
    </row>
    <row r="2324" spans="1:3" x14ac:dyDescent="0.2">
      <c r="A2324" s="636"/>
      <c r="B2324" s="425"/>
      <c r="C2324" s="425"/>
    </row>
    <row r="2325" spans="1:3" x14ac:dyDescent="0.2">
      <c r="A2325" s="636"/>
      <c r="B2325" s="425"/>
      <c r="C2325" s="425"/>
    </row>
    <row r="2326" spans="1:3" x14ac:dyDescent="0.2">
      <c r="A2326" s="636"/>
      <c r="B2326" s="425"/>
      <c r="C2326" s="425"/>
    </row>
    <row r="2327" spans="1:3" x14ac:dyDescent="0.2">
      <c r="A2327" s="636"/>
      <c r="B2327" s="425"/>
      <c r="C2327" s="425"/>
    </row>
    <row r="2328" spans="1:3" x14ac:dyDescent="0.2">
      <c r="A2328" s="636"/>
      <c r="B2328" s="425"/>
      <c r="C2328" s="425"/>
    </row>
    <row r="2329" spans="1:3" x14ac:dyDescent="0.2">
      <c r="A2329" s="636"/>
      <c r="B2329" s="425"/>
      <c r="C2329" s="425"/>
    </row>
    <row r="2330" spans="1:3" x14ac:dyDescent="0.2">
      <c r="A2330" s="636"/>
      <c r="B2330" s="425"/>
      <c r="C2330" s="425"/>
    </row>
    <row r="2331" spans="1:3" x14ac:dyDescent="0.2">
      <c r="A2331" s="636"/>
      <c r="B2331" s="425"/>
      <c r="C2331" s="425"/>
    </row>
    <row r="2332" spans="1:3" x14ac:dyDescent="0.2">
      <c r="A2332" s="636"/>
      <c r="B2332" s="425"/>
      <c r="C2332" s="425"/>
    </row>
    <row r="2333" spans="1:3" x14ac:dyDescent="0.2">
      <c r="A2333" s="636"/>
      <c r="B2333" s="425"/>
      <c r="C2333" s="425"/>
    </row>
    <row r="2334" spans="1:3" x14ac:dyDescent="0.2">
      <c r="A2334" s="636"/>
      <c r="B2334" s="425"/>
      <c r="C2334" s="425"/>
    </row>
    <row r="2335" spans="1:3" x14ac:dyDescent="0.2">
      <c r="A2335" s="636"/>
      <c r="B2335" s="425"/>
      <c r="C2335" s="425"/>
    </row>
    <row r="2336" spans="1:3" x14ac:dyDescent="0.2">
      <c r="A2336" s="636"/>
      <c r="B2336" s="425"/>
      <c r="C2336" s="425"/>
    </row>
    <row r="2337" spans="1:3" x14ac:dyDescent="0.2">
      <c r="A2337" s="636"/>
      <c r="B2337" s="425"/>
      <c r="C2337" s="425"/>
    </row>
    <row r="2338" spans="1:3" x14ac:dyDescent="0.2">
      <c r="A2338" s="636"/>
      <c r="B2338" s="425"/>
      <c r="C2338" s="425"/>
    </row>
    <row r="2339" spans="1:3" x14ac:dyDescent="0.2">
      <c r="A2339" s="636"/>
      <c r="B2339" s="425"/>
      <c r="C2339" s="425"/>
    </row>
    <row r="2340" spans="1:3" x14ac:dyDescent="0.2">
      <c r="A2340" s="636"/>
      <c r="B2340" s="425"/>
      <c r="C2340" s="425"/>
    </row>
    <row r="2341" spans="1:3" x14ac:dyDescent="0.2">
      <c r="A2341" s="636"/>
      <c r="B2341" s="425"/>
      <c r="C2341" s="425"/>
    </row>
    <row r="2342" spans="1:3" x14ac:dyDescent="0.2">
      <c r="A2342" s="636"/>
      <c r="B2342" s="425"/>
      <c r="C2342" s="425"/>
    </row>
    <row r="2343" spans="1:3" x14ac:dyDescent="0.2">
      <c r="A2343" s="636"/>
      <c r="B2343" s="425"/>
      <c r="C2343" s="425"/>
    </row>
    <row r="2344" spans="1:3" x14ac:dyDescent="0.2">
      <c r="A2344" s="636"/>
      <c r="B2344" s="425"/>
      <c r="C2344" s="425"/>
    </row>
    <row r="2345" spans="1:3" x14ac:dyDescent="0.2">
      <c r="A2345" s="636"/>
      <c r="B2345" s="425"/>
      <c r="C2345" s="425"/>
    </row>
    <row r="2346" spans="1:3" x14ac:dyDescent="0.2">
      <c r="A2346" s="636"/>
      <c r="B2346" s="425"/>
      <c r="C2346" s="425"/>
    </row>
    <row r="2347" spans="1:3" x14ac:dyDescent="0.2">
      <c r="A2347" s="636"/>
      <c r="B2347" s="425"/>
      <c r="C2347" s="425"/>
    </row>
    <row r="2348" spans="1:3" x14ac:dyDescent="0.2">
      <c r="A2348" s="636"/>
      <c r="B2348" s="425"/>
      <c r="C2348" s="425"/>
    </row>
    <row r="2349" spans="1:3" x14ac:dyDescent="0.2">
      <c r="A2349" s="636"/>
      <c r="B2349" s="425"/>
      <c r="C2349" s="425"/>
    </row>
    <row r="2350" spans="1:3" x14ac:dyDescent="0.2">
      <c r="A2350" s="636"/>
      <c r="B2350" s="425"/>
      <c r="C2350" s="425"/>
    </row>
    <row r="2351" spans="1:3" x14ac:dyDescent="0.2">
      <c r="A2351" s="636"/>
      <c r="B2351" s="425"/>
      <c r="C2351" s="425"/>
    </row>
    <row r="2352" spans="1:3" x14ac:dyDescent="0.2">
      <c r="A2352" s="636"/>
      <c r="B2352" s="425"/>
      <c r="C2352" s="425"/>
    </row>
    <row r="2353" spans="1:3" x14ac:dyDescent="0.2">
      <c r="A2353" s="636"/>
      <c r="B2353" s="425"/>
      <c r="C2353" s="425"/>
    </row>
    <row r="2354" spans="1:3" x14ac:dyDescent="0.2">
      <c r="A2354" s="636"/>
      <c r="B2354" s="425"/>
      <c r="C2354" s="425"/>
    </row>
    <row r="2355" spans="1:3" x14ac:dyDescent="0.2">
      <c r="A2355" s="636"/>
      <c r="B2355" s="425"/>
      <c r="C2355" s="425"/>
    </row>
    <row r="2356" spans="1:3" x14ac:dyDescent="0.2">
      <c r="A2356" s="636"/>
      <c r="B2356" s="425"/>
      <c r="C2356" s="425"/>
    </row>
    <row r="2357" spans="1:3" x14ac:dyDescent="0.2">
      <c r="A2357" s="636"/>
      <c r="B2357" s="425"/>
      <c r="C2357" s="425"/>
    </row>
    <row r="2358" spans="1:3" x14ac:dyDescent="0.2">
      <c r="A2358" s="636"/>
      <c r="B2358" s="425"/>
      <c r="C2358" s="425"/>
    </row>
    <row r="2359" spans="1:3" x14ac:dyDescent="0.2">
      <c r="A2359" s="636"/>
      <c r="B2359" s="425"/>
      <c r="C2359" s="425"/>
    </row>
    <row r="2360" spans="1:3" x14ac:dyDescent="0.2">
      <c r="A2360" s="636"/>
      <c r="B2360" s="425"/>
      <c r="C2360" s="425"/>
    </row>
    <row r="2361" spans="1:3" x14ac:dyDescent="0.2">
      <c r="A2361" s="636"/>
      <c r="B2361" s="425"/>
      <c r="C2361" s="425"/>
    </row>
    <row r="2362" spans="1:3" x14ac:dyDescent="0.2">
      <c r="A2362" s="636"/>
      <c r="B2362" s="425"/>
      <c r="C2362" s="425"/>
    </row>
    <row r="2363" spans="1:3" x14ac:dyDescent="0.2">
      <c r="A2363" s="636"/>
      <c r="B2363" s="425"/>
      <c r="C2363" s="425"/>
    </row>
    <row r="2364" spans="1:3" x14ac:dyDescent="0.2">
      <c r="A2364" s="636"/>
      <c r="B2364" s="425"/>
      <c r="C2364" s="425"/>
    </row>
    <row r="2365" spans="1:3" x14ac:dyDescent="0.2">
      <c r="A2365" s="636"/>
      <c r="B2365" s="425"/>
      <c r="C2365" s="425"/>
    </row>
    <row r="2366" spans="1:3" x14ac:dyDescent="0.2">
      <c r="A2366" s="636"/>
      <c r="B2366" s="425"/>
      <c r="C2366" s="425"/>
    </row>
    <row r="2367" spans="1:3" x14ac:dyDescent="0.2">
      <c r="A2367" s="636"/>
      <c r="B2367" s="425"/>
      <c r="C2367" s="425"/>
    </row>
    <row r="2368" spans="1:3" x14ac:dyDescent="0.2">
      <c r="A2368" s="636"/>
      <c r="B2368" s="425"/>
      <c r="C2368" s="425"/>
    </row>
    <row r="2369" spans="1:3" x14ac:dyDescent="0.2">
      <c r="A2369" s="636"/>
      <c r="B2369" s="425"/>
      <c r="C2369" s="425"/>
    </row>
    <row r="2370" spans="1:3" x14ac:dyDescent="0.2">
      <c r="A2370" s="636"/>
      <c r="B2370" s="425"/>
      <c r="C2370" s="425"/>
    </row>
    <row r="2371" spans="1:3" x14ac:dyDescent="0.2">
      <c r="A2371" s="636"/>
      <c r="B2371" s="425"/>
      <c r="C2371" s="425"/>
    </row>
    <row r="2372" spans="1:3" x14ac:dyDescent="0.2">
      <c r="A2372" s="636"/>
      <c r="B2372" s="425"/>
      <c r="C2372" s="425"/>
    </row>
    <row r="2373" spans="1:3" x14ac:dyDescent="0.2">
      <c r="A2373" s="636"/>
      <c r="B2373" s="425"/>
      <c r="C2373" s="425"/>
    </row>
    <row r="2374" spans="1:3" x14ac:dyDescent="0.2">
      <c r="A2374" s="636"/>
      <c r="B2374" s="425"/>
      <c r="C2374" s="425"/>
    </row>
    <row r="2375" spans="1:3" x14ac:dyDescent="0.2">
      <c r="A2375" s="636"/>
      <c r="B2375" s="425"/>
      <c r="C2375" s="425"/>
    </row>
    <row r="2376" spans="1:3" x14ac:dyDescent="0.2">
      <c r="A2376" s="636"/>
      <c r="B2376" s="425"/>
      <c r="C2376" s="425"/>
    </row>
    <row r="2377" spans="1:3" x14ac:dyDescent="0.2">
      <c r="A2377" s="636"/>
      <c r="B2377" s="425"/>
      <c r="C2377" s="425"/>
    </row>
    <row r="2378" spans="1:3" x14ac:dyDescent="0.2">
      <c r="A2378" s="636"/>
      <c r="B2378" s="425"/>
      <c r="C2378" s="425"/>
    </row>
    <row r="2379" spans="1:3" x14ac:dyDescent="0.2">
      <c r="A2379" s="636"/>
      <c r="B2379" s="425"/>
      <c r="C2379" s="425"/>
    </row>
    <row r="2380" spans="1:3" x14ac:dyDescent="0.2">
      <c r="A2380" s="636"/>
      <c r="B2380" s="425"/>
      <c r="C2380" s="425"/>
    </row>
    <row r="2381" spans="1:3" x14ac:dyDescent="0.2">
      <c r="A2381" s="636"/>
      <c r="B2381" s="425"/>
      <c r="C2381" s="425"/>
    </row>
    <row r="2382" spans="1:3" x14ac:dyDescent="0.2">
      <c r="A2382" s="636"/>
      <c r="B2382" s="425"/>
      <c r="C2382" s="425"/>
    </row>
    <row r="2383" spans="1:3" x14ac:dyDescent="0.2">
      <c r="A2383" s="636"/>
      <c r="B2383" s="425"/>
      <c r="C2383" s="425"/>
    </row>
    <row r="2384" spans="1:3" x14ac:dyDescent="0.2">
      <c r="A2384" s="636"/>
      <c r="B2384" s="425"/>
      <c r="C2384" s="425"/>
    </row>
    <row r="2385" spans="1:3" x14ac:dyDescent="0.2">
      <c r="A2385" s="636"/>
      <c r="B2385" s="425"/>
      <c r="C2385" s="425"/>
    </row>
    <row r="2386" spans="1:3" x14ac:dyDescent="0.2">
      <c r="A2386" s="636"/>
      <c r="B2386" s="425"/>
      <c r="C2386" s="425"/>
    </row>
    <row r="2387" spans="1:3" x14ac:dyDescent="0.2">
      <c r="A2387" s="636"/>
      <c r="B2387" s="425"/>
      <c r="C2387" s="425"/>
    </row>
    <row r="2388" spans="1:3" x14ac:dyDescent="0.2">
      <c r="A2388" s="636"/>
      <c r="B2388" s="425"/>
      <c r="C2388" s="425"/>
    </row>
    <row r="2389" spans="1:3" x14ac:dyDescent="0.2">
      <c r="A2389" s="636"/>
      <c r="B2389" s="425"/>
      <c r="C2389" s="425"/>
    </row>
    <row r="2390" spans="1:3" x14ac:dyDescent="0.2">
      <c r="A2390" s="636"/>
      <c r="B2390" s="425"/>
      <c r="C2390" s="425"/>
    </row>
    <row r="2391" spans="1:3" x14ac:dyDescent="0.2">
      <c r="A2391" s="636"/>
      <c r="B2391" s="425"/>
      <c r="C2391" s="425"/>
    </row>
    <row r="2392" spans="1:3" x14ac:dyDescent="0.2">
      <c r="A2392" s="636"/>
      <c r="B2392" s="425"/>
      <c r="C2392" s="425"/>
    </row>
    <row r="2393" spans="1:3" x14ac:dyDescent="0.2">
      <c r="A2393" s="636"/>
      <c r="B2393" s="425"/>
      <c r="C2393" s="425"/>
    </row>
    <row r="2394" spans="1:3" x14ac:dyDescent="0.2">
      <c r="A2394" s="636"/>
      <c r="B2394" s="425"/>
      <c r="C2394" s="425"/>
    </row>
    <row r="2395" spans="1:3" x14ac:dyDescent="0.2">
      <c r="A2395" s="636"/>
      <c r="B2395" s="425"/>
      <c r="C2395" s="425"/>
    </row>
    <row r="2396" spans="1:3" x14ac:dyDescent="0.2">
      <c r="A2396" s="636"/>
      <c r="B2396" s="425"/>
      <c r="C2396" s="425"/>
    </row>
    <row r="2397" spans="1:3" x14ac:dyDescent="0.2">
      <c r="A2397" s="636"/>
      <c r="B2397" s="425"/>
      <c r="C2397" s="425"/>
    </row>
    <row r="2398" spans="1:3" x14ac:dyDescent="0.2">
      <c r="A2398" s="636"/>
      <c r="B2398" s="425"/>
      <c r="C2398" s="425"/>
    </row>
    <row r="2399" spans="1:3" x14ac:dyDescent="0.2">
      <c r="A2399" s="636"/>
      <c r="B2399" s="425"/>
      <c r="C2399" s="425"/>
    </row>
    <row r="2400" spans="1:3" x14ac:dyDescent="0.2">
      <c r="A2400" s="636"/>
      <c r="B2400" s="425"/>
      <c r="C2400" s="425"/>
    </row>
    <row r="2401" spans="1:3" x14ac:dyDescent="0.2">
      <c r="A2401" s="636"/>
      <c r="B2401" s="425"/>
      <c r="C2401" s="425"/>
    </row>
    <row r="2402" spans="1:3" x14ac:dyDescent="0.2">
      <c r="A2402" s="636"/>
      <c r="B2402" s="425"/>
      <c r="C2402" s="425"/>
    </row>
    <row r="2403" spans="1:3" x14ac:dyDescent="0.2">
      <c r="A2403" s="636"/>
      <c r="B2403" s="425"/>
      <c r="C2403" s="425"/>
    </row>
    <row r="2404" spans="1:3" x14ac:dyDescent="0.2">
      <c r="A2404" s="636"/>
      <c r="B2404" s="425"/>
      <c r="C2404" s="425"/>
    </row>
    <row r="2405" spans="1:3" x14ac:dyDescent="0.2">
      <c r="A2405" s="636"/>
      <c r="B2405" s="425"/>
      <c r="C2405" s="425"/>
    </row>
    <row r="2406" spans="1:3" x14ac:dyDescent="0.2">
      <c r="A2406" s="636"/>
      <c r="B2406" s="425"/>
      <c r="C2406" s="425"/>
    </row>
    <row r="2407" spans="1:3" x14ac:dyDescent="0.2">
      <c r="A2407" s="636"/>
      <c r="B2407" s="425"/>
      <c r="C2407" s="425"/>
    </row>
    <row r="2408" spans="1:3" x14ac:dyDescent="0.2">
      <c r="A2408" s="636"/>
      <c r="B2408" s="425"/>
      <c r="C2408" s="425"/>
    </row>
    <row r="2409" spans="1:3" x14ac:dyDescent="0.2">
      <c r="A2409" s="636"/>
      <c r="B2409" s="425"/>
      <c r="C2409" s="425"/>
    </row>
    <row r="2410" spans="1:3" x14ac:dyDescent="0.2">
      <c r="A2410" s="636"/>
      <c r="B2410" s="425"/>
      <c r="C2410" s="425"/>
    </row>
    <row r="2411" spans="1:3" x14ac:dyDescent="0.2">
      <c r="A2411" s="636"/>
      <c r="B2411" s="425"/>
      <c r="C2411" s="425"/>
    </row>
    <row r="2412" spans="1:3" x14ac:dyDescent="0.2">
      <c r="A2412" s="636"/>
      <c r="B2412" s="425"/>
      <c r="C2412" s="425"/>
    </row>
    <row r="2413" spans="1:3" x14ac:dyDescent="0.2">
      <c r="A2413" s="636"/>
      <c r="B2413" s="425"/>
      <c r="C2413" s="425"/>
    </row>
    <row r="2414" spans="1:3" x14ac:dyDescent="0.2">
      <c r="A2414" s="636"/>
      <c r="B2414" s="425"/>
      <c r="C2414" s="425"/>
    </row>
    <row r="2415" spans="1:3" x14ac:dyDescent="0.2">
      <c r="A2415" s="636"/>
      <c r="B2415" s="425"/>
      <c r="C2415" s="425"/>
    </row>
    <row r="2416" spans="1:3" x14ac:dyDescent="0.2">
      <c r="A2416" s="636"/>
      <c r="B2416" s="425"/>
      <c r="C2416" s="425"/>
    </row>
    <row r="2417" spans="1:3" x14ac:dyDescent="0.2">
      <c r="A2417" s="636"/>
      <c r="B2417" s="425"/>
      <c r="C2417" s="425"/>
    </row>
    <row r="2418" spans="1:3" x14ac:dyDescent="0.2">
      <c r="A2418" s="636"/>
      <c r="B2418" s="425"/>
      <c r="C2418" s="425"/>
    </row>
    <row r="2419" spans="1:3" x14ac:dyDescent="0.2">
      <c r="A2419" s="636"/>
      <c r="B2419" s="425"/>
      <c r="C2419" s="425"/>
    </row>
    <row r="2420" spans="1:3" x14ac:dyDescent="0.2">
      <c r="A2420" s="636"/>
      <c r="B2420" s="425"/>
      <c r="C2420" s="425"/>
    </row>
    <row r="2421" spans="1:3" x14ac:dyDescent="0.2">
      <c r="A2421" s="636"/>
      <c r="B2421" s="425"/>
      <c r="C2421" s="425"/>
    </row>
    <row r="2422" spans="1:3" x14ac:dyDescent="0.2">
      <c r="A2422" s="636"/>
      <c r="B2422" s="425"/>
      <c r="C2422" s="425"/>
    </row>
    <row r="2423" spans="1:3" x14ac:dyDescent="0.2">
      <c r="A2423" s="636"/>
      <c r="B2423" s="425"/>
      <c r="C2423" s="425"/>
    </row>
    <row r="2424" spans="1:3" x14ac:dyDescent="0.2">
      <c r="A2424" s="636"/>
      <c r="B2424" s="425"/>
      <c r="C2424" s="425"/>
    </row>
    <row r="2425" spans="1:3" x14ac:dyDescent="0.2">
      <c r="A2425" s="636"/>
      <c r="B2425" s="425"/>
      <c r="C2425" s="425"/>
    </row>
    <row r="2426" spans="1:3" x14ac:dyDescent="0.2">
      <c r="A2426" s="636"/>
      <c r="B2426" s="425"/>
      <c r="C2426" s="425"/>
    </row>
    <row r="2427" spans="1:3" x14ac:dyDescent="0.2">
      <c r="A2427" s="636"/>
      <c r="B2427" s="425"/>
      <c r="C2427" s="425"/>
    </row>
    <row r="2428" spans="1:3" x14ac:dyDescent="0.2">
      <c r="A2428" s="636"/>
      <c r="B2428" s="425"/>
      <c r="C2428" s="425"/>
    </row>
    <row r="2429" spans="1:3" x14ac:dyDescent="0.2">
      <c r="A2429" s="636"/>
      <c r="B2429" s="425"/>
      <c r="C2429" s="425"/>
    </row>
    <row r="2430" spans="1:3" x14ac:dyDescent="0.2">
      <c r="A2430" s="636"/>
      <c r="B2430" s="425"/>
      <c r="C2430" s="425"/>
    </row>
    <row r="2431" spans="1:3" x14ac:dyDescent="0.2">
      <c r="A2431" s="636"/>
      <c r="B2431" s="425"/>
      <c r="C2431" s="425"/>
    </row>
    <row r="2432" spans="1:3" x14ac:dyDescent="0.2">
      <c r="A2432" s="636"/>
      <c r="B2432" s="425"/>
      <c r="C2432" s="425"/>
    </row>
    <row r="2433" spans="1:3" x14ac:dyDescent="0.2">
      <c r="A2433" s="636"/>
      <c r="B2433" s="425"/>
      <c r="C2433" s="425"/>
    </row>
    <row r="2434" spans="1:3" x14ac:dyDescent="0.2">
      <c r="A2434" s="636"/>
      <c r="B2434" s="425"/>
      <c r="C2434" s="425"/>
    </row>
    <row r="2435" spans="1:3" x14ac:dyDescent="0.2">
      <c r="A2435" s="636"/>
      <c r="B2435" s="425"/>
      <c r="C2435" s="425"/>
    </row>
    <row r="2436" spans="1:3" x14ac:dyDescent="0.2">
      <c r="A2436" s="636"/>
      <c r="B2436" s="425"/>
      <c r="C2436" s="425"/>
    </row>
    <row r="2437" spans="1:3" x14ac:dyDescent="0.2">
      <c r="A2437" s="636"/>
      <c r="B2437" s="425"/>
      <c r="C2437" s="425"/>
    </row>
    <row r="2438" spans="1:3" x14ac:dyDescent="0.2">
      <c r="A2438" s="636"/>
      <c r="B2438" s="425"/>
      <c r="C2438" s="425"/>
    </row>
    <row r="2439" spans="1:3" x14ac:dyDescent="0.2">
      <c r="A2439" s="636"/>
      <c r="B2439" s="425"/>
      <c r="C2439" s="425"/>
    </row>
    <row r="2440" spans="1:3" x14ac:dyDescent="0.2">
      <c r="A2440" s="636"/>
      <c r="B2440" s="425"/>
      <c r="C2440" s="425"/>
    </row>
    <row r="2441" spans="1:3" x14ac:dyDescent="0.2">
      <c r="A2441" s="636"/>
      <c r="B2441" s="425"/>
      <c r="C2441" s="425"/>
    </row>
    <row r="2442" spans="1:3" x14ac:dyDescent="0.2">
      <c r="A2442" s="636"/>
      <c r="B2442" s="425"/>
      <c r="C2442" s="425"/>
    </row>
    <row r="2443" spans="1:3" x14ac:dyDescent="0.2">
      <c r="A2443" s="636"/>
      <c r="B2443" s="425"/>
      <c r="C2443" s="425"/>
    </row>
    <row r="2444" spans="1:3" x14ac:dyDescent="0.2">
      <c r="A2444" s="636"/>
      <c r="B2444" s="425"/>
      <c r="C2444" s="425"/>
    </row>
    <row r="2445" spans="1:3" x14ac:dyDescent="0.2">
      <c r="A2445" s="636"/>
      <c r="B2445" s="425"/>
      <c r="C2445" s="425"/>
    </row>
    <row r="2446" spans="1:3" x14ac:dyDescent="0.2">
      <c r="A2446" s="636"/>
      <c r="B2446" s="425"/>
      <c r="C2446" s="425"/>
    </row>
    <row r="2447" spans="1:3" x14ac:dyDescent="0.2">
      <c r="A2447" s="636"/>
      <c r="B2447" s="425"/>
      <c r="C2447" s="425"/>
    </row>
    <row r="2448" spans="1:3" x14ac:dyDescent="0.2">
      <c r="A2448" s="636"/>
      <c r="B2448" s="425"/>
      <c r="C2448" s="425"/>
    </row>
    <row r="2449" spans="1:3" x14ac:dyDescent="0.2">
      <c r="A2449" s="636"/>
      <c r="B2449" s="425"/>
      <c r="C2449" s="425"/>
    </row>
    <row r="2450" spans="1:3" x14ac:dyDescent="0.2">
      <c r="A2450" s="636"/>
      <c r="B2450" s="425"/>
      <c r="C2450" s="425"/>
    </row>
    <row r="2451" spans="1:3" x14ac:dyDescent="0.2">
      <c r="A2451" s="636"/>
      <c r="B2451" s="425"/>
      <c r="C2451" s="425"/>
    </row>
    <row r="2452" spans="1:3" x14ac:dyDescent="0.2">
      <c r="A2452" s="636"/>
      <c r="B2452" s="425"/>
      <c r="C2452" s="425"/>
    </row>
    <row r="2453" spans="1:3" x14ac:dyDescent="0.2">
      <c r="A2453" s="636"/>
      <c r="B2453" s="425"/>
      <c r="C2453" s="425"/>
    </row>
    <row r="2454" spans="1:3" x14ac:dyDescent="0.2">
      <c r="A2454" s="636"/>
      <c r="B2454" s="425"/>
      <c r="C2454" s="425"/>
    </row>
    <row r="2455" spans="1:3" x14ac:dyDescent="0.2">
      <c r="A2455" s="636"/>
      <c r="B2455" s="425"/>
      <c r="C2455" s="425"/>
    </row>
    <row r="2456" spans="1:3" x14ac:dyDescent="0.2">
      <c r="A2456" s="636"/>
      <c r="B2456" s="425"/>
      <c r="C2456" s="425"/>
    </row>
    <row r="2457" spans="1:3" x14ac:dyDescent="0.2">
      <c r="A2457" s="636"/>
      <c r="B2457" s="425"/>
      <c r="C2457" s="425"/>
    </row>
    <row r="2458" spans="1:3" x14ac:dyDescent="0.2">
      <c r="A2458" s="636"/>
      <c r="B2458" s="425"/>
      <c r="C2458" s="425"/>
    </row>
    <row r="2459" spans="1:3" x14ac:dyDescent="0.2">
      <c r="A2459" s="636"/>
      <c r="B2459" s="425"/>
      <c r="C2459" s="425"/>
    </row>
    <row r="2460" spans="1:3" x14ac:dyDescent="0.2">
      <c r="A2460" s="636"/>
      <c r="B2460" s="425"/>
      <c r="C2460" s="425"/>
    </row>
    <row r="2461" spans="1:3" x14ac:dyDescent="0.2">
      <c r="A2461" s="636"/>
      <c r="B2461" s="425"/>
      <c r="C2461" s="425"/>
    </row>
    <row r="2462" spans="1:3" x14ac:dyDescent="0.2">
      <c r="A2462" s="636"/>
      <c r="B2462" s="425"/>
      <c r="C2462" s="425"/>
    </row>
    <row r="2463" spans="1:3" x14ac:dyDescent="0.2">
      <c r="A2463" s="636"/>
      <c r="B2463" s="425"/>
      <c r="C2463" s="425"/>
    </row>
    <row r="2464" spans="1:3" x14ac:dyDescent="0.2">
      <c r="A2464" s="636"/>
      <c r="B2464" s="425"/>
      <c r="C2464" s="425"/>
    </row>
    <row r="2465" spans="1:3" x14ac:dyDescent="0.2">
      <c r="A2465" s="636"/>
      <c r="B2465" s="425"/>
      <c r="C2465" s="425"/>
    </row>
    <row r="2466" spans="1:3" x14ac:dyDescent="0.2">
      <c r="A2466" s="636"/>
      <c r="B2466" s="425"/>
      <c r="C2466" s="425"/>
    </row>
    <row r="2467" spans="1:3" x14ac:dyDescent="0.2">
      <c r="A2467" s="636"/>
      <c r="B2467" s="425"/>
      <c r="C2467" s="425"/>
    </row>
    <row r="2468" spans="1:3" x14ac:dyDescent="0.2">
      <c r="A2468" s="636"/>
      <c r="B2468" s="425"/>
      <c r="C2468" s="425"/>
    </row>
    <row r="2469" spans="1:3" x14ac:dyDescent="0.2">
      <c r="A2469" s="636"/>
      <c r="B2469" s="425"/>
      <c r="C2469" s="425"/>
    </row>
    <row r="2470" spans="1:3" x14ac:dyDescent="0.2">
      <c r="A2470" s="636"/>
      <c r="B2470" s="425"/>
      <c r="C2470" s="425"/>
    </row>
    <row r="2471" spans="1:3" x14ac:dyDescent="0.2">
      <c r="A2471" s="636"/>
      <c r="B2471" s="425"/>
      <c r="C2471" s="425"/>
    </row>
    <row r="2472" spans="1:3" x14ac:dyDescent="0.2">
      <c r="A2472" s="636"/>
      <c r="B2472" s="425"/>
      <c r="C2472" s="425"/>
    </row>
    <row r="2473" spans="1:3" x14ac:dyDescent="0.2">
      <c r="A2473" s="636"/>
      <c r="B2473" s="425"/>
      <c r="C2473" s="425"/>
    </row>
    <row r="2474" spans="1:3" x14ac:dyDescent="0.2">
      <c r="A2474" s="636"/>
      <c r="B2474" s="425"/>
      <c r="C2474" s="425"/>
    </row>
    <row r="2475" spans="1:3" x14ac:dyDescent="0.2">
      <c r="A2475" s="636"/>
      <c r="B2475" s="425"/>
      <c r="C2475" s="425"/>
    </row>
    <row r="2476" spans="1:3" x14ac:dyDescent="0.2">
      <c r="A2476" s="636"/>
      <c r="B2476" s="425"/>
      <c r="C2476" s="425"/>
    </row>
    <row r="2477" spans="1:3" x14ac:dyDescent="0.2">
      <c r="A2477" s="636"/>
      <c r="B2477" s="425"/>
      <c r="C2477" s="425"/>
    </row>
    <row r="2478" spans="1:3" x14ac:dyDescent="0.2">
      <c r="A2478" s="636"/>
      <c r="B2478" s="425"/>
      <c r="C2478" s="425"/>
    </row>
    <row r="2479" spans="1:3" x14ac:dyDescent="0.2">
      <c r="A2479" s="636"/>
      <c r="B2479" s="425"/>
      <c r="C2479" s="425"/>
    </row>
    <row r="2480" spans="1:3" x14ac:dyDescent="0.2">
      <c r="A2480" s="636"/>
      <c r="B2480" s="425"/>
      <c r="C2480" s="425"/>
    </row>
    <row r="2481" spans="1:3" x14ac:dyDescent="0.2">
      <c r="A2481" s="636"/>
      <c r="B2481" s="425"/>
      <c r="C2481" s="425"/>
    </row>
    <row r="2482" spans="1:3" x14ac:dyDescent="0.2">
      <c r="A2482" s="636"/>
      <c r="B2482" s="425"/>
      <c r="C2482" s="425"/>
    </row>
    <row r="2483" spans="1:3" x14ac:dyDescent="0.2">
      <c r="A2483" s="636"/>
      <c r="B2483" s="425"/>
      <c r="C2483" s="425"/>
    </row>
    <row r="2484" spans="1:3" x14ac:dyDescent="0.2">
      <c r="A2484" s="636"/>
      <c r="B2484" s="425"/>
      <c r="C2484" s="425"/>
    </row>
    <row r="2485" spans="1:3" x14ac:dyDescent="0.2">
      <c r="A2485" s="636"/>
      <c r="B2485" s="425"/>
      <c r="C2485" s="425"/>
    </row>
    <row r="2486" spans="1:3" x14ac:dyDescent="0.2">
      <c r="A2486" s="636"/>
      <c r="B2486" s="425"/>
      <c r="C2486" s="425"/>
    </row>
    <row r="2487" spans="1:3" x14ac:dyDescent="0.2">
      <c r="A2487" s="636"/>
      <c r="B2487" s="425"/>
      <c r="C2487" s="425"/>
    </row>
    <row r="2488" spans="1:3" x14ac:dyDescent="0.2">
      <c r="A2488" s="636"/>
      <c r="B2488" s="425"/>
      <c r="C2488" s="425"/>
    </row>
    <row r="2489" spans="1:3" x14ac:dyDescent="0.2">
      <c r="A2489" s="636"/>
      <c r="B2489" s="425"/>
      <c r="C2489" s="425"/>
    </row>
    <row r="2490" spans="1:3" x14ac:dyDescent="0.2">
      <c r="A2490" s="636"/>
      <c r="B2490" s="425"/>
      <c r="C2490" s="425"/>
    </row>
    <row r="2491" spans="1:3" x14ac:dyDescent="0.2">
      <c r="A2491" s="636"/>
      <c r="B2491" s="425"/>
      <c r="C2491" s="425"/>
    </row>
    <row r="2492" spans="1:3" x14ac:dyDescent="0.2">
      <c r="A2492" s="636"/>
      <c r="B2492" s="425"/>
      <c r="C2492" s="425"/>
    </row>
    <row r="2493" spans="1:3" x14ac:dyDescent="0.2">
      <c r="A2493" s="636"/>
      <c r="B2493" s="425"/>
      <c r="C2493" s="425"/>
    </row>
    <row r="2494" spans="1:3" x14ac:dyDescent="0.2">
      <c r="A2494" s="636"/>
      <c r="B2494" s="425"/>
      <c r="C2494" s="425"/>
    </row>
    <row r="2495" spans="1:3" x14ac:dyDescent="0.2">
      <c r="A2495" s="636"/>
      <c r="B2495" s="425"/>
      <c r="C2495" s="425"/>
    </row>
    <row r="2496" spans="1:3" x14ac:dyDescent="0.2">
      <c r="A2496" s="636"/>
      <c r="B2496" s="425"/>
      <c r="C2496" s="425"/>
    </row>
    <row r="2497" spans="1:3" x14ac:dyDescent="0.2">
      <c r="A2497" s="636"/>
      <c r="B2497" s="425"/>
      <c r="C2497" s="425"/>
    </row>
    <row r="2498" spans="1:3" x14ac:dyDescent="0.2">
      <c r="A2498" s="636"/>
      <c r="B2498" s="425"/>
      <c r="C2498" s="425"/>
    </row>
    <row r="2499" spans="1:3" x14ac:dyDescent="0.2">
      <c r="A2499" s="636"/>
      <c r="B2499" s="425"/>
      <c r="C2499" s="425"/>
    </row>
    <row r="2500" spans="1:3" x14ac:dyDescent="0.2">
      <c r="A2500" s="636"/>
      <c r="B2500" s="425"/>
      <c r="C2500" s="425"/>
    </row>
    <row r="2501" spans="1:3" x14ac:dyDescent="0.2">
      <c r="A2501" s="636"/>
      <c r="B2501" s="425"/>
      <c r="C2501" s="425"/>
    </row>
    <row r="2502" spans="1:3" x14ac:dyDescent="0.2">
      <c r="A2502" s="636"/>
      <c r="B2502" s="425"/>
      <c r="C2502" s="425"/>
    </row>
    <row r="2503" spans="1:3" x14ac:dyDescent="0.2">
      <c r="A2503" s="636"/>
      <c r="B2503" s="425"/>
      <c r="C2503" s="425"/>
    </row>
    <row r="2504" spans="1:3" x14ac:dyDescent="0.2">
      <c r="A2504" s="636"/>
      <c r="B2504" s="425"/>
      <c r="C2504" s="425"/>
    </row>
    <row r="2505" spans="1:3" x14ac:dyDescent="0.2">
      <c r="A2505" s="636"/>
      <c r="B2505" s="425"/>
      <c r="C2505" s="425"/>
    </row>
    <row r="2506" spans="1:3" x14ac:dyDescent="0.2">
      <c r="A2506" s="636"/>
      <c r="B2506" s="425"/>
      <c r="C2506" s="425"/>
    </row>
    <row r="2507" spans="1:3" x14ac:dyDescent="0.2">
      <c r="A2507" s="636"/>
      <c r="B2507" s="425"/>
      <c r="C2507" s="425"/>
    </row>
    <row r="2508" spans="1:3" x14ac:dyDescent="0.2">
      <c r="A2508" s="636"/>
      <c r="B2508" s="425"/>
      <c r="C2508" s="425"/>
    </row>
    <row r="2509" spans="1:3" x14ac:dyDescent="0.2">
      <c r="A2509" s="636"/>
      <c r="B2509" s="425"/>
      <c r="C2509" s="425"/>
    </row>
    <row r="2510" spans="1:3" x14ac:dyDescent="0.2">
      <c r="A2510" s="636"/>
      <c r="B2510" s="425"/>
      <c r="C2510" s="425"/>
    </row>
    <row r="2511" spans="1:3" x14ac:dyDescent="0.2">
      <c r="A2511" s="636"/>
      <c r="B2511" s="425"/>
      <c r="C2511" s="425"/>
    </row>
    <row r="2512" spans="1:3" x14ac:dyDescent="0.2">
      <c r="A2512" s="636"/>
      <c r="B2512" s="425"/>
      <c r="C2512" s="425"/>
    </row>
    <row r="2513" spans="1:3" x14ac:dyDescent="0.2">
      <c r="A2513" s="636"/>
      <c r="B2513" s="425"/>
      <c r="C2513" s="425"/>
    </row>
    <row r="2514" spans="1:3" x14ac:dyDescent="0.2">
      <c r="A2514" s="636"/>
      <c r="B2514" s="425"/>
      <c r="C2514" s="425"/>
    </row>
    <row r="2515" spans="1:3" x14ac:dyDescent="0.2">
      <c r="A2515" s="636"/>
      <c r="B2515" s="425"/>
      <c r="C2515" s="425"/>
    </row>
    <row r="2516" spans="1:3" x14ac:dyDescent="0.2">
      <c r="A2516" s="636"/>
      <c r="B2516" s="425"/>
      <c r="C2516" s="425"/>
    </row>
    <row r="2517" spans="1:3" x14ac:dyDescent="0.2">
      <c r="A2517" s="636"/>
      <c r="B2517" s="425"/>
      <c r="C2517" s="425"/>
    </row>
    <row r="2518" spans="1:3" x14ac:dyDescent="0.2">
      <c r="A2518" s="636"/>
      <c r="B2518" s="425"/>
      <c r="C2518" s="425"/>
    </row>
    <row r="2519" spans="1:3" x14ac:dyDescent="0.2">
      <c r="A2519" s="636"/>
      <c r="B2519" s="425"/>
      <c r="C2519" s="425"/>
    </row>
    <row r="2520" spans="1:3" x14ac:dyDescent="0.2">
      <c r="A2520" s="636"/>
      <c r="B2520" s="425"/>
      <c r="C2520" s="425"/>
    </row>
    <row r="2521" spans="1:3" x14ac:dyDescent="0.2">
      <c r="A2521" s="636"/>
      <c r="B2521" s="425"/>
      <c r="C2521" s="425"/>
    </row>
    <row r="2522" spans="1:3" x14ac:dyDescent="0.2">
      <c r="A2522" s="636"/>
      <c r="B2522" s="425"/>
      <c r="C2522" s="425"/>
    </row>
    <row r="2523" spans="1:3" x14ac:dyDescent="0.2">
      <c r="A2523" s="636"/>
      <c r="B2523" s="425"/>
      <c r="C2523" s="425"/>
    </row>
    <row r="2524" spans="1:3" x14ac:dyDescent="0.2">
      <c r="A2524" s="636"/>
      <c r="B2524" s="425"/>
      <c r="C2524" s="425"/>
    </row>
    <row r="2525" spans="1:3" x14ac:dyDescent="0.2">
      <c r="A2525" s="636"/>
      <c r="B2525" s="425"/>
      <c r="C2525" s="425"/>
    </row>
    <row r="2526" spans="1:3" x14ac:dyDescent="0.2">
      <c r="A2526" s="636"/>
      <c r="B2526" s="425"/>
      <c r="C2526" s="425"/>
    </row>
    <row r="2527" spans="1:3" x14ac:dyDescent="0.2">
      <c r="A2527" s="636"/>
      <c r="B2527" s="425"/>
      <c r="C2527" s="425"/>
    </row>
    <row r="2528" spans="1:3" x14ac:dyDescent="0.2">
      <c r="A2528" s="636"/>
      <c r="B2528" s="425"/>
      <c r="C2528" s="425"/>
    </row>
    <row r="2529" spans="1:3" x14ac:dyDescent="0.2">
      <c r="A2529" s="636"/>
      <c r="B2529" s="425"/>
      <c r="C2529" s="425"/>
    </row>
    <row r="2530" spans="1:3" x14ac:dyDescent="0.2">
      <c r="A2530" s="636"/>
      <c r="B2530" s="425"/>
      <c r="C2530" s="425"/>
    </row>
    <row r="2531" spans="1:3" x14ac:dyDescent="0.2">
      <c r="A2531" s="636"/>
      <c r="B2531" s="425"/>
      <c r="C2531" s="425"/>
    </row>
    <row r="2532" spans="1:3" x14ac:dyDescent="0.2">
      <c r="A2532" s="636"/>
      <c r="B2532" s="425"/>
      <c r="C2532" s="425"/>
    </row>
    <row r="2533" spans="1:3" x14ac:dyDescent="0.2">
      <c r="A2533" s="636"/>
      <c r="B2533" s="425"/>
      <c r="C2533" s="425"/>
    </row>
    <row r="2534" spans="1:3" x14ac:dyDescent="0.2">
      <c r="A2534" s="636"/>
      <c r="B2534" s="425"/>
      <c r="C2534" s="425"/>
    </row>
    <row r="2535" spans="1:3" x14ac:dyDescent="0.2">
      <c r="A2535" s="636"/>
      <c r="B2535" s="425"/>
      <c r="C2535" s="425"/>
    </row>
    <row r="2536" spans="1:3" x14ac:dyDescent="0.2">
      <c r="A2536" s="636"/>
      <c r="B2536" s="425"/>
      <c r="C2536" s="425"/>
    </row>
    <row r="2537" spans="1:3" x14ac:dyDescent="0.2">
      <c r="A2537" s="636"/>
      <c r="B2537" s="425"/>
      <c r="C2537" s="425"/>
    </row>
    <row r="2538" spans="1:3" x14ac:dyDescent="0.2">
      <c r="A2538" s="636"/>
      <c r="B2538" s="425"/>
      <c r="C2538" s="425"/>
    </row>
    <row r="2539" spans="1:3" x14ac:dyDescent="0.2">
      <c r="A2539" s="636"/>
      <c r="B2539" s="425"/>
      <c r="C2539" s="425"/>
    </row>
    <row r="2540" spans="1:3" x14ac:dyDescent="0.2">
      <c r="A2540" s="636"/>
      <c r="B2540" s="425"/>
      <c r="C2540" s="425"/>
    </row>
    <row r="2541" spans="1:3" x14ac:dyDescent="0.2">
      <c r="A2541" s="636"/>
      <c r="B2541" s="425"/>
      <c r="C2541" s="425"/>
    </row>
    <row r="2542" spans="1:3" x14ac:dyDescent="0.2">
      <c r="A2542" s="636"/>
      <c r="B2542" s="425"/>
      <c r="C2542" s="425"/>
    </row>
    <row r="2543" spans="1:3" x14ac:dyDescent="0.2">
      <c r="A2543" s="636"/>
      <c r="B2543" s="425"/>
      <c r="C2543" s="425"/>
    </row>
    <row r="2544" spans="1:3" x14ac:dyDescent="0.2">
      <c r="A2544" s="636"/>
      <c r="B2544" s="425"/>
      <c r="C2544" s="425"/>
    </row>
    <row r="2545" spans="1:3" x14ac:dyDescent="0.2">
      <c r="A2545" s="636"/>
      <c r="B2545" s="425"/>
      <c r="C2545" s="425"/>
    </row>
    <row r="2546" spans="1:3" x14ac:dyDescent="0.2">
      <c r="A2546" s="636"/>
      <c r="B2546" s="425"/>
      <c r="C2546" s="425"/>
    </row>
    <row r="2547" spans="1:3" x14ac:dyDescent="0.2">
      <c r="A2547" s="636"/>
      <c r="B2547" s="425"/>
      <c r="C2547" s="425"/>
    </row>
    <row r="2548" spans="1:3" x14ac:dyDescent="0.2">
      <c r="A2548" s="636"/>
      <c r="B2548" s="425"/>
      <c r="C2548" s="425"/>
    </row>
    <row r="2549" spans="1:3" x14ac:dyDescent="0.2">
      <c r="A2549" s="636"/>
      <c r="B2549" s="425"/>
      <c r="C2549" s="425"/>
    </row>
    <row r="2550" spans="1:3" x14ac:dyDescent="0.2">
      <c r="A2550" s="636"/>
      <c r="B2550" s="425"/>
      <c r="C2550" s="425"/>
    </row>
    <row r="2551" spans="1:3" x14ac:dyDescent="0.2">
      <c r="A2551" s="636"/>
      <c r="B2551" s="425"/>
      <c r="C2551" s="425"/>
    </row>
    <row r="2552" spans="1:3" x14ac:dyDescent="0.2">
      <c r="A2552" s="636"/>
      <c r="B2552" s="425"/>
      <c r="C2552" s="425"/>
    </row>
    <row r="2553" spans="1:3" x14ac:dyDescent="0.2">
      <c r="A2553" s="636"/>
      <c r="B2553" s="425"/>
      <c r="C2553" s="425"/>
    </row>
    <row r="2554" spans="1:3" x14ac:dyDescent="0.2">
      <c r="A2554" s="636"/>
      <c r="B2554" s="425"/>
      <c r="C2554" s="425"/>
    </row>
    <row r="2555" spans="1:3" x14ac:dyDescent="0.2">
      <c r="A2555" s="636"/>
      <c r="B2555" s="425"/>
      <c r="C2555" s="425"/>
    </row>
    <row r="2556" spans="1:3" x14ac:dyDescent="0.2">
      <c r="A2556" s="636"/>
      <c r="B2556" s="425"/>
      <c r="C2556" s="425"/>
    </row>
    <row r="2557" spans="1:3" x14ac:dyDescent="0.2">
      <c r="A2557" s="636"/>
      <c r="B2557" s="425"/>
      <c r="C2557" s="425"/>
    </row>
    <row r="2558" spans="1:3" x14ac:dyDescent="0.2">
      <c r="A2558" s="636"/>
      <c r="B2558" s="425"/>
      <c r="C2558" s="425"/>
    </row>
    <row r="2559" spans="1:3" x14ac:dyDescent="0.2">
      <c r="A2559" s="636"/>
      <c r="B2559" s="425"/>
      <c r="C2559" s="425"/>
    </row>
    <row r="2560" spans="1:3" x14ac:dyDescent="0.2">
      <c r="A2560" s="636"/>
      <c r="B2560" s="425"/>
      <c r="C2560" s="425"/>
    </row>
    <row r="2561" spans="1:3" x14ac:dyDescent="0.2">
      <c r="A2561" s="636"/>
      <c r="B2561" s="425"/>
      <c r="C2561" s="425"/>
    </row>
    <row r="2562" spans="1:3" x14ac:dyDescent="0.2">
      <c r="A2562" s="636"/>
      <c r="B2562" s="425"/>
      <c r="C2562" s="425"/>
    </row>
    <row r="2563" spans="1:3" x14ac:dyDescent="0.2">
      <c r="A2563" s="636"/>
      <c r="B2563" s="425"/>
      <c r="C2563" s="425"/>
    </row>
    <row r="2564" spans="1:3" x14ac:dyDescent="0.2">
      <c r="A2564" s="636"/>
      <c r="B2564" s="425"/>
      <c r="C2564" s="425"/>
    </row>
    <row r="2565" spans="1:3" x14ac:dyDescent="0.2">
      <c r="A2565" s="636"/>
      <c r="B2565" s="425"/>
      <c r="C2565" s="425"/>
    </row>
    <row r="2566" spans="1:3" x14ac:dyDescent="0.2">
      <c r="A2566" s="636"/>
      <c r="B2566" s="425"/>
      <c r="C2566" s="425"/>
    </row>
    <row r="2567" spans="1:3" x14ac:dyDescent="0.2">
      <c r="A2567" s="636"/>
      <c r="B2567" s="425"/>
      <c r="C2567" s="425"/>
    </row>
    <row r="2568" spans="1:3" x14ac:dyDescent="0.2">
      <c r="A2568" s="636"/>
      <c r="B2568" s="425"/>
      <c r="C2568" s="425"/>
    </row>
    <row r="2569" spans="1:3" x14ac:dyDescent="0.2">
      <c r="A2569" s="636"/>
      <c r="B2569" s="425"/>
      <c r="C2569" s="425"/>
    </row>
    <row r="2570" spans="1:3" x14ac:dyDescent="0.2">
      <c r="A2570" s="636"/>
      <c r="B2570" s="425"/>
      <c r="C2570" s="425"/>
    </row>
    <row r="2571" spans="1:3" x14ac:dyDescent="0.2">
      <c r="A2571" s="636"/>
      <c r="B2571" s="425"/>
      <c r="C2571" s="425"/>
    </row>
    <row r="2572" spans="1:3" x14ac:dyDescent="0.2">
      <c r="A2572" s="636"/>
      <c r="B2572" s="425"/>
      <c r="C2572" s="425"/>
    </row>
    <row r="2573" spans="1:3" x14ac:dyDescent="0.2">
      <c r="A2573" s="636"/>
      <c r="B2573" s="425"/>
      <c r="C2573" s="425"/>
    </row>
    <row r="2574" spans="1:3" x14ac:dyDescent="0.2">
      <c r="A2574" s="636"/>
      <c r="B2574" s="425"/>
      <c r="C2574" s="425"/>
    </row>
    <row r="2575" spans="1:3" x14ac:dyDescent="0.2">
      <c r="A2575" s="636"/>
      <c r="B2575" s="425"/>
      <c r="C2575" s="425"/>
    </row>
    <row r="2576" spans="1:3" x14ac:dyDescent="0.2">
      <c r="A2576" s="636"/>
      <c r="B2576" s="425"/>
      <c r="C2576" s="425"/>
    </row>
    <row r="2577" spans="1:3" x14ac:dyDescent="0.2">
      <c r="A2577" s="636"/>
      <c r="B2577" s="425"/>
      <c r="C2577" s="425"/>
    </row>
    <row r="2578" spans="1:3" x14ac:dyDescent="0.2">
      <c r="A2578" s="636"/>
      <c r="B2578" s="425"/>
      <c r="C2578" s="425"/>
    </row>
    <row r="2579" spans="1:3" x14ac:dyDescent="0.2">
      <c r="A2579" s="636"/>
      <c r="B2579" s="425"/>
      <c r="C2579" s="425"/>
    </row>
    <row r="2580" spans="1:3" x14ac:dyDescent="0.2">
      <c r="A2580" s="636"/>
      <c r="B2580" s="425"/>
      <c r="C2580" s="425"/>
    </row>
    <row r="2581" spans="1:3" x14ac:dyDescent="0.2">
      <c r="A2581" s="636"/>
      <c r="B2581" s="425"/>
      <c r="C2581" s="425"/>
    </row>
    <row r="2582" spans="1:3" x14ac:dyDescent="0.2">
      <c r="A2582" s="636"/>
      <c r="B2582" s="425"/>
      <c r="C2582" s="425"/>
    </row>
    <row r="2583" spans="1:3" x14ac:dyDescent="0.2">
      <c r="A2583" s="636"/>
      <c r="B2583" s="425"/>
      <c r="C2583" s="425"/>
    </row>
    <row r="2584" spans="1:3" x14ac:dyDescent="0.2">
      <c r="A2584" s="636"/>
      <c r="B2584" s="425"/>
      <c r="C2584" s="425"/>
    </row>
    <row r="2585" spans="1:3" x14ac:dyDescent="0.2">
      <c r="A2585" s="636"/>
      <c r="B2585" s="425"/>
      <c r="C2585" s="425"/>
    </row>
    <row r="2586" spans="1:3" x14ac:dyDescent="0.2">
      <c r="A2586" s="636"/>
      <c r="B2586" s="425"/>
      <c r="C2586" s="425"/>
    </row>
    <row r="2587" spans="1:3" x14ac:dyDescent="0.2">
      <c r="A2587" s="636"/>
      <c r="B2587" s="425"/>
      <c r="C2587" s="425"/>
    </row>
    <row r="2588" spans="1:3" x14ac:dyDescent="0.2">
      <c r="A2588" s="636"/>
      <c r="B2588" s="425"/>
      <c r="C2588" s="425"/>
    </row>
    <row r="2589" spans="1:3" x14ac:dyDescent="0.2">
      <c r="A2589" s="636"/>
      <c r="B2589" s="425"/>
      <c r="C2589" s="425"/>
    </row>
    <row r="2590" spans="1:3" x14ac:dyDescent="0.2">
      <c r="A2590" s="636"/>
      <c r="B2590" s="425"/>
      <c r="C2590" s="425"/>
    </row>
    <row r="2591" spans="1:3" x14ac:dyDescent="0.2">
      <c r="A2591" s="636"/>
      <c r="B2591" s="425"/>
      <c r="C2591" s="425"/>
    </row>
    <row r="2592" spans="1:3" x14ac:dyDescent="0.2">
      <c r="A2592" s="636"/>
      <c r="B2592" s="425"/>
      <c r="C2592" s="425"/>
    </row>
    <row r="2593" spans="1:3" x14ac:dyDescent="0.2">
      <c r="A2593" s="636"/>
      <c r="B2593" s="425"/>
      <c r="C2593" s="425"/>
    </row>
    <row r="2594" spans="1:3" x14ac:dyDescent="0.2">
      <c r="A2594" s="636"/>
      <c r="B2594" s="425"/>
      <c r="C2594" s="425"/>
    </row>
    <row r="2595" spans="1:3" x14ac:dyDescent="0.2">
      <c r="A2595" s="636"/>
      <c r="B2595" s="425"/>
      <c r="C2595" s="425"/>
    </row>
    <row r="2596" spans="1:3" x14ac:dyDescent="0.2">
      <c r="A2596" s="636"/>
      <c r="B2596" s="425"/>
      <c r="C2596" s="425"/>
    </row>
    <row r="2597" spans="1:3" x14ac:dyDescent="0.2">
      <c r="A2597" s="636"/>
      <c r="B2597" s="425"/>
      <c r="C2597" s="425"/>
    </row>
    <row r="2598" spans="1:3" x14ac:dyDescent="0.2">
      <c r="A2598" s="636"/>
      <c r="B2598" s="425"/>
      <c r="C2598" s="425"/>
    </row>
    <row r="2599" spans="1:3" x14ac:dyDescent="0.2">
      <c r="A2599" s="636"/>
      <c r="B2599" s="425"/>
      <c r="C2599" s="425"/>
    </row>
    <row r="2600" spans="1:3" x14ac:dyDescent="0.2">
      <c r="A2600" s="636"/>
      <c r="B2600" s="425"/>
      <c r="C2600" s="425"/>
    </row>
    <row r="2601" spans="1:3" x14ac:dyDescent="0.2">
      <c r="A2601" s="636"/>
      <c r="B2601" s="425"/>
      <c r="C2601" s="425"/>
    </row>
    <row r="2602" spans="1:3" x14ac:dyDescent="0.2">
      <c r="A2602" s="636"/>
      <c r="B2602" s="425"/>
      <c r="C2602" s="425"/>
    </row>
    <row r="2603" spans="1:3" x14ac:dyDescent="0.2">
      <c r="A2603" s="636"/>
      <c r="B2603" s="425"/>
      <c r="C2603" s="425"/>
    </row>
    <row r="2604" spans="1:3" x14ac:dyDescent="0.2">
      <c r="A2604" s="636"/>
      <c r="B2604" s="425"/>
      <c r="C2604" s="425"/>
    </row>
    <row r="2605" spans="1:3" x14ac:dyDescent="0.2">
      <c r="A2605" s="636"/>
      <c r="B2605" s="425"/>
      <c r="C2605" s="425"/>
    </row>
    <row r="2606" spans="1:3" x14ac:dyDescent="0.2">
      <c r="A2606" s="636"/>
      <c r="B2606" s="425"/>
      <c r="C2606" s="425"/>
    </row>
    <row r="2607" spans="1:3" x14ac:dyDescent="0.2">
      <c r="A2607" s="636"/>
      <c r="B2607" s="425"/>
      <c r="C2607" s="425"/>
    </row>
    <row r="2608" spans="1:3" x14ac:dyDescent="0.2">
      <c r="A2608" s="636"/>
      <c r="B2608" s="425"/>
      <c r="C2608" s="425"/>
    </row>
    <row r="2609" spans="1:3" x14ac:dyDescent="0.2">
      <c r="A2609" s="636"/>
      <c r="B2609" s="425"/>
      <c r="C2609" s="425"/>
    </row>
    <row r="2610" spans="1:3" x14ac:dyDescent="0.2">
      <c r="A2610" s="636"/>
      <c r="B2610" s="425"/>
      <c r="C2610" s="425"/>
    </row>
    <row r="2611" spans="1:3" x14ac:dyDescent="0.2">
      <c r="A2611" s="636"/>
      <c r="B2611" s="425"/>
      <c r="C2611" s="425"/>
    </row>
    <row r="2612" spans="1:3" x14ac:dyDescent="0.2">
      <c r="A2612" s="636"/>
      <c r="B2612" s="425"/>
      <c r="C2612" s="425"/>
    </row>
    <row r="2613" spans="1:3" x14ac:dyDescent="0.2">
      <c r="A2613" s="636"/>
      <c r="B2613" s="425"/>
      <c r="C2613" s="425"/>
    </row>
    <row r="2614" spans="1:3" x14ac:dyDescent="0.2">
      <c r="A2614" s="636"/>
      <c r="B2614" s="425"/>
      <c r="C2614" s="425"/>
    </row>
    <row r="2615" spans="1:3" x14ac:dyDescent="0.2">
      <c r="A2615" s="636"/>
      <c r="B2615" s="425"/>
      <c r="C2615" s="425"/>
    </row>
    <row r="2616" spans="1:3" x14ac:dyDescent="0.2">
      <c r="A2616" s="636"/>
      <c r="B2616" s="425"/>
      <c r="C2616" s="425"/>
    </row>
    <row r="2617" spans="1:3" x14ac:dyDescent="0.2">
      <c r="A2617" s="636"/>
      <c r="B2617" s="425"/>
      <c r="C2617" s="425"/>
    </row>
    <row r="2618" spans="1:3" x14ac:dyDescent="0.2">
      <c r="A2618" s="636"/>
      <c r="B2618" s="425"/>
      <c r="C2618" s="425"/>
    </row>
    <row r="2619" spans="1:3" x14ac:dyDescent="0.2">
      <c r="A2619" s="636"/>
      <c r="B2619" s="425"/>
      <c r="C2619" s="425"/>
    </row>
    <row r="2620" spans="1:3" x14ac:dyDescent="0.2">
      <c r="A2620" s="636"/>
      <c r="B2620" s="425"/>
      <c r="C2620" s="425"/>
    </row>
    <row r="2621" spans="1:3" x14ac:dyDescent="0.2">
      <c r="A2621" s="636"/>
      <c r="B2621" s="425"/>
      <c r="C2621" s="425"/>
    </row>
    <row r="2622" spans="1:3" x14ac:dyDescent="0.2">
      <c r="A2622" s="636"/>
      <c r="B2622" s="425"/>
      <c r="C2622" s="425"/>
    </row>
    <row r="2623" spans="1:3" x14ac:dyDescent="0.2">
      <c r="A2623" s="636"/>
      <c r="B2623" s="425"/>
      <c r="C2623" s="425"/>
    </row>
    <row r="2624" spans="1:3" x14ac:dyDescent="0.2">
      <c r="A2624" s="636"/>
      <c r="B2624" s="425"/>
      <c r="C2624" s="425"/>
    </row>
    <row r="2625" spans="1:3" x14ac:dyDescent="0.2">
      <c r="A2625" s="636"/>
      <c r="B2625" s="425"/>
      <c r="C2625" s="425"/>
    </row>
    <row r="2626" spans="1:3" x14ac:dyDescent="0.2">
      <c r="A2626" s="636"/>
      <c r="B2626" s="425"/>
      <c r="C2626" s="425"/>
    </row>
    <row r="2627" spans="1:3" x14ac:dyDescent="0.2">
      <c r="A2627" s="636"/>
      <c r="B2627" s="425"/>
      <c r="C2627" s="425"/>
    </row>
    <row r="2628" spans="1:3" x14ac:dyDescent="0.2">
      <c r="A2628" s="636"/>
      <c r="B2628" s="425"/>
      <c r="C2628" s="425"/>
    </row>
    <row r="2629" spans="1:3" x14ac:dyDescent="0.2">
      <c r="A2629" s="636"/>
      <c r="B2629" s="425"/>
      <c r="C2629" s="425"/>
    </row>
    <row r="2630" spans="1:3" x14ac:dyDescent="0.2">
      <c r="A2630" s="636"/>
      <c r="B2630" s="425"/>
      <c r="C2630" s="425"/>
    </row>
    <row r="2631" spans="1:3" x14ac:dyDescent="0.2">
      <c r="A2631" s="636"/>
      <c r="B2631" s="425"/>
      <c r="C2631" s="425"/>
    </row>
    <row r="2632" spans="1:3" x14ac:dyDescent="0.2">
      <c r="A2632" s="636"/>
      <c r="B2632" s="425"/>
      <c r="C2632" s="425"/>
    </row>
    <row r="2633" spans="1:3" x14ac:dyDescent="0.2">
      <c r="A2633" s="636"/>
      <c r="B2633" s="425"/>
      <c r="C2633" s="425"/>
    </row>
    <row r="2634" spans="1:3" x14ac:dyDescent="0.2">
      <c r="A2634" s="636"/>
      <c r="B2634" s="425"/>
      <c r="C2634" s="425"/>
    </row>
    <row r="2635" spans="1:3" x14ac:dyDescent="0.2">
      <c r="A2635" s="636"/>
      <c r="B2635" s="425"/>
      <c r="C2635" s="425"/>
    </row>
    <row r="2636" spans="1:3" x14ac:dyDescent="0.2">
      <c r="A2636" s="636"/>
      <c r="B2636" s="425"/>
      <c r="C2636" s="425"/>
    </row>
    <row r="2637" spans="1:3" x14ac:dyDescent="0.2">
      <c r="A2637" s="636"/>
      <c r="B2637" s="425"/>
      <c r="C2637" s="425"/>
    </row>
    <row r="2638" spans="1:3" x14ac:dyDescent="0.2">
      <c r="A2638" s="636"/>
      <c r="B2638" s="425"/>
      <c r="C2638" s="425"/>
    </row>
    <row r="2639" spans="1:3" x14ac:dyDescent="0.2">
      <c r="A2639" s="636"/>
      <c r="B2639" s="425"/>
      <c r="C2639" s="425"/>
    </row>
    <row r="2640" spans="1:3" x14ac:dyDescent="0.2">
      <c r="A2640" s="636"/>
      <c r="B2640" s="425"/>
      <c r="C2640" s="425"/>
    </row>
    <row r="2641" spans="1:3" x14ac:dyDescent="0.2">
      <c r="A2641" s="636"/>
      <c r="B2641" s="425"/>
      <c r="C2641" s="425"/>
    </row>
    <row r="2642" spans="1:3" x14ac:dyDescent="0.2">
      <c r="A2642" s="636"/>
      <c r="B2642" s="425"/>
      <c r="C2642" s="425"/>
    </row>
    <row r="2643" spans="1:3" x14ac:dyDescent="0.2">
      <c r="A2643" s="636"/>
      <c r="B2643" s="425"/>
      <c r="C2643" s="425"/>
    </row>
    <row r="2644" spans="1:3" x14ac:dyDescent="0.2">
      <c r="A2644" s="636"/>
      <c r="B2644" s="425"/>
      <c r="C2644" s="425"/>
    </row>
    <row r="2645" spans="1:3" x14ac:dyDescent="0.2">
      <c r="A2645" s="636"/>
      <c r="B2645" s="425"/>
      <c r="C2645" s="425"/>
    </row>
    <row r="2646" spans="1:3" x14ac:dyDescent="0.2">
      <c r="A2646" s="636"/>
      <c r="B2646" s="425"/>
      <c r="C2646" s="425"/>
    </row>
    <row r="2647" spans="1:3" x14ac:dyDescent="0.2">
      <c r="A2647" s="636"/>
      <c r="B2647" s="425"/>
      <c r="C2647" s="425"/>
    </row>
    <row r="2648" spans="1:3" x14ac:dyDescent="0.2">
      <c r="A2648" s="636"/>
      <c r="B2648" s="425"/>
      <c r="C2648" s="425"/>
    </row>
    <row r="2649" spans="1:3" x14ac:dyDescent="0.2">
      <c r="A2649" s="636"/>
      <c r="B2649" s="425"/>
      <c r="C2649" s="425"/>
    </row>
    <row r="2650" spans="1:3" x14ac:dyDescent="0.2">
      <c r="A2650" s="636"/>
      <c r="B2650" s="425"/>
      <c r="C2650" s="425"/>
    </row>
    <row r="2651" spans="1:3" x14ac:dyDescent="0.2">
      <c r="A2651" s="636"/>
      <c r="B2651" s="425"/>
      <c r="C2651" s="425"/>
    </row>
    <row r="2652" spans="1:3" x14ac:dyDescent="0.2">
      <c r="A2652" s="636"/>
      <c r="B2652" s="425"/>
      <c r="C2652" s="425"/>
    </row>
    <row r="2653" spans="1:3" x14ac:dyDescent="0.2">
      <c r="A2653" s="636"/>
      <c r="B2653" s="425"/>
      <c r="C2653" s="425"/>
    </row>
    <row r="2654" spans="1:3" x14ac:dyDescent="0.2">
      <c r="A2654" s="636"/>
      <c r="B2654" s="425"/>
      <c r="C2654" s="425"/>
    </row>
    <row r="2655" spans="1:3" x14ac:dyDescent="0.2">
      <c r="A2655" s="636"/>
      <c r="B2655" s="425"/>
      <c r="C2655" s="425"/>
    </row>
    <row r="2656" spans="1:3" x14ac:dyDescent="0.2">
      <c r="A2656" s="636"/>
      <c r="B2656" s="425"/>
      <c r="C2656" s="425"/>
    </row>
    <row r="2657" spans="1:3" x14ac:dyDescent="0.2">
      <c r="A2657" s="636"/>
      <c r="B2657" s="425"/>
      <c r="C2657" s="425"/>
    </row>
    <row r="2658" spans="1:3" x14ac:dyDescent="0.2">
      <c r="A2658" s="636"/>
      <c r="B2658" s="425"/>
      <c r="C2658" s="425"/>
    </row>
    <row r="2659" spans="1:3" x14ac:dyDescent="0.2">
      <c r="A2659" s="636"/>
      <c r="B2659" s="425"/>
      <c r="C2659" s="425"/>
    </row>
    <row r="2660" spans="1:3" x14ac:dyDescent="0.2">
      <c r="A2660" s="636"/>
      <c r="B2660" s="425"/>
      <c r="C2660" s="425"/>
    </row>
    <row r="2661" spans="1:3" x14ac:dyDescent="0.2">
      <c r="A2661" s="636"/>
      <c r="B2661" s="425"/>
      <c r="C2661" s="425"/>
    </row>
    <row r="2662" spans="1:3" x14ac:dyDescent="0.2">
      <c r="A2662" s="636"/>
      <c r="B2662" s="425"/>
      <c r="C2662" s="425"/>
    </row>
    <row r="2663" spans="1:3" x14ac:dyDescent="0.2">
      <c r="A2663" s="636"/>
      <c r="B2663" s="425"/>
      <c r="C2663" s="425"/>
    </row>
    <row r="2664" spans="1:3" x14ac:dyDescent="0.2">
      <c r="A2664" s="636"/>
      <c r="B2664" s="425"/>
      <c r="C2664" s="425"/>
    </row>
    <row r="2665" spans="1:3" x14ac:dyDescent="0.2">
      <c r="A2665" s="636"/>
      <c r="B2665" s="425"/>
      <c r="C2665" s="425"/>
    </row>
    <row r="2666" spans="1:3" x14ac:dyDescent="0.2">
      <c r="A2666" s="636"/>
      <c r="B2666" s="425"/>
      <c r="C2666" s="425"/>
    </row>
    <row r="2667" spans="1:3" x14ac:dyDescent="0.2">
      <c r="A2667" s="636"/>
      <c r="B2667" s="425"/>
      <c r="C2667" s="425"/>
    </row>
    <row r="2668" spans="1:3" x14ac:dyDescent="0.2">
      <c r="A2668" s="636"/>
      <c r="B2668" s="425"/>
      <c r="C2668" s="425"/>
    </row>
    <row r="2669" spans="1:3" x14ac:dyDescent="0.2">
      <c r="A2669" s="636"/>
      <c r="B2669" s="425"/>
      <c r="C2669" s="425"/>
    </row>
    <row r="2670" spans="1:3" x14ac:dyDescent="0.2">
      <c r="A2670" s="636"/>
      <c r="B2670" s="425"/>
      <c r="C2670" s="425"/>
    </row>
    <row r="2671" spans="1:3" x14ac:dyDescent="0.2">
      <c r="A2671" s="636"/>
      <c r="B2671" s="425"/>
      <c r="C2671" s="425"/>
    </row>
    <row r="2672" spans="1:3" x14ac:dyDescent="0.2">
      <c r="A2672" s="636"/>
      <c r="B2672" s="425"/>
      <c r="C2672" s="425"/>
    </row>
    <row r="2673" spans="1:3" x14ac:dyDescent="0.2">
      <c r="A2673" s="636"/>
      <c r="B2673" s="425"/>
      <c r="C2673" s="425"/>
    </row>
    <row r="2674" spans="1:3" x14ac:dyDescent="0.2">
      <c r="A2674" s="636"/>
      <c r="B2674" s="425"/>
      <c r="C2674" s="425"/>
    </row>
    <row r="2675" spans="1:3" x14ac:dyDescent="0.2">
      <c r="A2675" s="636"/>
      <c r="B2675" s="425"/>
      <c r="C2675" s="425"/>
    </row>
    <row r="2676" spans="1:3" x14ac:dyDescent="0.2">
      <c r="A2676" s="636"/>
      <c r="B2676" s="425"/>
      <c r="C2676" s="425"/>
    </row>
    <row r="2677" spans="1:3" x14ac:dyDescent="0.2">
      <c r="A2677" s="636"/>
      <c r="B2677" s="425"/>
      <c r="C2677" s="425"/>
    </row>
    <row r="2678" spans="1:3" x14ac:dyDescent="0.2">
      <c r="A2678" s="636"/>
      <c r="B2678" s="425"/>
      <c r="C2678" s="425"/>
    </row>
    <row r="2679" spans="1:3" x14ac:dyDescent="0.2">
      <c r="A2679" s="636"/>
      <c r="B2679" s="425"/>
      <c r="C2679" s="425"/>
    </row>
    <row r="2680" spans="1:3" x14ac:dyDescent="0.2">
      <c r="A2680" s="636"/>
      <c r="B2680" s="425"/>
      <c r="C2680" s="425"/>
    </row>
    <row r="2681" spans="1:3" x14ac:dyDescent="0.2">
      <c r="A2681" s="636"/>
      <c r="B2681" s="425"/>
      <c r="C2681" s="425"/>
    </row>
    <row r="2682" spans="1:3" x14ac:dyDescent="0.2">
      <c r="A2682" s="636"/>
      <c r="B2682" s="425"/>
      <c r="C2682" s="425"/>
    </row>
    <row r="2683" spans="1:3" x14ac:dyDescent="0.2">
      <c r="A2683" s="636"/>
      <c r="B2683" s="425"/>
      <c r="C2683" s="425"/>
    </row>
    <row r="2684" spans="1:3" x14ac:dyDescent="0.2">
      <c r="A2684" s="636"/>
      <c r="B2684" s="425"/>
      <c r="C2684" s="425"/>
    </row>
    <row r="2685" spans="1:3" x14ac:dyDescent="0.2">
      <c r="A2685" s="636"/>
      <c r="B2685" s="425"/>
      <c r="C2685" s="425"/>
    </row>
    <row r="2686" spans="1:3" x14ac:dyDescent="0.2">
      <c r="A2686" s="636"/>
      <c r="B2686" s="425"/>
      <c r="C2686" s="425"/>
    </row>
    <row r="2687" spans="1:3" x14ac:dyDescent="0.2">
      <c r="A2687" s="636"/>
      <c r="B2687" s="425"/>
      <c r="C2687" s="425"/>
    </row>
    <row r="2688" spans="1:3" x14ac:dyDescent="0.2">
      <c r="A2688" s="636"/>
      <c r="B2688" s="425"/>
      <c r="C2688" s="425"/>
    </row>
    <row r="2689" spans="1:3" x14ac:dyDescent="0.2">
      <c r="A2689" s="636"/>
      <c r="B2689" s="425"/>
      <c r="C2689" s="425"/>
    </row>
    <row r="2690" spans="1:3" x14ac:dyDescent="0.2">
      <c r="A2690" s="636"/>
      <c r="B2690" s="425"/>
      <c r="C2690" s="425"/>
    </row>
    <row r="2691" spans="1:3" x14ac:dyDescent="0.2">
      <c r="A2691" s="636"/>
      <c r="B2691" s="425"/>
      <c r="C2691" s="425"/>
    </row>
    <row r="2692" spans="1:3" x14ac:dyDescent="0.2">
      <c r="A2692" s="636"/>
      <c r="B2692" s="425"/>
      <c r="C2692" s="425"/>
    </row>
    <row r="2693" spans="1:3" x14ac:dyDescent="0.2">
      <c r="A2693" s="636"/>
      <c r="B2693" s="425"/>
      <c r="C2693" s="425"/>
    </row>
    <row r="2694" spans="1:3" x14ac:dyDescent="0.2">
      <c r="A2694" s="636"/>
      <c r="B2694" s="425"/>
      <c r="C2694" s="425"/>
    </row>
    <row r="2695" spans="1:3" x14ac:dyDescent="0.2">
      <c r="A2695" s="636"/>
      <c r="B2695" s="425"/>
      <c r="C2695" s="425"/>
    </row>
    <row r="2696" spans="1:3" x14ac:dyDescent="0.2">
      <c r="A2696" s="636"/>
      <c r="B2696" s="425"/>
      <c r="C2696" s="425"/>
    </row>
    <row r="2697" spans="1:3" x14ac:dyDescent="0.2">
      <c r="A2697" s="636"/>
      <c r="B2697" s="425"/>
      <c r="C2697" s="425"/>
    </row>
    <row r="2698" spans="1:3" x14ac:dyDescent="0.2">
      <c r="A2698" s="636"/>
      <c r="B2698" s="425"/>
      <c r="C2698" s="425"/>
    </row>
    <row r="2699" spans="1:3" x14ac:dyDescent="0.2">
      <c r="A2699" s="636"/>
      <c r="B2699" s="425"/>
      <c r="C2699" s="425"/>
    </row>
    <row r="2700" spans="1:3" x14ac:dyDescent="0.2">
      <c r="A2700" s="636"/>
      <c r="B2700" s="425"/>
      <c r="C2700" s="425"/>
    </row>
    <row r="2701" spans="1:3" x14ac:dyDescent="0.2">
      <c r="A2701" s="636"/>
      <c r="B2701" s="425"/>
      <c r="C2701" s="425"/>
    </row>
    <row r="2702" spans="1:3" x14ac:dyDescent="0.2">
      <c r="A2702" s="636"/>
      <c r="B2702" s="425"/>
      <c r="C2702" s="425"/>
    </row>
    <row r="2703" spans="1:3" x14ac:dyDescent="0.2">
      <c r="A2703" s="636"/>
      <c r="B2703" s="425"/>
      <c r="C2703" s="425"/>
    </row>
    <row r="2704" spans="1:3" x14ac:dyDescent="0.2">
      <c r="A2704" s="636"/>
      <c r="B2704" s="425"/>
      <c r="C2704" s="425"/>
    </row>
    <row r="2705" spans="1:3" x14ac:dyDescent="0.2">
      <c r="A2705" s="636"/>
      <c r="B2705" s="425"/>
      <c r="C2705" s="425"/>
    </row>
    <row r="2706" spans="1:3" x14ac:dyDescent="0.2">
      <c r="A2706" s="636"/>
      <c r="B2706" s="425"/>
      <c r="C2706" s="425"/>
    </row>
    <row r="2707" spans="1:3" x14ac:dyDescent="0.2">
      <c r="A2707" s="636"/>
      <c r="B2707" s="425"/>
      <c r="C2707" s="425"/>
    </row>
    <row r="2708" spans="1:3" x14ac:dyDescent="0.2">
      <c r="A2708" s="636"/>
      <c r="B2708" s="425"/>
      <c r="C2708" s="425"/>
    </row>
    <row r="2709" spans="1:3" x14ac:dyDescent="0.2">
      <c r="A2709" s="636"/>
      <c r="B2709" s="425"/>
      <c r="C2709" s="425"/>
    </row>
    <row r="2710" spans="1:3" x14ac:dyDescent="0.2">
      <c r="A2710" s="636"/>
      <c r="B2710" s="425"/>
      <c r="C2710" s="425"/>
    </row>
    <row r="2711" spans="1:3" x14ac:dyDescent="0.2">
      <c r="A2711" s="636"/>
      <c r="B2711" s="425"/>
      <c r="C2711" s="425"/>
    </row>
    <row r="2712" spans="1:3" x14ac:dyDescent="0.2">
      <c r="A2712" s="636"/>
      <c r="B2712" s="425"/>
      <c r="C2712" s="425"/>
    </row>
    <row r="2713" spans="1:3" x14ac:dyDescent="0.2">
      <c r="A2713" s="636"/>
      <c r="B2713" s="425"/>
      <c r="C2713" s="425"/>
    </row>
    <row r="2714" spans="1:3" x14ac:dyDescent="0.2">
      <c r="A2714" s="636"/>
      <c r="B2714" s="425"/>
      <c r="C2714" s="425"/>
    </row>
    <row r="2715" spans="1:3" x14ac:dyDescent="0.2">
      <c r="A2715" s="636"/>
      <c r="B2715" s="425"/>
      <c r="C2715" s="425"/>
    </row>
    <row r="2716" spans="1:3" x14ac:dyDescent="0.2">
      <c r="A2716" s="636"/>
      <c r="B2716" s="425"/>
      <c r="C2716" s="425"/>
    </row>
    <row r="2717" spans="1:3" x14ac:dyDescent="0.2">
      <c r="A2717" s="636"/>
      <c r="B2717" s="425"/>
      <c r="C2717" s="425"/>
    </row>
    <row r="2718" spans="1:3" x14ac:dyDescent="0.2">
      <c r="A2718" s="636"/>
      <c r="B2718" s="425"/>
      <c r="C2718" s="425"/>
    </row>
    <row r="2719" spans="1:3" x14ac:dyDescent="0.2">
      <c r="A2719" s="636"/>
      <c r="B2719" s="425"/>
      <c r="C2719" s="425"/>
    </row>
    <row r="2720" spans="1:3" x14ac:dyDescent="0.2">
      <c r="A2720" s="636"/>
      <c r="B2720" s="425"/>
      <c r="C2720" s="425"/>
    </row>
    <row r="2721" spans="1:3" x14ac:dyDescent="0.2">
      <c r="A2721" s="636"/>
      <c r="B2721" s="425"/>
      <c r="C2721" s="425"/>
    </row>
    <row r="2722" spans="1:3" x14ac:dyDescent="0.2">
      <c r="A2722" s="636"/>
      <c r="B2722" s="425"/>
      <c r="C2722" s="425"/>
    </row>
    <row r="2723" spans="1:3" x14ac:dyDescent="0.2">
      <c r="A2723" s="636"/>
      <c r="B2723" s="425"/>
      <c r="C2723" s="425"/>
    </row>
    <row r="2724" spans="1:3" x14ac:dyDescent="0.2">
      <c r="A2724" s="636"/>
      <c r="B2724" s="425"/>
      <c r="C2724" s="425"/>
    </row>
    <row r="2725" spans="1:3" x14ac:dyDescent="0.2">
      <c r="A2725" s="636"/>
      <c r="B2725" s="425"/>
      <c r="C2725" s="425"/>
    </row>
    <row r="2726" spans="1:3" x14ac:dyDescent="0.2">
      <c r="A2726" s="636"/>
      <c r="B2726" s="425"/>
      <c r="C2726" s="425"/>
    </row>
    <row r="2727" spans="1:3" x14ac:dyDescent="0.2">
      <c r="A2727" s="636"/>
      <c r="B2727" s="425"/>
      <c r="C2727" s="425"/>
    </row>
    <row r="2728" spans="1:3" x14ac:dyDescent="0.2">
      <c r="A2728" s="636"/>
      <c r="B2728" s="425"/>
      <c r="C2728" s="425"/>
    </row>
    <row r="2729" spans="1:3" x14ac:dyDescent="0.2">
      <c r="A2729" s="636"/>
      <c r="B2729" s="425"/>
      <c r="C2729" s="425"/>
    </row>
    <row r="2730" spans="1:3" x14ac:dyDescent="0.2">
      <c r="A2730" s="636"/>
      <c r="B2730" s="425"/>
      <c r="C2730" s="425"/>
    </row>
    <row r="2731" spans="1:3" x14ac:dyDescent="0.2">
      <c r="A2731" s="636"/>
      <c r="B2731" s="425"/>
      <c r="C2731" s="425"/>
    </row>
    <row r="2732" spans="1:3" x14ac:dyDescent="0.2">
      <c r="A2732" s="636"/>
      <c r="B2732" s="425"/>
      <c r="C2732" s="425"/>
    </row>
    <row r="2733" spans="1:3" x14ac:dyDescent="0.2">
      <c r="A2733" s="636"/>
      <c r="B2733" s="425"/>
      <c r="C2733" s="425"/>
    </row>
    <row r="2734" spans="1:3" x14ac:dyDescent="0.2">
      <c r="A2734" s="636"/>
      <c r="B2734" s="425"/>
      <c r="C2734" s="425"/>
    </row>
    <row r="2735" spans="1:3" x14ac:dyDescent="0.2">
      <c r="A2735" s="636"/>
      <c r="B2735" s="425"/>
      <c r="C2735" s="425"/>
    </row>
    <row r="2736" spans="1:3" x14ac:dyDescent="0.2">
      <c r="A2736" s="636"/>
      <c r="B2736" s="425"/>
      <c r="C2736" s="425"/>
    </row>
    <row r="2737" spans="1:3" x14ac:dyDescent="0.2">
      <c r="A2737" s="636"/>
      <c r="B2737" s="425"/>
      <c r="C2737" s="425"/>
    </row>
    <row r="2738" spans="1:3" x14ac:dyDescent="0.2">
      <c r="A2738" s="636"/>
      <c r="B2738" s="425"/>
      <c r="C2738" s="425"/>
    </row>
    <row r="2739" spans="1:3" x14ac:dyDescent="0.2">
      <c r="A2739" s="636"/>
      <c r="B2739" s="425"/>
      <c r="C2739" s="425"/>
    </row>
    <row r="2740" spans="1:3" x14ac:dyDescent="0.2">
      <c r="A2740" s="636"/>
      <c r="B2740" s="425"/>
      <c r="C2740" s="425"/>
    </row>
    <row r="2741" spans="1:3" x14ac:dyDescent="0.2">
      <c r="A2741" s="636"/>
      <c r="B2741" s="425"/>
      <c r="C2741" s="425"/>
    </row>
    <row r="2742" spans="1:3" x14ac:dyDescent="0.2">
      <c r="A2742" s="636"/>
      <c r="B2742" s="425"/>
      <c r="C2742" s="425"/>
    </row>
    <row r="2743" spans="1:3" x14ac:dyDescent="0.2">
      <c r="A2743" s="636"/>
      <c r="B2743" s="425"/>
      <c r="C2743" s="425"/>
    </row>
    <row r="2744" spans="1:3" x14ac:dyDescent="0.2">
      <c r="A2744" s="636"/>
      <c r="B2744" s="425"/>
      <c r="C2744" s="425"/>
    </row>
  </sheetData>
  <phoneticPr fontId="41" type="noConversion"/>
  <pageMargins left="0.78740157480314965" right="0.78740157480314965" top="0.55118110236220474" bottom="1.0236220472440944" header="0.51181102362204722" footer="0.6692913385826772"/>
  <pageSetup paperSize="9" orientation="portrait" blackAndWhite="1" horizontalDpi="300" verticalDpi="300" r:id="rId1"/>
  <headerFooter alignWithMargins="0">
    <oddFooter>&amp;L&amp;8&amp;F&amp;C&amp;8 08-2010fr TTE 3.6&amp;RAnnexe A -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E0A39-1A7C-4C16-ADA6-E80DBDF25200}">
  <sheetPr codeName="Feuil4">
    <pageSetUpPr fitToPage="1"/>
  </sheetPr>
  <dimension ref="A1:S60"/>
  <sheetViews>
    <sheetView topLeftCell="A14" zoomScaleNormal="100" zoomScaleSheetLayoutView="100" workbookViewId="0">
      <selection activeCell="G29" sqref="G29"/>
    </sheetView>
  </sheetViews>
  <sheetFormatPr baseColWidth="10" defaultRowHeight="12.75" x14ac:dyDescent="0.2"/>
  <cols>
    <col min="1" max="1" width="11.85546875" style="417" customWidth="1"/>
    <col min="2" max="2" width="4.5703125" style="417" customWidth="1"/>
    <col min="3" max="3" width="13.140625" style="417" customWidth="1"/>
    <col min="4" max="5" width="13.5703125" style="417" customWidth="1"/>
    <col min="6" max="6" width="15" style="417" customWidth="1"/>
    <col min="7" max="7" width="8.7109375" style="417" customWidth="1"/>
    <col min="8" max="8" width="14.7109375" style="417" customWidth="1"/>
    <col min="9" max="9" width="14.42578125" style="417" customWidth="1"/>
    <col min="10" max="12" width="10.7109375" style="298" customWidth="1"/>
    <col min="13" max="13" width="10.7109375" style="306" customWidth="1"/>
    <col min="14" max="14" width="10.7109375" style="335" customWidth="1"/>
    <col min="15" max="16" width="10.7109375" style="298" customWidth="1"/>
    <col min="17" max="17" width="10.7109375" style="335" customWidth="1"/>
    <col min="18" max="20" width="10.7109375" style="298" customWidth="1"/>
    <col min="21" max="16384" width="11.42578125" style="298"/>
  </cols>
  <sheetData>
    <row r="1" spans="1:19" ht="18" customHeight="1" x14ac:dyDescent="0.2">
      <c r="A1" s="510"/>
      <c r="B1" s="510"/>
      <c r="C1" s="510"/>
      <c r="D1" s="510"/>
      <c r="E1" s="510"/>
      <c r="F1" s="510"/>
      <c r="G1" s="510"/>
      <c r="H1" s="510"/>
    </row>
    <row r="2" spans="1:19" x14ac:dyDescent="0.2">
      <c r="A2" s="510"/>
      <c r="B2" s="510"/>
      <c r="C2" s="510"/>
      <c r="D2" s="510"/>
      <c r="E2" s="510"/>
      <c r="F2" s="510"/>
      <c r="G2" s="510"/>
      <c r="H2" s="510"/>
    </row>
    <row r="3" spans="1:19" x14ac:dyDescent="0.2">
      <c r="A3" s="510"/>
      <c r="B3" s="510"/>
      <c r="C3" s="510"/>
      <c r="D3" s="510"/>
      <c r="E3" s="510"/>
      <c r="F3" s="510"/>
      <c r="G3" s="510"/>
      <c r="H3" s="510"/>
      <c r="M3" s="298"/>
      <c r="N3" s="298"/>
      <c r="Q3" s="298"/>
    </row>
    <row r="4" spans="1:19" ht="5.45" hidden="1" customHeight="1" x14ac:dyDescent="0.2">
      <c r="A4" s="510"/>
      <c r="B4" s="510"/>
      <c r="C4" s="510"/>
      <c r="D4" s="510"/>
      <c r="E4" s="510"/>
      <c r="F4" s="510"/>
      <c r="G4" s="510"/>
      <c r="H4" s="510"/>
      <c r="M4" s="298"/>
      <c r="N4" s="298"/>
      <c r="Q4" s="298"/>
    </row>
    <row r="5" spans="1:19" ht="40.5" x14ac:dyDescent="0.55000000000000004">
      <c r="A5" s="932" t="s">
        <v>837</v>
      </c>
      <c r="B5" s="932"/>
      <c r="C5" s="932"/>
      <c r="D5" s="932"/>
      <c r="E5" s="932"/>
      <c r="F5" s="932"/>
      <c r="G5" s="932"/>
      <c r="H5" s="932"/>
      <c r="M5" s="298"/>
      <c r="N5" s="298"/>
      <c r="Q5" s="298"/>
    </row>
    <row r="6" spans="1:19" ht="6" customHeight="1" x14ac:dyDescent="0.2">
      <c r="A6" s="510"/>
      <c r="B6" s="510"/>
      <c r="C6" s="510"/>
      <c r="D6" s="510"/>
      <c r="E6" s="510"/>
      <c r="F6" s="510"/>
      <c r="G6" s="510"/>
      <c r="H6" s="510"/>
      <c r="M6" s="298"/>
      <c r="N6" s="298"/>
      <c r="Q6" s="298"/>
    </row>
    <row r="7" spans="1:19" ht="23.25" x14ac:dyDescent="0.35">
      <c r="A7" s="933" t="s">
        <v>677</v>
      </c>
      <c r="B7" s="933"/>
      <c r="C7" s="933"/>
      <c r="D7" s="933"/>
      <c r="E7" s="933"/>
      <c r="F7" s="933"/>
      <c r="G7" s="933"/>
      <c r="H7" s="933"/>
      <c r="M7" s="298"/>
      <c r="N7" s="298"/>
      <c r="Q7" s="298"/>
    </row>
    <row r="8" spans="1:19" ht="5.45" customHeight="1" x14ac:dyDescent="0.2">
      <c r="A8" s="510"/>
      <c r="B8" s="510"/>
      <c r="C8" s="510"/>
      <c r="D8" s="510"/>
      <c r="E8" s="510"/>
      <c r="F8" s="510"/>
      <c r="G8" s="510"/>
      <c r="H8" s="510"/>
      <c r="M8" s="298"/>
      <c r="N8" s="298"/>
      <c r="Q8" s="298"/>
    </row>
    <row r="9" spans="1:19" ht="23.25" x14ac:dyDescent="0.35">
      <c r="A9" s="933"/>
      <c r="B9" s="933"/>
      <c r="C9" s="933"/>
      <c r="D9" s="933"/>
      <c r="E9" s="933"/>
      <c r="F9" s="933"/>
      <c r="G9" s="933"/>
      <c r="H9" s="933"/>
      <c r="M9" s="298"/>
      <c r="N9" s="298"/>
      <c r="Q9" s="298"/>
    </row>
    <row r="10" spans="1:19" ht="23.25" x14ac:dyDescent="0.35">
      <c r="A10" s="625"/>
      <c r="B10" s="625"/>
      <c r="C10" s="625"/>
      <c r="D10" s="625"/>
      <c r="E10" s="625"/>
      <c r="F10" s="625"/>
      <c r="G10" s="625"/>
      <c r="H10" s="625"/>
      <c r="M10" s="298"/>
      <c r="N10" s="298"/>
      <c r="Q10" s="298"/>
    </row>
    <row r="11" spans="1:19" ht="23.25" customHeight="1" x14ac:dyDescent="0.3">
      <c r="A11" s="632" t="s">
        <v>839</v>
      </c>
      <c r="B11" s="628"/>
      <c r="C11" s="628"/>
      <c r="D11" s="628"/>
      <c r="E11" s="628"/>
      <c r="F11" s="628"/>
      <c r="G11" s="628"/>
      <c r="H11" s="628"/>
      <c r="M11" s="298"/>
      <c r="N11" s="298"/>
      <c r="Q11" s="298"/>
    </row>
    <row r="12" spans="1:19" ht="8.25" customHeight="1" x14ac:dyDescent="0.3">
      <c r="A12" s="628"/>
      <c r="B12" s="628"/>
      <c r="C12" s="628"/>
      <c r="D12" s="628"/>
      <c r="E12" s="628"/>
      <c r="F12" s="628"/>
      <c r="G12" s="628"/>
      <c r="H12" s="628"/>
      <c r="M12" s="298"/>
      <c r="N12" s="298"/>
      <c r="Q12" s="298"/>
    </row>
    <row r="13" spans="1:19" ht="16.5" x14ac:dyDescent="0.25">
      <c r="A13" s="510"/>
      <c r="B13" s="510"/>
      <c r="C13" s="796" t="s">
        <v>841</v>
      </c>
      <c r="D13" s="292" t="str">
        <f>Batiment_Info!B7</f>
        <v/>
      </c>
      <c r="E13" s="84"/>
      <c r="F13" s="84"/>
      <c r="G13" s="511"/>
      <c r="H13" s="511"/>
      <c r="I13" s="419"/>
      <c r="N13" s="368"/>
      <c r="Q13" s="369"/>
      <c r="S13" s="369"/>
    </row>
    <row r="14" spans="1:19" ht="15" customHeight="1" x14ac:dyDescent="0.25">
      <c r="A14" s="510"/>
      <c r="B14" s="510"/>
      <c r="C14" s="797"/>
      <c r="D14" s="292" t="str">
        <f>Batiment_Info!B8</f>
        <v/>
      </c>
      <c r="E14" s="84"/>
      <c r="F14" s="84"/>
      <c r="G14" s="510"/>
      <c r="H14" s="510"/>
      <c r="I14" s="420"/>
      <c r="J14" s="371"/>
      <c r="K14" s="371"/>
      <c r="M14" s="298"/>
      <c r="N14" s="368"/>
    </row>
    <row r="15" spans="1:19" ht="19.5" customHeight="1" x14ac:dyDescent="0.25">
      <c r="A15" s="510"/>
      <c r="B15" s="510"/>
      <c r="C15" s="797"/>
      <c r="D15" s="292" t="str">
        <f>Batiment_Info!B9</f>
        <v/>
      </c>
      <c r="E15" s="84"/>
      <c r="F15" s="84"/>
      <c r="G15" s="510"/>
      <c r="H15" s="510"/>
      <c r="M15" s="298"/>
    </row>
    <row r="16" spans="1:19" ht="19.5" customHeight="1" x14ac:dyDescent="0.25">
      <c r="A16" s="510"/>
      <c r="B16" s="510"/>
      <c r="C16" s="797"/>
      <c r="D16" s="292" t="str">
        <f>Batiment_Info!B10</f>
        <v/>
      </c>
      <c r="E16" s="84"/>
      <c r="F16" s="84"/>
      <c r="G16" s="510"/>
      <c r="H16" s="510"/>
      <c r="I16" s="420"/>
      <c r="J16" s="371"/>
      <c r="K16" s="371"/>
      <c r="M16" s="298"/>
      <c r="N16" s="368"/>
    </row>
    <row r="17" spans="1:17" ht="8.25" customHeight="1" x14ac:dyDescent="0.25">
      <c r="A17" s="510"/>
      <c r="B17" s="510"/>
      <c r="C17" s="797"/>
      <c r="D17" s="510"/>
      <c r="E17" s="510"/>
      <c r="F17" s="510"/>
      <c r="G17" s="510"/>
      <c r="H17" s="510"/>
      <c r="I17" s="420"/>
      <c r="J17" s="371"/>
      <c r="K17" s="371"/>
      <c r="M17" s="298"/>
      <c r="N17" s="368"/>
    </row>
    <row r="18" spans="1:17" ht="19.5" customHeight="1" x14ac:dyDescent="0.25">
      <c r="A18" s="510"/>
      <c r="B18" s="510"/>
      <c r="C18" s="796" t="s">
        <v>840</v>
      </c>
      <c r="D18" s="293" t="str">
        <f>Batiment_Info!D12</f>
        <v/>
      </c>
      <c r="E18" s="510"/>
      <c r="F18" s="510"/>
      <c r="G18" s="510"/>
      <c r="H18" s="510"/>
      <c r="M18" s="298"/>
    </row>
    <row r="19" spans="1:17" x14ac:dyDescent="0.2">
      <c r="A19" s="510"/>
      <c r="B19" s="510"/>
      <c r="C19" s="510"/>
      <c r="D19" s="510"/>
      <c r="E19" s="510"/>
      <c r="F19" s="510"/>
      <c r="G19" s="510"/>
      <c r="H19" s="510"/>
    </row>
    <row r="20" spans="1:17" x14ac:dyDescent="0.2">
      <c r="A20" s="510"/>
      <c r="B20" s="510"/>
      <c r="C20" s="510"/>
      <c r="D20" s="510"/>
      <c r="E20" s="510"/>
      <c r="F20" s="510"/>
      <c r="G20" s="510"/>
      <c r="H20" s="510"/>
    </row>
    <row r="21" spans="1:17" x14ac:dyDescent="0.2">
      <c r="A21" s="510"/>
      <c r="B21" s="510"/>
      <c r="C21" s="510"/>
      <c r="D21" s="510"/>
      <c r="E21" s="510"/>
      <c r="F21" s="510"/>
      <c r="G21" s="510"/>
      <c r="H21" s="510"/>
    </row>
    <row r="22" spans="1:17" x14ac:dyDescent="0.2">
      <c r="A22" s="510"/>
      <c r="B22" s="510"/>
      <c r="C22" s="510"/>
      <c r="D22" s="510"/>
      <c r="E22" s="510"/>
      <c r="F22" s="510"/>
      <c r="G22" s="510"/>
      <c r="H22" s="510"/>
    </row>
    <row r="23" spans="1:17" x14ac:dyDescent="0.2">
      <c r="A23" s="510"/>
      <c r="B23" s="510"/>
      <c r="C23" s="510"/>
      <c r="D23" s="510"/>
      <c r="E23" s="510"/>
      <c r="F23" s="510"/>
      <c r="G23" s="510"/>
      <c r="H23" s="510"/>
    </row>
    <row r="24" spans="1:17" ht="19.5" customHeight="1" x14ac:dyDescent="0.3">
      <c r="A24" s="632" t="s">
        <v>838</v>
      </c>
      <c r="B24" s="510"/>
      <c r="C24" s="510"/>
      <c r="D24" s="510"/>
      <c r="E24" s="510"/>
      <c r="F24" s="510"/>
      <c r="G24" s="510"/>
      <c r="H24" s="510"/>
      <c r="I24" s="421"/>
      <c r="J24" s="375"/>
      <c r="K24" s="375"/>
      <c r="M24" s="298"/>
    </row>
    <row r="25" spans="1:17" ht="8.25" customHeight="1" x14ac:dyDescent="0.25">
      <c r="A25" s="510"/>
      <c r="B25" s="510"/>
      <c r="C25" s="510"/>
      <c r="D25" s="510"/>
      <c r="E25" s="510"/>
      <c r="F25" s="510"/>
      <c r="G25" s="510"/>
      <c r="H25" s="510"/>
      <c r="I25" s="421"/>
      <c r="K25" s="375"/>
      <c r="M25" s="298"/>
    </row>
    <row r="26" spans="1:17" ht="23.25" customHeight="1" x14ac:dyDescent="0.35">
      <c r="A26" s="626"/>
      <c r="B26" s="510"/>
      <c r="C26" s="816" t="s">
        <v>844</v>
      </c>
      <c r="D26" s="800" t="str">
        <f>IF(Donnees_Test!I50="","",Donnees_Test!I50)</f>
        <v/>
      </c>
      <c r="E26" s="627" t="str">
        <f>IF(D26="","",Donnees_Test!J50)</f>
        <v/>
      </c>
      <c r="F26" s="740" t="s">
        <v>796</v>
      </c>
      <c r="G26" s="626" t="str">
        <f>Donnees_Test!E50</f>
        <v/>
      </c>
      <c r="H26" s="626"/>
      <c r="M26" s="298"/>
      <c r="N26" s="298"/>
      <c r="Q26" s="298"/>
    </row>
    <row r="27" spans="1:17" ht="23.25" customHeight="1" x14ac:dyDescent="0.35">
      <c r="A27" s="626"/>
      <c r="B27" s="510"/>
      <c r="C27" s="816" t="s">
        <v>845</v>
      </c>
      <c r="D27" s="799" t="str">
        <f>IF(Donnees_Test!I51="","",Donnees_Test!I51)</f>
        <v/>
      </c>
      <c r="E27" s="627" t="str">
        <f>IF(D27="","",Donnees_Test!J51)</f>
        <v/>
      </c>
      <c r="F27" s="740" t="s">
        <v>796</v>
      </c>
      <c r="G27" s="626" t="str">
        <f>Donnees_Test!E51</f>
        <v/>
      </c>
      <c r="H27" s="626"/>
      <c r="M27" s="298"/>
      <c r="N27" s="298"/>
      <c r="Q27" s="298"/>
    </row>
    <row r="28" spans="1:17" ht="6" customHeight="1" x14ac:dyDescent="0.3">
      <c r="A28" s="626"/>
      <c r="B28" s="510"/>
      <c r="C28" s="816"/>
      <c r="D28" s="795"/>
      <c r="E28" s="627"/>
      <c r="F28" s="740"/>
      <c r="G28" s="793"/>
      <c r="H28" s="510"/>
      <c r="M28" s="298"/>
      <c r="N28" s="298"/>
      <c r="Q28" s="298"/>
    </row>
    <row r="29" spans="1:17" ht="23.25" customHeight="1" x14ac:dyDescent="0.35">
      <c r="A29" s="626"/>
      <c r="B29" s="510"/>
      <c r="C29" s="816" t="s">
        <v>846</v>
      </c>
      <c r="D29" s="798" t="str">
        <f>IF(Donnees_Test!I53="","",Donnees_Test!I53)</f>
        <v/>
      </c>
      <c r="E29" s="627" t="str">
        <f>IF(D29="","",Donnees_Test!J53)</f>
        <v/>
      </c>
      <c r="F29" s="740" t="s">
        <v>796</v>
      </c>
      <c r="G29" s="626" t="str">
        <f>Donnees_Test!E53</f>
        <v/>
      </c>
      <c r="H29" s="626"/>
      <c r="M29" s="298"/>
      <c r="N29" s="298"/>
      <c r="Q29" s="298"/>
    </row>
    <row r="30" spans="1:17" x14ac:dyDescent="0.2">
      <c r="A30" s="510"/>
      <c r="B30" s="510"/>
      <c r="C30" s="510"/>
      <c r="D30" s="510"/>
      <c r="E30" s="510"/>
      <c r="F30" s="510"/>
      <c r="G30" s="510"/>
      <c r="H30" s="510"/>
    </row>
    <row r="31" spans="1:17" x14ac:dyDescent="0.2">
      <c r="A31" s="510"/>
      <c r="B31" s="510"/>
      <c r="C31" s="510"/>
      <c r="D31" s="510"/>
      <c r="E31" s="510"/>
      <c r="F31" s="510"/>
      <c r="G31" s="510"/>
      <c r="H31" s="510"/>
    </row>
    <row r="32" spans="1:17" x14ac:dyDescent="0.2">
      <c r="A32" s="510"/>
      <c r="B32" s="510"/>
      <c r="C32" s="510"/>
      <c r="D32" s="510"/>
      <c r="E32" s="510"/>
      <c r="F32" s="510"/>
      <c r="G32" s="510"/>
      <c r="H32" s="510"/>
    </row>
    <row r="33" spans="1:18" x14ac:dyDescent="0.2">
      <c r="A33" s="510"/>
      <c r="B33" s="510"/>
      <c r="C33" s="510"/>
      <c r="D33" s="510"/>
      <c r="E33" s="510"/>
      <c r="F33" s="510"/>
      <c r="G33" s="510"/>
      <c r="H33" s="510"/>
    </row>
    <row r="34" spans="1:18" x14ac:dyDescent="0.2">
      <c r="A34" s="510"/>
      <c r="B34" s="510"/>
      <c r="C34" s="510"/>
      <c r="D34" s="510"/>
      <c r="E34" s="510"/>
      <c r="F34" s="510"/>
      <c r="G34" s="510"/>
      <c r="H34" s="510"/>
    </row>
    <row r="35" spans="1:18" x14ac:dyDescent="0.2">
      <c r="A35" s="510"/>
      <c r="B35" s="510"/>
      <c r="C35" s="510"/>
      <c r="D35" s="510"/>
      <c r="E35" s="510"/>
      <c r="F35" s="510"/>
      <c r="G35" s="510"/>
      <c r="H35" s="510"/>
    </row>
    <row r="36" spans="1:18" ht="19.5" customHeight="1" x14ac:dyDescent="0.4">
      <c r="A36" s="815" t="s">
        <v>678</v>
      </c>
      <c r="B36" s="801"/>
      <c r="C36" s="801"/>
      <c r="D36" s="801"/>
      <c r="E36" s="801"/>
      <c r="F36" s="801"/>
      <c r="G36" s="801"/>
      <c r="H36" s="801"/>
      <c r="I36" s="806"/>
      <c r="M36" s="298"/>
    </row>
    <row r="37" spans="1:18" s="808" customFormat="1" ht="15.75" customHeight="1" x14ac:dyDescent="0.2">
      <c r="A37" s="804"/>
      <c r="B37" s="804"/>
      <c r="C37" s="804"/>
      <c r="D37" s="804"/>
      <c r="E37" s="512"/>
      <c r="F37" s="803"/>
      <c r="G37" s="802"/>
      <c r="H37" s="802"/>
      <c r="I37" s="807"/>
      <c r="N37" s="335"/>
      <c r="Q37" s="335"/>
    </row>
    <row r="38" spans="1:18" s="808" customFormat="1" ht="16.5" customHeight="1" x14ac:dyDescent="0.25">
      <c r="A38" s="804"/>
      <c r="B38" s="804"/>
      <c r="C38" s="811" t="s">
        <v>572</v>
      </c>
      <c r="D38" s="935" t="str">
        <f>Batiment_Info!B16</f>
        <v/>
      </c>
      <c r="E38" s="935"/>
      <c r="F38" s="935"/>
      <c r="G38" s="935"/>
      <c r="H38" s="802"/>
      <c r="I38" s="807"/>
      <c r="M38" s="306"/>
      <c r="N38" s="335"/>
      <c r="Q38" s="368"/>
      <c r="R38" s="368"/>
    </row>
    <row r="39" spans="1:18" s="808" customFormat="1" ht="15" customHeight="1" x14ac:dyDescent="0.2">
      <c r="A39" s="804"/>
      <c r="B39" s="804"/>
      <c r="C39" s="812"/>
      <c r="D39" s="935" t="str">
        <f>Batiment_Info!B17</f>
        <v/>
      </c>
      <c r="E39" s="935"/>
      <c r="F39" s="935"/>
      <c r="G39" s="935"/>
      <c r="H39" s="802"/>
      <c r="I39" s="807"/>
      <c r="M39" s="306"/>
      <c r="N39" s="335"/>
      <c r="Q39" s="335"/>
    </row>
    <row r="40" spans="1:18" s="808" customFormat="1" ht="19.5" customHeight="1" x14ac:dyDescent="0.25">
      <c r="A40" s="804"/>
      <c r="B40" s="804"/>
      <c r="C40" s="812"/>
      <c r="D40" s="935" t="str">
        <f>Batiment_Info!B18</f>
        <v/>
      </c>
      <c r="E40" s="935"/>
      <c r="F40" s="935"/>
      <c r="G40" s="935"/>
      <c r="H40" s="794"/>
      <c r="I40" s="809"/>
      <c r="J40" s="810"/>
      <c r="K40" s="810"/>
      <c r="L40" s="810"/>
      <c r="M40" s="384"/>
      <c r="N40" s="368"/>
      <c r="Q40" s="335"/>
    </row>
    <row r="41" spans="1:18" ht="19.5" customHeight="1" x14ac:dyDescent="0.2">
      <c r="A41" s="231"/>
      <c r="B41" s="231"/>
      <c r="C41" s="813"/>
      <c r="D41" s="935" t="str">
        <f>Batiment_Info!B19</f>
        <v/>
      </c>
      <c r="E41" s="935"/>
      <c r="F41" s="935"/>
      <c r="G41" s="935"/>
      <c r="H41" s="510"/>
    </row>
    <row r="42" spans="1:18" ht="18.75" customHeight="1" x14ac:dyDescent="0.2">
      <c r="A42" s="231"/>
      <c r="B42" s="231"/>
      <c r="C42" s="231"/>
      <c r="D42" s="805" t="str">
        <f>Batiment_Info!F11</f>
        <v xml:space="preserve">Téléphone : </v>
      </c>
      <c r="E42" s="936" t="str">
        <f>Batiment_Info!G11</f>
        <v/>
      </c>
      <c r="F42" s="936"/>
      <c r="G42" s="936"/>
      <c r="H42" s="510"/>
    </row>
    <row r="43" spans="1:18" s="386" customFormat="1" ht="14.25" x14ac:dyDescent="0.2">
      <c r="A43" s="514"/>
      <c r="B43" s="514"/>
      <c r="C43" s="514"/>
      <c r="D43" s="805" t="str">
        <f>Batiment_Info!F12</f>
        <v>Fax :</v>
      </c>
      <c r="E43" s="936" t="str">
        <f>Batiment_Info!G12</f>
        <v/>
      </c>
      <c r="F43" s="936"/>
      <c r="G43" s="936"/>
      <c r="H43" s="515"/>
      <c r="I43" s="422"/>
      <c r="M43" s="387"/>
      <c r="N43" s="388"/>
      <c r="Q43" s="388"/>
    </row>
    <row r="44" spans="1:18" s="386" customFormat="1" ht="15.75" customHeight="1" x14ac:dyDescent="0.2">
      <c r="A44" s="514"/>
      <c r="B44" s="513"/>
      <c r="C44" s="510"/>
      <c r="D44" s="510"/>
      <c r="E44" s="514"/>
      <c r="F44" s="514"/>
      <c r="G44" s="514"/>
      <c r="H44" s="514"/>
      <c r="I44" s="422"/>
      <c r="M44" s="387"/>
      <c r="N44" s="388"/>
      <c r="Q44" s="388"/>
    </row>
    <row r="45" spans="1:18" s="386" customFormat="1" ht="15.75" customHeight="1" x14ac:dyDescent="0.25">
      <c r="A45" s="514"/>
      <c r="B45" s="510"/>
      <c r="C45" s="811" t="s">
        <v>842</v>
      </c>
      <c r="D45" s="814">
        <f ca="1">TODAY()</f>
        <v>44718</v>
      </c>
      <c r="E45" s="813"/>
      <c r="F45" s="813"/>
      <c r="G45" s="813"/>
      <c r="H45" s="514"/>
      <c r="I45" s="422"/>
      <c r="M45" s="387"/>
      <c r="N45" s="388"/>
      <c r="Q45" s="388"/>
    </row>
    <row r="46" spans="1:18" s="386" customFormat="1" ht="15.75" customHeight="1" x14ac:dyDescent="0.2">
      <c r="A46" s="514"/>
      <c r="B46" s="510"/>
      <c r="C46" s="813"/>
      <c r="D46" s="513"/>
      <c r="E46" s="813"/>
      <c r="F46" s="813"/>
      <c r="G46" s="813"/>
      <c r="H46" s="514"/>
      <c r="I46" s="422"/>
      <c r="M46" s="387"/>
      <c r="N46" s="388"/>
      <c r="Q46" s="388"/>
    </row>
    <row r="47" spans="1:18" s="386" customFormat="1" ht="15.75" x14ac:dyDescent="0.25">
      <c r="A47" s="514"/>
      <c r="B47" s="510"/>
      <c r="C47" s="811" t="s">
        <v>843</v>
      </c>
      <c r="D47" s="934" t="str">
        <f>Batiment_Info!G16</f>
        <v/>
      </c>
      <c r="E47" s="934"/>
      <c r="F47" s="934"/>
      <c r="G47" s="934"/>
      <c r="H47" s="514"/>
      <c r="I47" s="422"/>
      <c r="M47" s="387"/>
      <c r="N47" s="388"/>
      <c r="Q47" s="388"/>
    </row>
    <row r="57" spans="1:17" s="299" customFormat="1" x14ac:dyDescent="0.2">
      <c r="A57" s="418"/>
      <c r="B57" s="418"/>
      <c r="C57" s="418"/>
      <c r="D57" s="418"/>
      <c r="E57" s="418"/>
      <c r="F57" s="418"/>
      <c r="G57" s="418"/>
      <c r="H57" s="418"/>
      <c r="I57" s="418"/>
      <c r="M57" s="390"/>
      <c r="N57" s="343"/>
      <c r="Q57" s="343"/>
    </row>
    <row r="58" spans="1:17" s="299" customFormat="1" x14ac:dyDescent="0.2">
      <c r="A58" s="418"/>
      <c r="B58" s="418"/>
      <c r="C58" s="418"/>
      <c r="D58" s="418"/>
      <c r="E58" s="418"/>
      <c r="F58" s="418"/>
      <c r="G58" s="418"/>
      <c r="H58" s="418"/>
      <c r="I58" s="418"/>
      <c r="M58" s="390"/>
      <c r="N58" s="343"/>
      <c r="Q58" s="343"/>
    </row>
    <row r="59" spans="1:17" s="299" customFormat="1" x14ac:dyDescent="0.2">
      <c r="A59" s="418"/>
      <c r="B59" s="418"/>
      <c r="C59" s="418"/>
      <c r="D59" s="418"/>
      <c r="E59" s="418"/>
      <c r="F59" s="418"/>
      <c r="G59" s="418"/>
      <c r="H59" s="418"/>
      <c r="I59" s="418"/>
      <c r="M59" s="390"/>
      <c r="N59" s="343"/>
      <c r="Q59" s="343"/>
    </row>
    <row r="60" spans="1:17" s="299" customFormat="1" x14ac:dyDescent="0.2">
      <c r="A60" s="418"/>
      <c r="B60" s="418"/>
      <c r="C60" s="418"/>
      <c r="D60" s="418"/>
      <c r="E60" s="418"/>
      <c r="F60" s="418"/>
      <c r="G60" s="418"/>
      <c r="H60" s="418"/>
      <c r="I60" s="418"/>
      <c r="M60" s="390"/>
      <c r="N60" s="343"/>
      <c r="Q60" s="343"/>
    </row>
  </sheetData>
  <mergeCells count="10">
    <mergeCell ref="A5:H5"/>
    <mergeCell ref="A7:H7"/>
    <mergeCell ref="A9:H9"/>
    <mergeCell ref="D47:G47"/>
    <mergeCell ref="D40:G40"/>
    <mergeCell ref="D41:G41"/>
    <mergeCell ref="E42:G42"/>
    <mergeCell ref="E43:G43"/>
    <mergeCell ref="D38:G38"/>
    <mergeCell ref="D39:G39"/>
  </mergeCells>
  <phoneticPr fontId="41" type="noConversion"/>
  <printOptions horizontalCentered="1"/>
  <pageMargins left="0.98425196850393704" right="0.78740157480314965" top="0.98425196850393704" bottom="0.98425196850393704" header="0.51181102362204722" footer="0.51181102362204722"/>
  <pageSetup paperSize="9" scale="88" orientation="portrait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1275-84BE-4E63-A252-93DC60D16E58}">
  <sheetPr codeName="Tabelle8">
    <pageSetUpPr fitToPage="1"/>
  </sheetPr>
  <dimension ref="A1:L141"/>
  <sheetViews>
    <sheetView workbookViewId="0"/>
  </sheetViews>
  <sheetFormatPr baseColWidth="10" defaultRowHeight="12.75" x14ac:dyDescent="0.2"/>
  <cols>
    <col min="1" max="1" width="2.28515625" style="231" customWidth="1"/>
    <col min="2" max="2" width="11.42578125" style="231"/>
    <col min="3" max="3" width="11.28515625" style="231" customWidth="1"/>
    <col min="4" max="4" width="14.5703125" style="231" customWidth="1"/>
    <col min="5" max="5" width="29.28515625" style="231" customWidth="1"/>
    <col min="6" max="8" width="6.5703125" style="438" customWidth="1"/>
    <col min="9" max="9" width="5" style="438" customWidth="1"/>
    <col min="10" max="10" width="13.140625" style="438" customWidth="1"/>
    <col min="11" max="11" width="11.28515625" style="438" customWidth="1"/>
    <col min="12" max="12" width="12" style="438" customWidth="1"/>
    <col min="13" max="16384" width="11.42578125" style="231"/>
  </cols>
  <sheetData>
    <row r="1" spans="1:11" ht="15.75" x14ac:dyDescent="0.25">
      <c r="A1" s="437" t="s">
        <v>681</v>
      </c>
      <c r="J1" s="438" t="s">
        <v>301</v>
      </c>
    </row>
    <row r="2" spans="1:11" ht="5.25" customHeight="1" x14ac:dyDescent="0.25">
      <c r="A2" s="437"/>
      <c r="B2" s="437"/>
    </row>
    <row r="3" spans="1:11" ht="15" x14ac:dyDescent="0.25">
      <c r="A3" s="213"/>
      <c r="B3" s="439" t="s">
        <v>682</v>
      </c>
      <c r="C3" s="213"/>
      <c r="D3" s="213"/>
      <c r="E3" s="213"/>
      <c r="F3" s="440"/>
      <c r="G3" s="440"/>
      <c r="H3" s="440"/>
      <c r="I3" s="440"/>
      <c r="J3" s="440"/>
      <c r="K3" s="440"/>
    </row>
    <row r="4" spans="1:11" ht="6" customHeight="1" thickBot="1" x14ac:dyDescent="0.3">
      <c r="A4" s="170"/>
      <c r="B4" s="441"/>
      <c r="C4" s="170"/>
      <c r="D4" s="170"/>
      <c r="E4" s="170"/>
      <c r="F4" s="442"/>
      <c r="G4" s="442"/>
      <c r="H4" s="442"/>
      <c r="I4" s="442"/>
      <c r="J4" s="442"/>
      <c r="K4" s="442"/>
    </row>
    <row r="5" spans="1:11" ht="6" customHeight="1" x14ac:dyDescent="0.2">
      <c r="A5" s="443"/>
      <c r="B5" s="444"/>
      <c r="C5" s="444"/>
      <c r="D5" s="444"/>
      <c r="E5" s="444"/>
      <c r="F5" s="445"/>
      <c r="G5" s="445"/>
      <c r="H5" s="445"/>
      <c r="I5" s="445"/>
      <c r="J5" s="445"/>
      <c r="K5" s="446"/>
    </row>
    <row r="6" spans="1:11" x14ac:dyDescent="0.2">
      <c r="A6" s="447"/>
      <c r="B6" s="213"/>
      <c r="C6" s="213"/>
      <c r="D6" s="213"/>
      <c r="E6" s="213"/>
      <c r="F6" s="440"/>
      <c r="G6" s="440"/>
      <c r="H6" s="440"/>
      <c r="I6" s="440"/>
      <c r="J6" s="440"/>
      <c r="K6" s="448"/>
    </row>
    <row r="7" spans="1:11" x14ac:dyDescent="0.2">
      <c r="A7" s="447"/>
      <c r="B7" s="213"/>
      <c r="C7" s="213"/>
      <c r="D7" s="213"/>
      <c r="E7" s="213"/>
      <c r="F7" s="440"/>
      <c r="G7" s="440"/>
      <c r="H7" s="440"/>
      <c r="I7" s="440"/>
      <c r="J7" s="440"/>
      <c r="K7" s="448"/>
    </row>
    <row r="8" spans="1:11" x14ac:dyDescent="0.2">
      <c r="A8" s="447"/>
      <c r="B8" s="213" t="s">
        <v>683</v>
      </c>
      <c r="C8" s="213"/>
      <c r="D8" s="213" t="s">
        <v>684</v>
      </c>
      <c r="E8" s="213"/>
      <c r="F8" s="440"/>
      <c r="G8" s="440"/>
      <c r="H8" s="440"/>
      <c r="I8" s="440"/>
      <c r="J8" s="440"/>
      <c r="K8" s="448"/>
    </row>
    <row r="9" spans="1:11" x14ac:dyDescent="0.2">
      <c r="A9" s="447"/>
      <c r="B9" s="213"/>
      <c r="C9" s="213"/>
      <c r="D9" s="213" t="s">
        <v>685</v>
      </c>
      <c r="E9" s="213"/>
      <c r="F9" s="440"/>
      <c r="G9" s="440"/>
      <c r="H9" s="440"/>
      <c r="I9" s="440"/>
      <c r="J9" s="440"/>
      <c r="K9" s="448"/>
    </row>
    <row r="10" spans="1:11" x14ac:dyDescent="0.2">
      <c r="A10" s="447"/>
      <c r="B10" s="213"/>
      <c r="C10" s="213"/>
      <c r="D10" s="213" t="s">
        <v>686</v>
      </c>
      <c r="E10" s="213"/>
      <c r="F10" s="440"/>
      <c r="G10" s="440"/>
      <c r="H10" s="440"/>
      <c r="I10" s="440"/>
      <c r="J10" s="440"/>
      <c r="K10" s="448"/>
    </row>
    <row r="11" spans="1:11" x14ac:dyDescent="0.2">
      <c r="A11" s="447"/>
      <c r="B11" s="213"/>
      <c r="C11" s="213"/>
      <c r="D11" s="213"/>
      <c r="E11" s="213"/>
      <c r="F11" s="440"/>
      <c r="G11" s="440"/>
      <c r="H11" s="440"/>
      <c r="I11" s="440"/>
      <c r="J11" s="440"/>
      <c r="K11" s="448"/>
    </row>
    <row r="12" spans="1:11" x14ac:dyDescent="0.2">
      <c r="A12" s="447"/>
      <c r="B12" s="213"/>
      <c r="C12" s="213"/>
      <c r="D12" s="213" t="s">
        <v>687</v>
      </c>
      <c r="E12" s="213"/>
      <c r="F12" s="440"/>
      <c r="G12" s="440"/>
      <c r="H12" s="440"/>
      <c r="I12" s="440"/>
      <c r="J12" s="440"/>
      <c r="K12" s="448"/>
    </row>
    <row r="13" spans="1:11" x14ac:dyDescent="0.2">
      <c r="A13" s="447"/>
      <c r="B13" s="213"/>
      <c r="C13" s="213"/>
      <c r="D13" s="213" t="s">
        <v>688</v>
      </c>
      <c r="E13" s="213"/>
      <c r="F13" s="440"/>
      <c r="G13" s="440"/>
      <c r="H13" s="440"/>
      <c r="I13" s="440"/>
      <c r="J13" s="440"/>
      <c r="K13" s="448"/>
    </row>
    <row r="14" spans="1:11" x14ac:dyDescent="0.2">
      <c r="A14" s="447"/>
      <c r="B14" s="213"/>
      <c r="C14" s="213"/>
      <c r="D14" s="213"/>
      <c r="E14" s="213"/>
      <c r="F14" s="440"/>
      <c r="G14" s="440"/>
      <c r="H14" s="440"/>
      <c r="I14" s="440"/>
      <c r="J14" s="440"/>
      <c r="K14" s="448"/>
    </row>
    <row r="15" spans="1:11" x14ac:dyDescent="0.2">
      <c r="A15" s="447"/>
      <c r="B15" s="213" t="s">
        <v>689</v>
      </c>
      <c r="C15" s="213"/>
      <c r="D15" s="213" t="s">
        <v>690</v>
      </c>
      <c r="E15" s="213"/>
      <c r="F15" s="440"/>
      <c r="G15" s="440"/>
      <c r="H15" s="440"/>
      <c r="I15" s="440"/>
      <c r="J15" s="440"/>
      <c r="K15" s="448"/>
    </row>
    <row r="16" spans="1:11" x14ac:dyDescent="0.2">
      <c r="A16" s="447"/>
      <c r="B16" s="213"/>
      <c r="C16" s="213"/>
      <c r="D16" s="213"/>
      <c r="E16" s="213"/>
      <c r="F16" s="440"/>
      <c r="G16" s="440"/>
      <c r="H16" s="440"/>
      <c r="I16" s="440"/>
      <c r="J16" s="440"/>
      <c r="K16" s="448"/>
    </row>
    <row r="17" spans="1:11" x14ac:dyDescent="0.2">
      <c r="A17" s="447"/>
      <c r="B17" s="213"/>
      <c r="C17" s="213"/>
      <c r="D17" s="213" t="s">
        <v>691</v>
      </c>
      <c r="E17" s="213"/>
      <c r="F17" s="440"/>
      <c r="G17" s="440"/>
      <c r="H17" s="440"/>
      <c r="I17" s="440"/>
      <c r="J17" s="440"/>
      <c r="K17" s="448"/>
    </row>
    <row r="18" spans="1:11" x14ac:dyDescent="0.2">
      <c r="A18" s="447"/>
      <c r="B18" s="213"/>
      <c r="C18" s="213"/>
      <c r="D18" s="213" t="s">
        <v>692</v>
      </c>
      <c r="E18" s="213"/>
      <c r="F18" s="440"/>
      <c r="G18" s="440"/>
      <c r="H18" s="440"/>
      <c r="I18" s="440"/>
      <c r="J18" s="440"/>
      <c r="K18" s="448"/>
    </row>
    <row r="19" spans="1:11" x14ac:dyDescent="0.2">
      <c r="A19" s="447"/>
      <c r="B19" s="213"/>
      <c r="C19" s="213"/>
      <c r="D19" s="213"/>
      <c r="E19" s="213"/>
      <c r="F19" s="438" t="s">
        <v>693</v>
      </c>
      <c r="H19" s="440"/>
      <c r="I19" s="440"/>
      <c r="J19" s="440"/>
      <c r="K19" s="448"/>
    </row>
    <row r="20" spans="1:11" x14ac:dyDescent="0.2">
      <c r="A20" s="447"/>
      <c r="B20" s="449"/>
      <c r="C20" s="213"/>
      <c r="D20" s="213"/>
      <c r="H20" s="449"/>
      <c r="I20" s="440"/>
      <c r="J20" s="440"/>
      <c r="K20" s="448"/>
    </row>
    <row r="21" spans="1:11" x14ac:dyDescent="0.2">
      <c r="A21" s="447"/>
      <c r="B21" s="449"/>
      <c r="C21" s="213"/>
      <c r="D21" s="213"/>
      <c r="E21" s="213"/>
      <c r="F21" s="440"/>
      <c r="G21" s="440"/>
      <c r="H21" s="440"/>
      <c r="I21" s="440"/>
      <c r="J21" s="440"/>
      <c r="K21" s="448"/>
    </row>
    <row r="22" spans="1:11" x14ac:dyDescent="0.2">
      <c r="A22" s="447"/>
      <c r="B22" s="213" t="s">
        <v>694</v>
      </c>
      <c r="C22" s="213"/>
      <c r="D22" s="213" t="s">
        <v>695</v>
      </c>
      <c r="E22" s="213"/>
      <c r="F22" s="440"/>
      <c r="G22" s="440"/>
      <c r="H22" s="440"/>
      <c r="I22" s="440"/>
      <c r="J22" s="440"/>
      <c r="K22" s="448"/>
    </row>
    <row r="23" spans="1:11" x14ac:dyDescent="0.2">
      <c r="A23" s="447"/>
      <c r="B23" s="449"/>
      <c r="C23" s="213"/>
      <c r="D23" s="213" t="s">
        <v>696</v>
      </c>
      <c r="E23" s="213"/>
      <c r="F23" s="440"/>
      <c r="G23" s="440"/>
      <c r="H23" s="440"/>
      <c r="I23" s="440"/>
      <c r="J23" s="440"/>
      <c r="K23" s="448"/>
    </row>
    <row r="24" spans="1:11" x14ac:dyDescent="0.2">
      <c r="A24" s="447"/>
      <c r="B24" s="449"/>
      <c r="C24" s="213"/>
      <c r="D24" s="213" t="s">
        <v>697</v>
      </c>
      <c r="E24" s="213"/>
      <c r="F24" s="440"/>
      <c r="G24" s="440"/>
      <c r="H24" s="440"/>
      <c r="I24" s="440"/>
      <c r="J24" s="440"/>
      <c r="K24" s="448"/>
    </row>
    <row r="25" spans="1:11" x14ac:dyDescent="0.2">
      <c r="A25" s="447"/>
      <c r="B25" s="449"/>
      <c r="C25" s="213"/>
      <c r="D25" s="213" t="s">
        <v>698</v>
      </c>
      <c r="E25" s="213"/>
      <c r="F25" s="440"/>
      <c r="G25" s="440"/>
      <c r="H25" s="440"/>
      <c r="I25" s="440"/>
      <c r="J25" s="440"/>
      <c r="K25" s="448"/>
    </row>
    <row r="26" spans="1:11" x14ac:dyDescent="0.2">
      <c r="A26" s="447"/>
      <c r="B26" s="449"/>
      <c r="C26" s="213"/>
      <c r="D26" s="213"/>
      <c r="E26" s="213"/>
      <c r="F26" s="440"/>
      <c r="G26" s="440"/>
      <c r="H26" s="440"/>
      <c r="I26" s="440"/>
      <c r="J26" s="440"/>
      <c r="K26" s="448"/>
    </row>
    <row r="27" spans="1:11" x14ac:dyDescent="0.2">
      <c r="A27" s="447"/>
      <c r="B27" s="449"/>
      <c r="C27" s="213"/>
      <c r="D27" s="213"/>
      <c r="E27" s="213"/>
      <c r="F27" s="440"/>
      <c r="G27" s="440"/>
      <c r="H27" s="440"/>
      <c r="I27" s="440"/>
      <c r="J27" s="440"/>
      <c r="K27" s="448"/>
    </row>
    <row r="28" spans="1:11" ht="13.5" thickBot="1" x14ac:dyDescent="0.25">
      <c r="A28" s="450"/>
      <c r="B28" s="451"/>
      <c r="C28" s="170"/>
      <c r="D28" s="170"/>
      <c r="E28" s="170"/>
      <c r="F28" s="442"/>
      <c r="G28" s="442"/>
      <c r="H28" s="442"/>
      <c r="I28" s="442"/>
      <c r="J28" s="442"/>
      <c r="K28" s="452"/>
    </row>
    <row r="29" spans="1:11" ht="13.5" customHeight="1" x14ac:dyDescent="0.25">
      <c r="A29" s="437"/>
    </row>
    <row r="30" spans="1:11" ht="15.75" x14ac:dyDescent="0.25">
      <c r="A30" s="437"/>
      <c r="B30" s="453" t="s">
        <v>699</v>
      </c>
    </row>
    <row r="31" spans="1:11" ht="6" customHeight="1" thickBot="1" x14ac:dyDescent="0.3">
      <c r="A31" s="437"/>
      <c r="B31" s="437"/>
    </row>
    <row r="32" spans="1:11" ht="13.5" thickBot="1" x14ac:dyDescent="0.25">
      <c r="A32" s="443"/>
      <c r="B32" s="444"/>
      <c r="C32" s="444"/>
      <c r="D32" s="444"/>
      <c r="E32" s="444"/>
      <c r="F32" s="445"/>
      <c r="G32" s="445"/>
      <c r="H32" s="445"/>
      <c r="I32" s="445"/>
      <c r="J32" s="445"/>
      <c r="K32" s="446"/>
    </row>
    <row r="33" spans="1:11" ht="13.5" thickBot="1" x14ac:dyDescent="0.25">
      <c r="A33" s="447"/>
      <c r="B33" s="196"/>
      <c r="C33" s="213"/>
      <c r="D33" s="213" t="s">
        <v>700</v>
      </c>
      <c r="E33" s="213"/>
      <c r="F33" s="440"/>
      <c r="G33" s="440"/>
      <c r="H33" s="440"/>
      <c r="I33" s="440"/>
      <c r="J33" s="440"/>
      <c r="K33" s="448"/>
    </row>
    <row r="34" spans="1:11" ht="13.5" thickBot="1" x14ac:dyDescent="0.25">
      <c r="A34" s="447"/>
      <c r="B34" s="213"/>
      <c r="C34" s="213"/>
      <c r="D34" s="213"/>
      <c r="E34" s="213"/>
      <c r="F34" s="440"/>
      <c r="G34" s="440"/>
      <c r="H34" s="440"/>
      <c r="I34" s="440"/>
      <c r="J34" s="440"/>
      <c r="K34" s="448"/>
    </row>
    <row r="35" spans="1:11" ht="13.15" customHeight="1" thickBot="1" x14ac:dyDescent="0.25">
      <c r="A35" s="447"/>
      <c r="B35" s="454"/>
      <c r="C35" s="213"/>
      <c r="D35" s="213" t="s">
        <v>701</v>
      </c>
      <c r="E35" s="213"/>
      <c r="F35" s="440"/>
      <c r="G35" s="440"/>
      <c r="H35" s="440"/>
      <c r="I35" s="440"/>
      <c r="J35" s="440"/>
      <c r="K35" s="448"/>
    </row>
    <row r="36" spans="1:11" x14ac:dyDescent="0.2">
      <c r="A36" s="447"/>
      <c r="B36" s="213"/>
      <c r="C36" s="213"/>
      <c r="D36" s="231" t="s">
        <v>702</v>
      </c>
      <c r="E36" s="213"/>
      <c r="F36" s="440"/>
      <c r="G36" s="440"/>
      <c r="H36" s="440"/>
      <c r="I36" s="440"/>
      <c r="J36" s="440"/>
      <c r="K36" s="448"/>
    </row>
    <row r="37" spans="1:11" x14ac:dyDescent="0.2">
      <c r="A37" s="447"/>
      <c r="B37" s="213"/>
      <c r="C37" s="213"/>
      <c r="D37" s="213" t="s">
        <v>703</v>
      </c>
      <c r="E37" s="213"/>
      <c r="F37" s="440"/>
      <c r="G37" s="440"/>
      <c r="H37" s="440"/>
      <c r="I37" s="440"/>
      <c r="J37" s="440"/>
      <c r="K37" s="448"/>
    </row>
    <row r="38" spans="1:11" ht="13.15" customHeight="1" x14ac:dyDescent="0.2">
      <c r="A38" s="447"/>
      <c r="B38" s="213"/>
      <c r="C38" s="213"/>
      <c r="D38" s="456" t="s">
        <v>704</v>
      </c>
      <c r="E38" s="213"/>
      <c r="F38" s="440"/>
      <c r="G38" s="440"/>
      <c r="H38" s="440"/>
      <c r="I38" s="440"/>
      <c r="J38" s="440"/>
      <c r="K38" s="448"/>
    </row>
    <row r="39" spans="1:11" ht="13.15" customHeight="1" x14ac:dyDescent="0.2">
      <c r="A39" s="447"/>
      <c r="B39" s="213"/>
      <c r="C39" s="213"/>
      <c r="D39" s="457"/>
      <c r="E39" s="213"/>
      <c r="F39" s="440"/>
      <c r="G39" s="440"/>
      <c r="H39" s="440"/>
      <c r="I39" s="440"/>
      <c r="J39" s="440"/>
      <c r="K39" s="448"/>
    </row>
    <row r="40" spans="1:11" x14ac:dyDescent="0.2">
      <c r="A40" s="447"/>
      <c r="B40" s="213"/>
      <c r="C40" s="213"/>
      <c r="D40" s="457"/>
      <c r="E40" s="213"/>
      <c r="F40" s="440"/>
      <c r="G40" s="440"/>
      <c r="H40" s="440"/>
      <c r="I40" s="440"/>
      <c r="J40" s="440"/>
      <c r="K40" s="448"/>
    </row>
    <row r="41" spans="1:11" ht="13.5" thickBot="1" x14ac:dyDescent="0.25">
      <c r="A41" s="447"/>
      <c r="B41" s="213"/>
      <c r="C41" s="213"/>
      <c r="D41" s="213"/>
      <c r="E41" s="213"/>
      <c r="F41" s="440"/>
      <c r="G41" s="440"/>
      <c r="H41" s="440"/>
      <c r="I41" s="440"/>
      <c r="J41" s="440"/>
      <c r="K41" s="448"/>
    </row>
    <row r="42" spans="1:11" ht="13.5" thickBot="1" x14ac:dyDescent="0.25">
      <c r="A42" s="447"/>
      <c r="B42" s="280" t="s">
        <v>375</v>
      </c>
      <c r="C42" s="213"/>
      <c r="D42" s="213" t="s">
        <v>705</v>
      </c>
      <c r="E42" s="213"/>
      <c r="F42" s="440"/>
      <c r="G42" s="440"/>
      <c r="H42" s="440"/>
      <c r="I42" s="440"/>
      <c r="J42" s="440"/>
      <c r="K42" s="448"/>
    </row>
    <row r="43" spans="1:11" x14ac:dyDescent="0.2">
      <c r="A43" s="447"/>
      <c r="B43" s="213"/>
      <c r="C43" s="213"/>
      <c r="D43" s="213" t="s">
        <v>706</v>
      </c>
      <c r="E43" s="213"/>
      <c r="F43" s="440"/>
      <c r="G43" s="440"/>
      <c r="H43" s="440"/>
      <c r="I43" s="440"/>
      <c r="J43" s="440"/>
      <c r="K43" s="448"/>
    </row>
    <row r="44" spans="1:11" x14ac:dyDescent="0.2">
      <c r="A44" s="447"/>
      <c r="B44" s="213"/>
      <c r="C44" s="213"/>
      <c r="D44" s="456"/>
      <c r="E44" s="213"/>
      <c r="F44" s="440"/>
      <c r="G44" s="440"/>
      <c r="H44" s="440"/>
      <c r="I44" s="440"/>
      <c r="J44" s="440"/>
      <c r="K44" s="448"/>
    </row>
    <row r="45" spans="1:11" x14ac:dyDescent="0.2">
      <c r="A45" s="447"/>
      <c r="B45" s="213"/>
      <c r="C45" s="213"/>
      <c r="D45" s="238" t="s">
        <v>707</v>
      </c>
      <c r="E45" s="213"/>
      <c r="F45" s="440"/>
      <c r="G45" s="440"/>
      <c r="H45" s="440"/>
      <c r="I45" s="440"/>
      <c r="J45" s="440"/>
      <c r="K45" s="448"/>
    </row>
    <row r="46" spans="1:11" x14ac:dyDescent="0.2">
      <c r="A46" s="447"/>
      <c r="B46" s="213"/>
      <c r="C46" s="213"/>
      <c r="D46" s="238"/>
      <c r="E46" s="213"/>
      <c r="F46" s="440"/>
      <c r="G46" s="440"/>
      <c r="H46" s="440"/>
      <c r="I46" s="440"/>
      <c r="J46" s="440"/>
      <c r="K46" s="448"/>
    </row>
    <row r="47" spans="1:11" ht="13.5" thickBot="1" x14ac:dyDescent="0.25">
      <c r="A47" s="447"/>
      <c r="B47" s="213"/>
      <c r="C47" s="213"/>
      <c r="D47" s="213"/>
      <c r="E47" s="213"/>
      <c r="F47" s="440"/>
      <c r="G47" s="440"/>
      <c r="H47" s="440"/>
      <c r="I47" s="440"/>
      <c r="J47" s="440"/>
      <c r="K47" s="448"/>
    </row>
    <row r="48" spans="1:11" ht="13.5" thickBot="1" x14ac:dyDescent="0.25">
      <c r="A48" s="447"/>
      <c r="B48" s="196"/>
      <c r="C48" s="213"/>
      <c r="D48" s="213" t="s">
        <v>708</v>
      </c>
      <c r="E48" s="213"/>
      <c r="F48" s="440"/>
      <c r="G48" s="440"/>
      <c r="H48" s="440"/>
      <c r="I48" s="440"/>
      <c r="J48" s="440"/>
      <c r="K48" s="448"/>
    </row>
    <row r="49" spans="1:11" x14ac:dyDescent="0.2">
      <c r="A49" s="447"/>
      <c r="B49" s="213"/>
      <c r="C49" s="213"/>
      <c r="D49" s="213" t="s">
        <v>709</v>
      </c>
      <c r="E49" s="213"/>
      <c r="F49" s="440"/>
      <c r="G49" s="440"/>
      <c r="H49" s="440"/>
      <c r="I49" s="440"/>
      <c r="J49" s="440"/>
      <c r="K49" s="448"/>
    </row>
    <row r="50" spans="1:11" x14ac:dyDescent="0.2">
      <c r="A50" s="447"/>
      <c r="B50" s="213"/>
      <c r="C50" s="213"/>
      <c r="D50" s="213" t="s">
        <v>710</v>
      </c>
      <c r="E50" s="213"/>
      <c r="F50" s="440"/>
      <c r="G50" s="440"/>
      <c r="H50" s="440"/>
      <c r="I50" s="440"/>
      <c r="J50" s="440"/>
      <c r="K50" s="448"/>
    </row>
    <row r="51" spans="1:11" x14ac:dyDescent="0.2">
      <c r="A51" s="447"/>
      <c r="B51" s="213"/>
      <c r="C51" s="213"/>
      <c r="D51" s="213"/>
      <c r="E51" s="213"/>
      <c r="F51" s="440"/>
      <c r="G51" s="440"/>
      <c r="H51" s="440"/>
      <c r="I51" s="440"/>
      <c r="J51" s="440"/>
      <c r="K51" s="448"/>
    </row>
    <row r="52" spans="1:11" x14ac:dyDescent="0.2">
      <c r="A52" s="447"/>
      <c r="B52" s="213"/>
      <c r="C52" s="213"/>
      <c r="D52" s="457" t="s">
        <v>711</v>
      </c>
      <c r="E52" s="213"/>
      <c r="F52" s="440"/>
      <c r="G52" s="440"/>
      <c r="H52" s="440"/>
      <c r="I52" s="440"/>
      <c r="J52" s="440"/>
      <c r="K52" s="448"/>
    </row>
    <row r="53" spans="1:11" x14ac:dyDescent="0.2">
      <c r="A53" s="447"/>
      <c r="B53" s="213"/>
      <c r="C53" s="213"/>
      <c r="D53" s="213"/>
      <c r="E53" s="213"/>
      <c r="F53" s="440"/>
      <c r="G53" s="440"/>
      <c r="H53" s="440"/>
      <c r="I53" s="440"/>
      <c r="J53" s="440"/>
      <c r="K53" s="448"/>
    </row>
    <row r="54" spans="1:11" x14ac:dyDescent="0.2">
      <c r="A54" s="447"/>
      <c r="B54" s="213"/>
      <c r="C54" s="213"/>
      <c r="D54" s="213"/>
      <c r="E54" s="213"/>
      <c r="F54" s="440"/>
      <c r="G54" s="440"/>
      <c r="H54" s="440"/>
      <c r="I54" s="440"/>
      <c r="J54" s="440"/>
      <c r="K54" s="448"/>
    </row>
    <row r="55" spans="1:11" x14ac:dyDescent="0.2">
      <c r="A55" s="447"/>
      <c r="B55" s="449"/>
      <c r="C55" s="213"/>
      <c r="D55" s="457" t="s">
        <v>712</v>
      </c>
      <c r="E55" s="457"/>
      <c r="F55" s="458"/>
      <c r="G55" s="458"/>
      <c r="H55" s="458"/>
      <c r="I55" s="458"/>
      <c r="J55" s="458"/>
      <c r="K55" s="459"/>
    </row>
    <row r="56" spans="1:11" x14ac:dyDescent="0.2">
      <c r="A56" s="447"/>
      <c r="B56" s="213"/>
      <c r="C56" s="213"/>
      <c r="D56" s="457"/>
      <c r="E56" s="457"/>
      <c r="F56" s="458"/>
      <c r="G56" s="458"/>
      <c r="H56" s="458"/>
      <c r="I56" s="458"/>
      <c r="J56" s="458"/>
      <c r="K56" s="459"/>
    </row>
    <row r="57" spans="1:11" x14ac:dyDescent="0.2">
      <c r="A57" s="447"/>
      <c r="B57" s="213"/>
      <c r="C57" s="213"/>
      <c r="D57" s="213" t="s">
        <v>713</v>
      </c>
      <c r="E57" s="213"/>
      <c r="F57" s="440"/>
      <c r="G57" s="440"/>
      <c r="H57" s="440"/>
      <c r="I57" s="440"/>
      <c r="J57" s="440"/>
      <c r="K57" s="448"/>
    </row>
    <row r="58" spans="1:11" x14ac:dyDescent="0.2">
      <c r="A58" s="447"/>
      <c r="B58" s="213"/>
      <c r="C58" s="213"/>
      <c r="D58" s="213"/>
      <c r="E58" s="213"/>
      <c r="F58" s="440"/>
      <c r="G58" s="440"/>
      <c r="H58" s="440"/>
      <c r="I58" s="440"/>
      <c r="J58" s="440"/>
      <c r="K58" s="448"/>
    </row>
    <row r="59" spans="1:11" ht="13.5" thickBot="1" x14ac:dyDescent="0.25">
      <c r="A59" s="450"/>
      <c r="B59" s="170"/>
      <c r="C59" s="170"/>
      <c r="D59" s="170"/>
      <c r="E59" s="170"/>
      <c r="F59" s="442"/>
      <c r="G59" s="442"/>
      <c r="H59" s="442"/>
      <c r="I59" s="442"/>
      <c r="J59" s="442"/>
      <c r="K59" s="452"/>
    </row>
    <row r="60" spans="1:11" ht="15.75" x14ac:dyDescent="0.25">
      <c r="A60" s="437"/>
      <c r="B60" s="437"/>
    </row>
    <row r="61" spans="1:11" ht="15.75" x14ac:dyDescent="0.25">
      <c r="A61" s="437"/>
      <c r="B61" s="437" t="s">
        <v>714</v>
      </c>
    </row>
    <row r="62" spans="1:11" ht="6" customHeight="1" thickBot="1" x14ac:dyDescent="0.3">
      <c r="B62" s="437"/>
    </row>
    <row r="63" spans="1:11" ht="6" customHeight="1" x14ac:dyDescent="0.25">
      <c r="A63" s="443"/>
      <c r="B63" s="460"/>
      <c r="C63" s="444"/>
      <c r="D63" s="444"/>
      <c r="E63" s="444"/>
      <c r="F63" s="445"/>
      <c r="G63" s="445"/>
      <c r="H63" s="445"/>
      <c r="I63" s="445"/>
      <c r="J63" s="445"/>
      <c r="K63" s="446"/>
    </row>
    <row r="64" spans="1:11" x14ac:dyDescent="0.2">
      <c r="A64" s="447"/>
      <c r="B64" s="213" t="s">
        <v>715</v>
      </c>
      <c r="C64" s="213"/>
      <c r="D64" s="213"/>
      <c r="E64" s="213"/>
      <c r="F64" s="440"/>
      <c r="G64" s="440"/>
      <c r="H64" s="440"/>
      <c r="I64" s="440"/>
      <c r="J64" s="440"/>
      <c r="K64" s="448"/>
    </row>
    <row r="65" spans="1:11" x14ac:dyDescent="0.2">
      <c r="A65" s="447"/>
      <c r="K65" s="448"/>
    </row>
    <row r="66" spans="1:11" x14ac:dyDescent="0.2">
      <c r="A66" s="447"/>
      <c r="B66" s="238" t="s">
        <v>473</v>
      </c>
      <c r="C66" s="238" t="s">
        <v>673</v>
      </c>
      <c r="D66" s="213"/>
      <c r="E66" s="213"/>
      <c r="F66" s="440"/>
      <c r="G66" s="440"/>
      <c r="H66" s="440"/>
      <c r="I66" s="440"/>
      <c r="J66" s="440"/>
      <c r="K66" s="448"/>
    </row>
    <row r="67" spans="1:11" x14ac:dyDescent="0.2">
      <c r="A67" s="447"/>
      <c r="B67" s="213"/>
      <c r="C67" s="213" t="s">
        <v>716</v>
      </c>
      <c r="D67" s="213"/>
      <c r="E67" s="213"/>
      <c r="F67" s="440"/>
      <c r="G67" s="440"/>
      <c r="H67" s="440"/>
      <c r="I67" s="440"/>
      <c r="J67" s="440"/>
      <c r="K67" s="448"/>
    </row>
    <row r="68" spans="1:11" x14ac:dyDescent="0.2">
      <c r="A68" s="447"/>
      <c r="B68" s="213"/>
      <c r="C68" s="213" t="s">
        <v>717</v>
      </c>
      <c r="D68" s="213"/>
      <c r="E68" s="213"/>
      <c r="F68" s="440"/>
      <c r="G68" s="440"/>
      <c r="H68" s="440"/>
      <c r="I68" s="440"/>
      <c r="J68" s="440"/>
      <c r="K68" s="448"/>
    </row>
    <row r="69" spans="1:11" x14ac:dyDescent="0.2">
      <c r="A69" s="447"/>
      <c r="H69" s="497" t="s">
        <v>718</v>
      </c>
      <c r="K69" s="448"/>
    </row>
    <row r="70" spans="1:11" x14ac:dyDescent="0.2">
      <c r="A70" s="447"/>
      <c r="B70" s="238" t="s">
        <v>474</v>
      </c>
      <c r="C70" s="238" t="s">
        <v>674</v>
      </c>
      <c r="D70" s="213"/>
      <c r="E70" s="213"/>
      <c r="F70" s="440"/>
      <c r="G70" s="440"/>
      <c r="H70" s="440"/>
      <c r="I70" s="440"/>
      <c r="J70" s="440"/>
      <c r="K70" s="448"/>
    </row>
    <row r="71" spans="1:11" x14ac:dyDescent="0.2">
      <c r="A71" s="447"/>
      <c r="B71" s="213"/>
      <c r="C71" s="213" t="s">
        <v>475</v>
      </c>
      <c r="D71" s="213"/>
      <c r="E71" s="213"/>
      <c r="F71" s="440"/>
      <c r="G71" s="440"/>
      <c r="H71" s="440"/>
      <c r="I71" s="440"/>
      <c r="J71" s="440"/>
      <c r="K71" s="448"/>
    </row>
    <row r="72" spans="1:11" x14ac:dyDescent="0.2">
      <c r="A72" s="447"/>
      <c r="B72" s="213"/>
      <c r="C72" s="213" t="s">
        <v>476</v>
      </c>
      <c r="D72" s="213"/>
      <c r="E72" s="213"/>
      <c r="F72" s="440"/>
      <c r="G72" s="440"/>
      <c r="H72" s="440"/>
      <c r="I72" s="440"/>
      <c r="J72" s="440"/>
      <c r="K72" s="448"/>
    </row>
    <row r="73" spans="1:11" x14ac:dyDescent="0.2">
      <c r="A73" s="447"/>
      <c r="K73" s="448"/>
    </row>
    <row r="74" spans="1:11" x14ac:dyDescent="0.2">
      <c r="A74" s="447"/>
      <c r="B74" s="238" t="s">
        <v>477</v>
      </c>
      <c r="C74" s="238" t="s">
        <v>675</v>
      </c>
      <c r="D74" s="213"/>
      <c r="E74" s="213"/>
      <c r="F74" s="440"/>
      <c r="G74" s="440"/>
      <c r="H74" s="440"/>
      <c r="I74" s="440"/>
      <c r="J74" s="440"/>
      <c r="K74" s="448"/>
    </row>
    <row r="75" spans="1:11" x14ac:dyDescent="0.2">
      <c r="A75" s="447"/>
      <c r="B75" s="213"/>
      <c r="C75" s="213" t="s">
        <v>719</v>
      </c>
      <c r="D75" s="213"/>
      <c r="E75" s="213"/>
      <c r="F75" s="440"/>
      <c r="G75" s="440"/>
      <c r="H75" s="440"/>
      <c r="I75" s="440"/>
      <c r="J75" s="440"/>
      <c r="K75" s="448"/>
    </row>
    <row r="76" spans="1:11" x14ac:dyDescent="0.2">
      <c r="A76" s="447"/>
      <c r="B76" s="213"/>
      <c r="C76" s="213" t="s">
        <v>720</v>
      </c>
      <c r="D76" s="213"/>
      <c r="E76" s="213"/>
      <c r="F76" s="440"/>
      <c r="G76" s="440"/>
      <c r="H76" s="440"/>
      <c r="I76" s="440"/>
      <c r="J76" s="440"/>
      <c r="K76" s="448"/>
    </row>
    <row r="77" spans="1:11" x14ac:dyDescent="0.2">
      <c r="A77" s="447"/>
      <c r="B77" s="213"/>
      <c r="C77" s="213" t="s">
        <v>721</v>
      </c>
      <c r="D77" s="213"/>
      <c r="E77" s="213"/>
      <c r="F77" s="440"/>
      <c r="G77" s="440"/>
      <c r="H77" s="440"/>
      <c r="I77" s="440"/>
      <c r="J77" s="440"/>
      <c r="K77" s="448"/>
    </row>
    <row r="78" spans="1:11" x14ac:dyDescent="0.2">
      <c r="A78" s="447"/>
      <c r="B78" s="213"/>
      <c r="C78" s="213"/>
      <c r="D78" s="213"/>
      <c r="E78" s="213"/>
      <c r="F78" s="440"/>
      <c r="G78" s="440"/>
      <c r="H78" s="440"/>
      <c r="I78" s="440"/>
      <c r="J78" s="440"/>
      <c r="K78" s="448"/>
    </row>
    <row r="79" spans="1:11" x14ac:dyDescent="0.2">
      <c r="A79" s="447"/>
      <c r="B79" s="238" t="s">
        <v>478</v>
      </c>
      <c r="C79" s="238" t="s">
        <v>660</v>
      </c>
      <c r="D79" s="213"/>
      <c r="E79" s="213"/>
      <c r="F79" s="440"/>
      <c r="G79" s="440"/>
      <c r="H79" s="440"/>
      <c r="I79" s="440"/>
      <c r="J79" s="440"/>
      <c r="K79" s="448"/>
    </row>
    <row r="80" spans="1:11" x14ac:dyDescent="0.2">
      <c r="A80" s="447"/>
      <c r="B80" s="238"/>
      <c r="C80" s="457" t="s">
        <v>722</v>
      </c>
      <c r="D80" s="213"/>
      <c r="E80" s="213"/>
      <c r="F80" s="440"/>
      <c r="G80" s="440"/>
      <c r="H80" s="440"/>
      <c r="I80" s="440"/>
      <c r="J80" s="440"/>
      <c r="K80" s="448"/>
    </row>
    <row r="81" spans="1:12" x14ac:dyDescent="0.2">
      <c r="A81" s="447"/>
      <c r="B81" s="213"/>
      <c r="C81" s="213" t="s">
        <v>723</v>
      </c>
      <c r="D81" s="213"/>
      <c r="E81" s="213"/>
      <c r="F81" s="440"/>
      <c r="G81" s="440"/>
      <c r="H81" s="440"/>
      <c r="I81" s="440"/>
      <c r="J81" s="440"/>
      <c r="K81" s="448"/>
    </row>
    <row r="82" spans="1:12" x14ac:dyDescent="0.2">
      <c r="A82" s="447"/>
      <c r="K82" s="448"/>
    </row>
    <row r="83" spans="1:12" x14ac:dyDescent="0.2">
      <c r="A83" s="447"/>
      <c r="B83" s="238" t="s">
        <v>479</v>
      </c>
      <c r="C83" s="238" t="s">
        <v>480</v>
      </c>
      <c r="D83" s="213"/>
      <c r="E83" s="213"/>
      <c r="F83" s="440"/>
      <c r="G83" s="440"/>
      <c r="H83" s="440"/>
      <c r="I83" s="440"/>
      <c r="J83" s="440"/>
      <c r="K83" s="448"/>
    </row>
    <row r="84" spans="1:12" x14ac:dyDescent="0.2">
      <c r="A84" s="447"/>
      <c r="B84" s="213"/>
      <c r="C84" s="213" t="s">
        <v>724</v>
      </c>
      <c r="D84" s="213"/>
      <c r="E84" s="213"/>
      <c r="F84" s="440"/>
      <c r="G84" s="440"/>
      <c r="H84" s="440"/>
      <c r="I84" s="440"/>
      <c r="J84" s="440"/>
      <c r="K84" s="448"/>
    </row>
    <row r="85" spans="1:12" x14ac:dyDescent="0.2">
      <c r="A85" s="447"/>
      <c r="B85" s="213"/>
      <c r="C85" s="213" t="s">
        <v>725</v>
      </c>
      <c r="D85" s="213"/>
      <c r="E85" s="213"/>
      <c r="F85" s="440"/>
      <c r="G85" s="440"/>
      <c r="H85" s="440"/>
      <c r="I85" s="440"/>
      <c r="J85" s="440"/>
      <c r="K85" s="448"/>
    </row>
    <row r="86" spans="1:12" x14ac:dyDescent="0.2">
      <c r="A86" s="447"/>
      <c r="B86" s="213"/>
      <c r="C86" s="213"/>
      <c r="D86" s="213"/>
      <c r="E86" s="213"/>
      <c r="F86" s="440"/>
      <c r="G86" s="440"/>
      <c r="H86" s="440"/>
      <c r="I86" s="440"/>
      <c r="J86" s="440"/>
      <c r="K86" s="448"/>
    </row>
    <row r="87" spans="1:12" x14ac:dyDescent="0.2">
      <c r="A87" s="447"/>
      <c r="B87" s="238" t="s">
        <v>219</v>
      </c>
      <c r="C87" s="238" t="s">
        <v>837</v>
      </c>
      <c r="D87" s="213"/>
      <c r="E87" s="213"/>
      <c r="F87" s="440"/>
      <c r="G87" s="440"/>
      <c r="H87" s="440"/>
      <c r="I87" s="440"/>
      <c r="J87" s="440"/>
      <c r="K87" s="448"/>
    </row>
    <row r="88" spans="1:12" x14ac:dyDescent="0.2">
      <c r="A88" s="447"/>
      <c r="B88" s="213"/>
      <c r="C88" s="231" t="s">
        <v>726</v>
      </c>
      <c r="D88" s="213"/>
      <c r="E88" s="213"/>
      <c r="F88" s="440"/>
      <c r="G88" s="440"/>
      <c r="H88" s="440"/>
      <c r="I88" s="440"/>
      <c r="J88" s="440"/>
      <c r="K88" s="448"/>
    </row>
    <row r="89" spans="1:12" x14ac:dyDescent="0.2">
      <c r="A89" s="447"/>
      <c r="B89" s="213"/>
      <c r="C89" s="231" t="s">
        <v>727</v>
      </c>
      <c r="D89" s="213"/>
      <c r="E89" s="213"/>
      <c r="F89" s="440"/>
      <c r="G89" s="440"/>
      <c r="H89" s="440"/>
      <c r="I89" s="440"/>
      <c r="J89" s="440"/>
      <c r="K89" s="448"/>
    </row>
    <row r="90" spans="1:12" x14ac:dyDescent="0.2">
      <c r="A90" s="447"/>
      <c r="B90" s="213"/>
      <c r="C90" s="213"/>
      <c r="D90" s="213"/>
      <c r="E90" s="213"/>
      <c r="F90" s="440"/>
      <c r="G90" s="440"/>
      <c r="H90" s="440"/>
      <c r="I90" s="440"/>
      <c r="J90" s="440"/>
      <c r="K90" s="448"/>
    </row>
    <row r="91" spans="1:12" x14ac:dyDescent="0.2">
      <c r="A91" s="447"/>
      <c r="H91" s="440"/>
      <c r="I91" s="440"/>
      <c r="J91" s="440"/>
      <c r="K91" s="448"/>
    </row>
    <row r="92" spans="1:12" x14ac:dyDescent="0.2">
      <c r="A92" s="447"/>
      <c r="H92" s="440"/>
      <c r="I92" s="440"/>
      <c r="J92" s="440"/>
      <c r="K92" s="448"/>
    </row>
    <row r="93" spans="1:12" x14ac:dyDescent="0.2">
      <c r="A93" s="447"/>
      <c r="H93" s="440"/>
      <c r="I93" s="440"/>
      <c r="J93" s="440"/>
      <c r="K93" s="448"/>
    </row>
    <row r="94" spans="1:12" x14ac:dyDescent="0.2">
      <c r="A94" s="447"/>
      <c r="B94" s="213"/>
      <c r="C94" s="213"/>
      <c r="D94" s="213"/>
      <c r="E94" s="213"/>
      <c r="F94" s="440"/>
      <c r="G94" s="440"/>
      <c r="H94" s="440"/>
      <c r="I94" s="440"/>
      <c r="J94" s="440"/>
      <c r="K94" s="448"/>
    </row>
    <row r="95" spans="1:12" ht="6.6" customHeight="1" thickBot="1" x14ac:dyDescent="0.25">
      <c r="A95" s="450"/>
      <c r="B95" s="170"/>
      <c r="C95" s="170"/>
      <c r="D95" s="170"/>
      <c r="E95" s="170"/>
      <c r="F95" s="442"/>
      <c r="G95" s="442"/>
      <c r="H95" s="442"/>
      <c r="I95" s="442"/>
      <c r="J95" s="442"/>
      <c r="K95" s="452"/>
    </row>
    <row r="96" spans="1:12" s="455" customFormat="1" x14ac:dyDescent="0.2">
      <c r="A96" s="231"/>
      <c r="B96" s="231"/>
      <c r="C96" s="231"/>
      <c r="D96" s="231"/>
      <c r="E96" s="231"/>
      <c r="F96" s="438"/>
      <c r="G96" s="438"/>
      <c r="H96" s="438"/>
      <c r="I96" s="438"/>
      <c r="J96" s="438"/>
      <c r="K96" s="438"/>
      <c r="L96" s="461"/>
    </row>
    <row r="97" spans="1:12" s="455" customFormat="1" x14ac:dyDescent="0.2">
      <c r="A97" s="231"/>
      <c r="B97" s="231"/>
      <c r="C97" s="231"/>
      <c r="D97" s="231"/>
      <c r="E97" s="231"/>
      <c r="F97" s="438"/>
      <c r="G97" s="438"/>
      <c r="H97" s="438"/>
      <c r="I97" s="438"/>
      <c r="J97" s="438"/>
      <c r="K97" s="438"/>
      <c r="L97" s="461"/>
    </row>
    <row r="98" spans="1:12" s="455" customFormat="1" ht="15.75" x14ac:dyDescent="0.25">
      <c r="A98" s="437" t="s">
        <v>481</v>
      </c>
      <c r="B98" s="231"/>
      <c r="C98" s="231"/>
      <c r="D98" s="231"/>
      <c r="E98" s="231"/>
      <c r="F98" s="438"/>
      <c r="G98" s="438"/>
      <c r="H98" s="438"/>
      <c r="I98" s="438"/>
      <c r="J98" s="438"/>
      <c r="K98" s="438"/>
      <c r="L98" s="461"/>
    </row>
    <row r="99" spans="1:12" s="455" customFormat="1" x14ac:dyDescent="0.2">
      <c r="A99" s="231"/>
      <c r="B99" s="231"/>
      <c r="C99" s="231"/>
      <c r="D99" s="231"/>
      <c r="E99" s="231"/>
      <c r="F99" s="438"/>
      <c r="G99" s="438"/>
      <c r="H99" s="438"/>
      <c r="I99" s="438"/>
      <c r="J99" s="438"/>
      <c r="K99" s="438"/>
      <c r="L99" s="461"/>
    </row>
    <row r="100" spans="1:12" s="455" customFormat="1" ht="15.75" x14ac:dyDescent="0.25">
      <c r="B100" s="437"/>
      <c r="F100" s="461"/>
      <c r="G100" s="461"/>
      <c r="H100" s="462"/>
      <c r="I100" s="461"/>
      <c r="J100" s="461"/>
      <c r="K100" s="461"/>
      <c r="L100" s="461"/>
    </row>
    <row r="101" spans="1:12" s="455" customFormat="1" x14ac:dyDescent="0.2">
      <c r="F101" s="461"/>
      <c r="G101" s="461"/>
      <c r="H101" s="461"/>
      <c r="I101" s="461"/>
      <c r="J101" s="461"/>
      <c r="K101" s="461"/>
      <c r="L101" s="461"/>
    </row>
    <row r="102" spans="1:12" s="455" customFormat="1" ht="13.5" thickBot="1" x14ac:dyDescent="0.25">
      <c r="F102" s="461"/>
      <c r="G102" s="461"/>
      <c r="H102" s="461"/>
      <c r="I102" s="461"/>
      <c r="J102" s="461"/>
      <c r="K102" s="461"/>
      <c r="L102" s="461"/>
    </row>
    <row r="103" spans="1:12" s="455" customFormat="1" x14ac:dyDescent="0.2">
      <c r="B103" s="463"/>
      <c r="C103" s="464"/>
      <c r="D103" s="464"/>
      <c r="E103" s="465"/>
      <c r="F103" s="721"/>
      <c r="G103" s="467"/>
      <c r="H103" s="467"/>
      <c r="I103" s="467"/>
      <c r="J103" s="467"/>
      <c r="K103" s="467"/>
      <c r="L103" s="467"/>
    </row>
    <row r="104" spans="1:12" s="455" customFormat="1" x14ac:dyDescent="0.2">
      <c r="B104" s="466" t="s">
        <v>728</v>
      </c>
      <c r="C104" s="467" t="s">
        <v>648</v>
      </c>
      <c r="D104" s="467" t="s">
        <v>731</v>
      </c>
      <c r="E104" s="468" t="s">
        <v>459</v>
      </c>
      <c r="F104" s="722"/>
      <c r="G104" s="469"/>
      <c r="H104" s="467"/>
      <c r="I104" s="467"/>
      <c r="J104" s="633"/>
      <c r="K104" s="469"/>
      <c r="L104" s="717"/>
    </row>
    <row r="105" spans="1:12" s="455" customFormat="1" x14ac:dyDescent="0.2">
      <c r="B105" s="466" t="s">
        <v>729</v>
      </c>
      <c r="C105" s="467"/>
      <c r="D105" s="467"/>
      <c r="E105" s="468"/>
      <c r="F105" s="722"/>
      <c r="G105" s="467"/>
      <c r="H105" s="467"/>
      <c r="I105" s="467"/>
      <c r="J105" s="717"/>
      <c r="K105" s="633"/>
      <c r="L105" s="717"/>
    </row>
    <row r="106" spans="1:12" s="455" customFormat="1" x14ac:dyDescent="0.2">
      <c r="B106" s="466" t="s">
        <v>730</v>
      </c>
      <c r="C106" s="467"/>
      <c r="D106" s="467"/>
      <c r="E106" s="468"/>
      <c r="F106" s="470"/>
      <c r="G106" s="467"/>
      <c r="H106" s="467"/>
      <c r="I106" s="467"/>
      <c r="J106" s="467"/>
      <c r="K106" s="467"/>
      <c r="L106" s="467"/>
    </row>
    <row r="107" spans="1:12" s="455" customFormat="1" ht="13.5" thickBot="1" x14ac:dyDescent="0.25">
      <c r="B107" s="471"/>
      <c r="C107" s="472"/>
      <c r="D107" s="472"/>
      <c r="E107" s="473"/>
      <c r="F107" s="474"/>
      <c r="G107" s="467"/>
      <c r="H107" s="467"/>
      <c r="I107" s="467"/>
      <c r="J107" s="467"/>
      <c r="K107" s="467"/>
      <c r="L107" s="467"/>
    </row>
    <row r="108" spans="1:12" s="455" customFormat="1" ht="43.5" customHeight="1" x14ac:dyDescent="0.2">
      <c r="B108" s="475">
        <v>0</v>
      </c>
      <c r="C108" s="476" t="s">
        <v>732</v>
      </c>
      <c r="D108" s="476" t="s">
        <v>291</v>
      </c>
      <c r="E108" s="477" t="s">
        <v>738</v>
      </c>
      <c r="F108" s="723"/>
      <c r="G108" s="718"/>
      <c r="H108" s="718"/>
      <c r="I108" s="719"/>
      <c r="J108" s="719"/>
      <c r="K108" s="719"/>
      <c r="L108" s="719"/>
    </row>
    <row r="109" spans="1:12" s="455" customFormat="1" ht="43.5" customHeight="1" x14ac:dyDescent="0.2">
      <c r="B109" s="478">
        <v>1</v>
      </c>
      <c r="C109" s="479" t="s">
        <v>733</v>
      </c>
      <c r="D109" s="480" t="s">
        <v>482</v>
      </c>
      <c r="E109" s="481" t="s">
        <v>739</v>
      </c>
      <c r="F109" s="724"/>
      <c r="G109" s="718"/>
      <c r="H109" s="718"/>
      <c r="I109" s="719"/>
      <c r="J109" s="719"/>
      <c r="K109" s="719"/>
      <c r="L109" s="719"/>
    </row>
    <row r="110" spans="1:12" s="455" customFormat="1" ht="43.5" customHeight="1" x14ac:dyDescent="0.2">
      <c r="B110" s="478">
        <v>2</v>
      </c>
      <c r="C110" s="479" t="s">
        <v>734</v>
      </c>
      <c r="D110" s="480" t="s">
        <v>483</v>
      </c>
      <c r="E110" s="481" t="s">
        <v>740</v>
      </c>
      <c r="F110" s="724"/>
      <c r="G110" s="718"/>
      <c r="H110" s="718"/>
      <c r="I110" s="719"/>
      <c r="J110" s="719"/>
      <c r="K110" s="719"/>
      <c r="L110" s="719"/>
    </row>
    <row r="111" spans="1:12" s="455" customFormat="1" ht="43.5" customHeight="1" thickBot="1" x14ac:dyDescent="0.25">
      <c r="B111" s="482">
        <v>3</v>
      </c>
      <c r="C111" s="483" t="s">
        <v>735</v>
      </c>
      <c r="D111" s="484" t="s">
        <v>484</v>
      </c>
      <c r="E111" s="485" t="s">
        <v>741</v>
      </c>
      <c r="F111" s="725"/>
      <c r="G111" s="718"/>
      <c r="H111" s="718"/>
      <c r="I111" s="719"/>
      <c r="J111" s="719"/>
      <c r="K111" s="719"/>
      <c r="L111" s="719"/>
    </row>
    <row r="112" spans="1:12" s="455" customFormat="1" ht="42.75" customHeight="1" x14ac:dyDescent="0.2">
      <c r="B112" s="486">
        <v>4</v>
      </c>
      <c r="C112" s="487" t="s">
        <v>736</v>
      </c>
      <c r="D112" s="488" t="s">
        <v>485</v>
      </c>
      <c r="E112" s="489" t="s">
        <v>742</v>
      </c>
      <c r="F112" s="490"/>
      <c r="G112" s="720"/>
      <c r="H112" s="720"/>
      <c r="I112" s="720"/>
      <c r="J112" s="720"/>
      <c r="K112" s="720"/>
      <c r="L112" s="720"/>
    </row>
    <row r="113" spans="1:12" s="455" customFormat="1" ht="57" customHeight="1" thickBot="1" x14ac:dyDescent="0.25">
      <c r="B113" s="491">
        <v>5</v>
      </c>
      <c r="C113" s="492" t="s">
        <v>737</v>
      </c>
      <c r="D113" s="493" t="s">
        <v>486</v>
      </c>
      <c r="E113" s="494" t="s">
        <v>743</v>
      </c>
      <c r="F113" s="495"/>
      <c r="G113" s="720"/>
      <c r="H113" s="720"/>
      <c r="I113" s="720"/>
      <c r="J113" s="720"/>
      <c r="K113" s="720"/>
      <c r="L113" s="720"/>
    </row>
    <row r="114" spans="1:12" ht="6" customHeight="1" x14ac:dyDescent="0.2"/>
    <row r="115" spans="1:12" ht="14.25" x14ac:dyDescent="0.2">
      <c r="B115" s="496" t="s">
        <v>817</v>
      </c>
    </row>
    <row r="116" spans="1:12" ht="6" customHeight="1" x14ac:dyDescent="0.2"/>
    <row r="117" spans="1:12" x14ac:dyDescent="0.2">
      <c r="B117" s="497" t="s">
        <v>386</v>
      </c>
    </row>
    <row r="118" spans="1:12" x14ac:dyDescent="0.2">
      <c r="B118" s="497" t="s">
        <v>744</v>
      </c>
    </row>
    <row r="119" spans="1:12" x14ac:dyDescent="0.2">
      <c r="A119" s="213"/>
      <c r="B119" s="231" t="s">
        <v>745</v>
      </c>
      <c r="C119" s="213"/>
      <c r="D119" s="213"/>
      <c r="E119" s="213"/>
      <c r="F119" s="440"/>
      <c r="G119" s="440"/>
      <c r="H119" s="498"/>
      <c r="I119" s="440"/>
      <c r="J119" s="440"/>
      <c r="K119" s="440"/>
      <c r="L119" s="440"/>
    </row>
    <row r="120" spans="1:12" x14ac:dyDescent="0.2">
      <c r="A120" s="213"/>
      <c r="C120" s="213"/>
      <c r="D120" s="213"/>
      <c r="E120" s="213"/>
      <c r="F120" s="440"/>
      <c r="G120" s="440"/>
      <c r="H120" s="498"/>
      <c r="I120" s="440"/>
      <c r="J120" s="440"/>
      <c r="K120" s="440"/>
      <c r="L120" s="440"/>
    </row>
    <row r="121" spans="1:12" x14ac:dyDescent="0.2">
      <c r="A121" s="213"/>
      <c r="C121" s="213"/>
      <c r="D121" s="213"/>
      <c r="E121" s="213"/>
      <c r="F121" s="440"/>
      <c r="G121" s="440"/>
      <c r="H121" s="498"/>
      <c r="I121" s="440"/>
      <c r="J121" s="440"/>
      <c r="K121" s="440"/>
      <c r="L121" s="440"/>
    </row>
    <row r="122" spans="1:12" x14ac:dyDescent="0.2">
      <c r="A122" s="213"/>
      <c r="C122" s="213"/>
      <c r="D122" s="213"/>
      <c r="E122" s="213"/>
      <c r="F122" s="440"/>
      <c r="G122" s="440"/>
      <c r="H122" s="498"/>
      <c r="I122" s="440"/>
      <c r="J122" s="440"/>
      <c r="K122" s="440"/>
      <c r="L122" s="440"/>
    </row>
    <row r="123" spans="1:12" ht="6.75" customHeight="1" x14ac:dyDescent="0.2">
      <c r="A123" s="213"/>
      <c r="C123" s="213"/>
      <c r="D123" s="213"/>
      <c r="E123" s="213"/>
      <c r="F123" s="440"/>
      <c r="G123" s="440"/>
      <c r="H123" s="440"/>
      <c r="I123" s="440"/>
      <c r="J123" s="440"/>
      <c r="K123" s="440"/>
      <c r="L123" s="440"/>
    </row>
    <row r="124" spans="1:12" ht="6.75" customHeight="1" x14ac:dyDescent="0.2">
      <c r="A124" s="213"/>
      <c r="C124" s="213"/>
      <c r="D124" s="213"/>
      <c r="E124" s="213"/>
      <c r="F124" s="440"/>
      <c r="G124" s="440"/>
      <c r="H124" s="440"/>
      <c r="I124" s="440"/>
      <c r="J124" s="440"/>
      <c r="K124" s="440"/>
      <c r="L124" s="440"/>
    </row>
    <row r="125" spans="1:12" x14ac:dyDescent="0.2">
      <c r="A125" s="213"/>
      <c r="B125" s="456"/>
      <c r="C125" s="213"/>
      <c r="D125" s="213"/>
      <c r="E125" s="213"/>
      <c r="F125" s="440"/>
      <c r="G125" s="440"/>
      <c r="H125" s="213"/>
      <c r="I125" s="440"/>
      <c r="J125" s="440"/>
      <c r="K125" s="440"/>
      <c r="L125" s="440"/>
    </row>
    <row r="126" spans="1:12" ht="15.75" x14ac:dyDescent="0.25">
      <c r="B126" s="437"/>
    </row>
    <row r="134" spans="2:2" ht="15.75" x14ac:dyDescent="0.25">
      <c r="B134" s="437" t="s">
        <v>746</v>
      </c>
    </row>
    <row r="135" spans="2:2" ht="6" customHeight="1" x14ac:dyDescent="0.2"/>
    <row r="136" spans="2:2" x14ac:dyDescent="0.2">
      <c r="B136" s="231" t="s">
        <v>495</v>
      </c>
    </row>
    <row r="137" spans="2:2" x14ac:dyDescent="0.2">
      <c r="B137" s="231" t="s">
        <v>507</v>
      </c>
    </row>
    <row r="138" spans="2:2" x14ac:dyDescent="0.2">
      <c r="B138" s="231" t="s">
        <v>513</v>
      </c>
    </row>
    <row r="139" spans="2:2" x14ac:dyDescent="0.2">
      <c r="B139" s="231" t="s">
        <v>496</v>
      </c>
    </row>
    <row r="140" spans="2:2" x14ac:dyDescent="0.2">
      <c r="B140" s="231" t="s">
        <v>511</v>
      </c>
    </row>
    <row r="141" spans="2:2" x14ac:dyDescent="0.2">
      <c r="B141" s="231" t="s">
        <v>512</v>
      </c>
    </row>
  </sheetData>
  <phoneticPr fontId="41" type="noConversion"/>
  <pageMargins left="0.78740157499999996" right="0.78740157499999996" top="0.984251969" bottom="0.984251969" header="0.4921259845" footer="0.4921259845"/>
  <pageSetup paperSize="9" scale="67" fitToHeight="3" orientation="portrait" blackAndWhite="1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6" r:id="rId4" name="Button 10">
              <controlPr defaultSize="0" print="0" autoFill="0" autoLine="0" autoPict="0">
                <anchor moveWithCells="1">
                  <from>
                    <xdr:col>0</xdr:col>
                    <xdr:colOff>104775</xdr:colOff>
                    <xdr:row>50</xdr:row>
                    <xdr:rowOff>123825</xdr:rowOff>
                  </from>
                  <to>
                    <xdr:col>2</xdr:col>
                    <xdr:colOff>657225</xdr:colOff>
                    <xdr:row>52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5" name="Button 13">
              <controlPr defaultSize="0" print="0" autoFill="0" autoLine="0" autoPict="0" macro="[0]!tabProtokoll">
                <anchor moveWithCells="1">
                  <from>
                    <xdr:col>7</xdr:col>
                    <xdr:colOff>314325</xdr:colOff>
                    <xdr:row>99</xdr:row>
                    <xdr:rowOff>0</xdr:rowOff>
                  </from>
                  <to>
                    <xdr:col>9</xdr:col>
                    <xdr:colOff>371475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6" name="Button 14">
              <controlPr defaultSize="0" print="0" autoFill="0" autoLine="0" autoPict="0" macro="[0]!tabGebäudedaten">
                <anchor moveWithCells="1">
                  <from>
                    <xdr:col>6</xdr:col>
                    <xdr:colOff>152400</xdr:colOff>
                    <xdr:row>17</xdr:row>
                    <xdr:rowOff>152400</xdr:rowOff>
                  </from>
                  <to>
                    <xdr:col>8</xdr:col>
                    <xdr:colOff>38100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7" name="Button 15">
              <controlPr defaultSize="0" print="0" autoFill="0" autoLine="0" autoPict="0" macro="[0]!tabGebäudedaten">
                <anchor moveWithCells="1">
                  <from>
                    <xdr:col>1</xdr:col>
                    <xdr:colOff>66675</xdr:colOff>
                    <xdr:row>53</xdr:row>
                    <xdr:rowOff>152400</xdr:rowOff>
                  </from>
                  <to>
                    <xdr:col>2</xdr:col>
                    <xdr:colOff>581025</xdr:colOff>
                    <xdr:row>55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6E5B-579C-40FD-AE8D-D70239DBF410}">
  <sheetPr codeName="Tabelle7"/>
  <dimension ref="B2:BL300"/>
  <sheetViews>
    <sheetView zoomScale="70" workbookViewId="0">
      <selection activeCell="D24" sqref="D24"/>
    </sheetView>
  </sheetViews>
  <sheetFormatPr baseColWidth="10" defaultRowHeight="12.75" x14ac:dyDescent="0.2"/>
  <cols>
    <col min="1" max="1" width="4.5703125" customWidth="1"/>
    <col min="2" max="2" width="40.42578125" customWidth="1"/>
    <col min="3" max="3" width="19.42578125" customWidth="1"/>
    <col min="13" max="13" width="22.7109375" customWidth="1"/>
    <col min="18" max="18" width="3.5703125" customWidth="1"/>
    <col min="19" max="19" width="19.85546875" customWidth="1"/>
    <col min="20" max="20" width="7.42578125" customWidth="1"/>
    <col min="21" max="21" width="8.5703125" customWidth="1"/>
    <col min="23" max="23" width="10.28515625" customWidth="1"/>
    <col min="25" max="25" width="8.5703125" customWidth="1"/>
    <col min="26" max="26" width="8.42578125" customWidth="1"/>
    <col min="27" max="27" width="9.85546875" customWidth="1"/>
    <col min="28" max="28" width="4.5703125" customWidth="1"/>
    <col min="29" max="29" width="3.5703125" customWidth="1"/>
    <col min="30" max="30" width="19.85546875" customWidth="1"/>
    <col min="31" max="31" width="7.42578125" customWidth="1"/>
    <col min="32" max="32" width="8.5703125" customWidth="1"/>
    <col min="34" max="34" width="10.28515625" customWidth="1"/>
    <col min="36" max="36" width="8.5703125" customWidth="1"/>
    <col min="37" max="37" width="8.42578125" customWidth="1"/>
    <col min="38" max="38" width="9.85546875" customWidth="1"/>
    <col min="39" max="39" width="4.5703125" customWidth="1"/>
    <col min="41" max="41" width="35" customWidth="1"/>
    <col min="48" max="48" width="46.7109375" customWidth="1"/>
    <col min="49" max="49" width="11.7109375" customWidth="1"/>
    <col min="50" max="50" width="46.7109375" customWidth="1"/>
    <col min="51" max="51" width="11.7109375" customWidth="1"/>
    <col min="52" max="52" width="33.7109375" customWidth="1"/>
    <col min="53" max="54" width="11.7109375" customWidth="1"/>
    <col min="55" max="55" width="4.5703125" customWidth="1"/>
    <col min="56" max="56" width="46.7109375" customWidth="1"/>
    <col min="57" max="57" width="11.7109375" customWidth="1"/>
    <col min="58" max="58" width="46.7109375" customWidth="1"/>
    <col min="59" max="59" width="11.7109375" customWidth="1"/>
    <col min="60" max="60" width="33.7109375" customWidth="1"/>
    <col min="61" max="62" width="11.7109375" customWidth="1"/>
  </cols>
  <sheetData>
    <row r="2" spans="2:62" x14ac:dyDescent="0.2">
      <c r="B2" t="s">
        <v>290</v>
      </c>
    </row>
    <row r="4" spans="2:62" x14ac:dyDescent="0.2">
      <c r="B4" s="108"/>
      <c r="D4" s="110" t="s">
        <v>80</v>
      </c>
    </row>
    <row r="5" spans="2:62" x14ac:dyDescent="0.2">
      <c r="B5" s="108"/>
      <c r="AV5" s="108" t="s">
        <v>339</v>
      </c>
      <c r="BD5" s="108" t="s">
        <v>340</v>
      </c>
    </row>
    <row r="6" spans="2:62" x14ac:dyDescent="0.2">
      <c r="R6" s="83"/>
      <c r="S6" s="83"/>
      <c r="T6" s="83"/>
      <c r="U6" s="83"/>
      <c r="V6" s="83"/>
      <c r="W6" s="83"/>
      <c r="X6" s="83"/>
      <c r="Y6" s="83"/>
      <c r="Z6" s="83"/>
      <c r="AA6" s="83"/>
      <c r="AC6" s="83"/>
      <c r="AD6" s="83"/>
      <c r="AE6" s="83"/>
      <c r="AF6" s="83"/>
      <c r="AG6" s="83"/>
      <c r="AH6" s="83"/>
      <c r="AI6" s="83"/>
      <c r="AJ6" s="83"/>
      <c r="AK6" s="83"/>
      <c r="AL6" s="83"/>
    </row>
    <row r="7" spans="2:62" x14ac:dyDescent="0.2">
      <c r="B7" s="113" t="s">
        <v>81</v>
      </c>
      <c r="F7" s="113" t="s">
        <v>82</v>
      </c>
      <c r="M7" s="113" t="s">
        <v>83</v>
      </c>
      <c r="R7" s="83"/>
      <c r="S7" s="114" t="s">
        <v>84</v>
      </c>
      <c r="T7" s="83"/>
      <c r="U7" s="83"/>
      <c r="V7" s="83"/>
      <c r="W7" s="83"/>
      <c r="X7" s="83"/>
      <c r="Y7" s="83"/>
      <c r="Z7" s="83"/>
      <c r="AA7" s="83"/>
      <c r="AC7" s="83"/>
      <c r="AD7" s="114" t="s">
        <v>85</v>
      </c>
      <c r="AE7" s="83"/>
      <c r="AF7" s="83"/>
      <c r="AG7" s="83"/>
      <c r="AH7" s="83"/>
      <c r="AI7" s="83"/>
      <c r="AJ7" s="83"/>
      <c r="AK7" s="83"/>
      <c r="AL7" s="83"/>
      <c r="AV7" t="s">
        <v>360</v>
      </c>
      <c r="AX7" t="s">
        <v>361</v>
      </c>
      <c r="AZ7" t="s">
        <v>341</v>
      </c>
      <c r="BD7" t="s">
        <v>360</v>
      </c>
      <c r="BF7" t="s">
        <v>361</v>
      </c>
      <c r="BH7" t="s">
        <v>341</v>
      </c>
    </row>
    <row r="8" spans="2:62" x14ac:dyDescent="0.2">
      <c r="B8" t="s">
        <v>86</v>
      </c>
      <c r="C8" t="s">
        <v>87</v>
      </c>
      <c r="F8" t="s">
        <v>86</v>
      </c>
      <c r="G8" t="s">
        <v>87</v>
      </c>
      <c r="M8" t="s">
        <v>86</v>
      </c>
      <c r="N8" t="s">
        <v>87</v>
      </c>
      <c r="R8" s="83"/>
      <c r="S8" s="83" t="s">
        <v>86</v>
      </c>
      <c r="T8" s="83" t="s">
        <v>88</v>
      </c>
      <c r="U8" s="83"/>
      <c r="V8" s="83" t="s">
        <v>359</v>
      </c>
      <c r="W8" s="83"/>
      <c r="X8" s="83"/>
      <c r="Y8" s="83"/>
      <c r="Z8" s="83"/>
      <c r="AA8" s="83"/>
      <c r="AC8" s="83"/>
      <c r="AD8" s="83"/>
      <c r="AE8" s="83" t="s">
        <v>359</v>
      </c>
      <c r="AF8" s="83"/>
      <c r="AG8" s="83"/>
      <c r="AH8" s="83"/>
      <c r="AI8" s="83"/>
      <c r="AJ8" s="83"/>
      <c r="AK8" s="83"/>
      <c r="AL8" s="83"/>
      <c r="AO8" t="s">
        <v>86</v>
      </c>
      <c r="AP8" t="s">
        <v>87</v>
      </c>
      <c r="AQ8" t="s">
        <v>87</v>
      </c>
      <c r="AV8" t="s">
        <v>86</v>
      </c>
      <c r="AW8" t="s">
        <v>87</v>
      </c>
      <c r="AX8" t="s">
        <v>86</v>
      </c>
      <c r="AY8" t="s">
        <v>87</v>
      </c>
      <c r="AZ8" t="s">
        <v>86</v>
      </c>
      <c r="BA8" t="s">
        <v>342</v>
      </c>
      <c r="BB8" t="s">
        <v>343</v>
      </c>
      <c r="BD8" t="s">
        <v>86</v>
      </c>
      <c r="BE8" t="s">
        <v>87</v>
      </c>
      <c r="BF8" t="s">
        <v>86</v>
      </c>
      <c r="BG8" t="s">
        <v>87</v>
      </c>
      <c r="BH8" t="s">
        <v>86</v>
      </c>
      <c r="BI8" t="s">
        <v>342</v>
      </c>
      <c r="BJ8" t="s">
        <v>343</v>
      </c>
    </row>
    <row r="9" spans="2:62" x14ac:dyDescent="0.2">
      <c r="R9" s="83"/>
      <c r="S9" s="83"/>
      <c r="T9" s="83"/>
      <c r="U9" s="83"/>
      <c r="V9" s="83"/>
      <c r="W9" s="83"/>
      <c r="X9" s="83"/>
      <c r="Y9" s="83"/>
      <c r="Z9" s="83"/>
      <c r="AA9" s="83"/>
      <c r="AC9" s="83"/>
      <c r="AD9" s="83"/>
      <c r="AE9" s="83"/>
      <c r="AF9" s="83"/>
      <c r="AG9" s="83"/>
      <c r="AH9" s="83"/>
      <c r="AI9" s="83"/>
      <c r="AJ9" s="83"/>
      <c r="AK9" s="83"/>
      <c r="AL9" s="83"/>
    </row>
    <row r="10" spans="2:62" x14ac:dyDescent="0.2">
      <c r="B10" s="98" t="s">
        <v>303</v>
      </c>
      <c r="C10" s="96"/>
      <c r="F10" s="98" t="s">
        <v>89</v>
      </c>
      <c r="G10" s="96"/>
      <c r="H10" s="96"/>
      <c r="I10" s="96"/>
      <c r="J10" s="96"/>
      <c r="K10" s="96"/>
      <c r="M10" s="98" t="s">
        <v>90</v>
      </c>
      <c r="N10" s="106"/>
      <c r="R10" s="83"/>
      <c r="S10" s="104" t="s">
        <v>91</v>
      </c>
      <c r="T10" s="101"/>
      <c r="U10" s="83"/>
      <c r="V10" s="83"/>
      <c r="W10" s="83"/>
      <c r="X10" s="83"/>
      <c r="Y10" s="83"/>
      <c r="Z10" s="83"/>
      <c r="AA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O10" s="98" t="s">
        <v>92</v>
      </c>
      <c r="AP10" s="96"/>
      <c r="AV10" s="98" t="s">
        <v>370</v>
      </c>
      <c r="AW10" s="96"/>
      <c r="AX10" s="98" t="s">
        <v>371</v>
      </c>
      <c r="AY10" s="96"/>
      <c r="AZ10" s="98" t="s">
        <v>372</v>
      </c>
      <c r="BA10" s="96"/>
      <c r="BB10" s="96"/>
      <c r="BD10" s="98" t="s">
        <v>370</v>
      </c>
      <c r="BE10" s="96"/>
      <c r="BF10" s="98" t="s">
        <v>371</v>
      </c>
      <c r="BG10" s="96"/>
      <c r="BH10" s="98" t="s">
        <v>372</v>
      </c>
      <c r="BI10" s="96"/>
      <c r="BJ10" s="96"/>
    </row>
    <row r="11" spans="2:62" x14ac:dyDescent="0.2">
      <c r="B11" s="98" t="s">
        <v>304</v>
      </c>
      <c r="C11" s="96"/>
      <c r="G11" s="96"/>
      <c r="H11" s="96"/>
      <c r="I11" s="96"/>
      <c r="J11" s="96"/>
      <c r="K11" s="96"/>
      <c r="M11" s="98" t="s">
        <v>93</v>
      </c>
      <c r="N11" s="96"/>
      <c r="R11" s="83"/>
      <c r="S11" s="104" t="s">
        <v>94</v>
      </c>
      <c r="T11" s="101"/>
      <c r="U11" s="83"/>
      <c r="V11" s="83"/>
      <c r="W11" s="83"/>
      <c r="X11" s="83"/>
      <c r="Y11" s="83"/>
      <c r="Z11" s="83"/>
      <c r="AA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O11" s="98" t="s">
        <v>95</v>
      </c>
      <c r="AP11" s="106"/>
      <c r="AW11" s="96"/>
      <c r="AY11" s="96"/>
      <c r="BA11" s="96"/>
      <c r="BB11" s="96"/>
      <c r="BE11" s="96"/>
      <c r="BG11" s="96"/>
      <c r="BI11" s="96"/>
      <c r="BJ11" s="96"/>
    </row>
    <row r="12" spans="2:62" x14ac:dyDescent="0.2">
      <c r="B12" s="98" t="s">
        <v>96</v>
      </c>
      <c r="C12" s="96"/>
      <c r="G12" s="96"/>
      <c r="H12" s="96"/>
      <c r="I12" s="96"/>
      <c r="J12" s="96"/>
      <c r="K12" s="96"/>
      <c r="M12" s="98" t="s">
        <v>97</v>
      </c>
      <c r="N12" s="96"/>
      <c r="R12" s="83"/>
      <c r="S12" s="104" t="s">
        <v>98</v>
      </c>
      <c r="T12" s="101"/>
      <c r="U12" s="83"/>
      <c r="V12" s="83"/>
      <c r="W12" s="83"/>
      <c r="X12" s="83"/>
      <c r="Y12" s="83"/>
      <c r="Z12" s="83"/>
      <c r="AA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O12" s="98" t="s">
        <v>99</v>
      </c>
      <c r="AP12" s="96"/>
      <c r="AW12" s="96"/>
      <c r="AY12" s="96"/>
      <c r="BE12" s="96"/>
      <c r="BG12" s="96"/>
    </row>
    <row r="13" spans="2:62" x14ac:dyDescent="0.2">
      <c r="B13" s="98" t="s">
        <v>100</v>
      </c>
      <c r="C13" s="96"/>
      <c r="G13" s="96"/>
      <c r="H13" s="96"/>
      <c r="I13" s="96"/>
      <c r="J13" s="96"/>
      <c r="K13" s="96"/>
      <c r="M13" s="98" t="s">
        <v>101</v>
      </c>
      <c r="N13" s="96"/>
      <c r="R13" s="83"/>
      <c r="S13" s="104" t="s">
        <v>102</v>
      </c>
      <c r="T13" s="107"/>
      <c r="U13" s="83"/>
      <c r="V13" s="83"/>
      <c r="W13" s="83"/>
      <c r="X13" s="83"/>
      <c r="Y13" s="83"/>
      <c r="Z13" s="83"/>
      <c r="AA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O13" s="98" t="s">
        <v>103</v>
      </c>
      <c r="AP13" s="96"/>
      <c r="AW13" s="96"/>
      <c r="AY13" s="96"/>
      <c r="BE13" s="96"/>
      <c r="BG13" s="96"/>
    </row>
    <row r="14" spans="2:62" x14ac:dyDescent="0.2">
      <c r="B14" s="98" t="s">
        <v>104</v>
      </c>
      <c r="C14" s="96"/>
      <c r="G14" s="96"/>
      <c r="H14" s="96"/>
      <c r="I14" s="96"/>
      <c r="J14" s="96"/>
      <c r="K14" s="96"/>
      <c r="M14" s="98" t="s">
        <v>105</v>
      </c>
      <c r="N14" s="96"/>
      <c r="R14" s="83"/>
      <c r="S14" s="104" t="s">
        <v>106</v>
      </c>
      <c r="T14" s="107"/>
      <c r="U14" s="83"/>
      <c r="V14" s="83"/>
      <c r="W14" s="83"/>
      <c r="X14" s="83"/>
      <c r="Y14" s="83"/>
      <c r="Z14" s="83"/>
      <c r="AA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O14" s="98" t="s">
        <v>107</v>
      </c>
      <c r="AP14" s="96"/>
      <c r="AW14" s="96"/>
      <c r="AY14" s="96"/>
      <c r="BE14" s="96"/>
      <c r="BG14" s="96"/>
    </row>
    <row r="15" spans="2:62" x14ac:dyDescent="0.2">
      <c r="B15" s="98" t="s">
        <v>108</v>
      </c>
      <c r="C15" s="106"/>
      <c r="G15" s="96"/>
      <c r="H15" s="96"/>
      <c r="I15" s="96"/>
      <c r="J15" s="96"/>
      <c r="K15" s="96"/>
      <c r="M15" s="98" t="s">
        <v>109</v>
      </c>
      <c r="N15" s="96"/>
      <c r="R15" s="83"/>
      <c r="S15" s="104" t="s">
        <v>110</v>
      </c>
      <c r="T15" s="101"/>
      <c r="U15" s="83"/>
      <c r="V15" s="83"/>
      <c r="W15" s="83"/>
      <c r="X15" s="83"/>
      <c r="Y15" s="83"/>
      <c r="Z15" s="83"/>
      <c r="AA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O15" s="98" t="s">
        <v>111</v>
      </c>
      <c r="AP15" s="96"/>
      <c r="AW15" s="96"/>
      <c r="AY15" s="96"/>
      <c r="BE15" s="96"/>
      <c r="BG15" s="96"/>
    </row>
    <row r="16" spans="2:62" x14ac:dyDescent="0.2">
      <c r="B16" s="98" t="s">
        <v>112</v>
      </c>
      <c r="C16" s="96"/>
      <c r="G16" s="96"/>
      <c r="H16" s="96"/>
      <c r="I16" s="96"/>
      <c r="J16" s="96"/>
      <c r="K16" s="96"/>
      <c r="M16" s="98" t="s">
        <v>113</v>
      </c>
      <c r="N16" s="96"/>
      <c r="R16" s="83"/>
      <c r="S16" s="104" t="s">
        <v>114</v>
      </c>
      <c r="T16" s="101"/>
      <c r="U16" s="83"/>
      <c r="V16" s="83"/>
      <c r="W16" s="83"/>
      <c r="X16" s="83"/>
      <c r="Y16" s="83"/>
      <c r="Z16" s="83"/>
      <c r="AA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O16" s="98" t="s">
        <v>115</v>
      </c>
      <c r="AP16" s="103"/>
      <c r="AQ16" s="103"/>
      <c r="AW16" s="96"/>
      <c r="AY16" s="96"/>
      <c r="BE16" s="96"/>
      <c r="BG16" s="96"/>
    </row>
    <row r="17" spans="2:59" x14ac:dyDescent="0.2">
      <c r="B17" s="98" t="s">
        <v>116</v>
      </c>
      <c r="C17" s="96"/>
      <c r="G17" s="96"/>
      <c r="H17" s="96"/>
      <c r="I17" s="96"/>
      <c r="J17" s="96"/>
      <c r="K17" s="96"/>
      <c r="M17" s="98" t="s">
        <v>117</v>
      </c>
      <c r="N17" s="96"/>
      <c r="R17" s="83"/>
      <c r="S17" s="104" t="s">
        <v>338</v>
      </c>
      <c r="T17" s="101"/>
      <c r="U17" s="83"/>
      <c r="V17" s="83"/>
      <c r="W17" s="83"/>
      <c r="X17" s="83"/>
      <c r="Y17" s="83"/>
      <c r="Z17" s="83"/>
      <c r="AA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O17" s="98" t="s">
        <v>119</v>
      </c>
      <c r="AP17" s="103"/>
      <c r="AQ17" s="103"/>
      <c r="AW17" s="96"/>
      <c r="AY17" s="96"/>
      <c r="BE17" s="96"/>
      <c r="BG17" s="96"/>
    </row>
    <row r="18" spans="2:59" x14ac:dyDescent="0.2">
      <c r="B18" s="98" t="s">
        <v>305</v>
      </c>
      <c r="C18" s="96"/>
      <c r="G18" s="96"/>
      <c r="H18" s="96"/>
      <c r="I18" s="96"/>
      <c r="J18" s="96"/>
      <c r="K18" s="96"/>
      <c r="M18" s="98" t="s">
        <v>121</v>
      </c>
      <c r="N18" s="96"/>
      <c r="R18" s="83"/>
      <c r="S18" s="104" t="s">
        <v>118</v>
      </c>
      <c r="T18" s="101"/>
      <c r="U18" s="83"/>
      <c r="V18" s="83"/>
      <c r="W18" s="83"/>
      <c r="X18" s="83"/>
      <c r="Y18" s="83"/>
      <c r="Z18" s="83"/>
      <c r="AA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O18" s="98" t="s">
        <v>123</v>
      </c>
      <c r="AP18" s="103"/>
      <c r="AQ18" s="103"/>
      <c r="AW18" s="96"/>
      <c r="AY18" s="96"/>
      <c r="BE18" s="96"/>
      <c r="BG18" s="96"/>
    </row>
    <row r="19" spans="2:59" x14ac:dyDescent="0.2">
      <c r="B19" s="98" t="s">
        <v>120</v>
      </c>
      <c r="C19" s="96"/>
      <c r="G19" s="96"/>
      <c r="H19" s="96"/>
      <c r="I19" s="96"/>
      <c r="J19" s="96"/>
      <c r="K19" s="96"/>
      <c r="M19" s="98" t="s">
        <v>125</v>
      </c>
      <c r="N19" s="96"/>
      <c r="R19" s="83"/>
      <c r="S19" s="104" t="s">
        <v>122</v>
      </c>
      <c r="T19" s="101"/>
      <c r="U19" s="83"/>
      <c r="V19" s="83"/>
      <c r="W19" s="83"/>
      <c r="X19" s="83"/>
      <c r="Y19" s="83"/>
      <c r="Z19" s="83"/>
      <c r="AA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O19" s="98" t="s">
        <v>126</v>
      </c>
      <c r="AP19" s="103"/>
      <c r="AQ19" s="103"/>
      <c r="AW19" s="96"/>
      <c r="AY19" s="96"/>
      <c r="BE19" s="96"/>
      <c r="BG19" s="96"/>
    </row>
    <row r="20" spans="2:59" x14ac:dyDescent="0.2">
      <c r="B20" s="98" t="s">
        <v>124</v>
      </c>
      <c r="C20" s="96"/>
      <c r="G20" s="96"/>
      <c r="H20" s="96"/>
      <c r="I20" s="96"/>
      <c r="J20" s="96"/>
      <c r="K20" s="96"/>
      <c r="M20" s="98" t="s">
        <v>127</v>
      </c>
      <c r="N20" s="109"/>
      <c r="O20" s="109"/>
      <c r="P20" s="109"/>
      <c r="Q20" s="109"/>
      <c r="R20" s="83"/>
      <c r="S20" s="83"/>
      <c r="T20" s="83" t="s">
        <v>84</v>
      </c>
      <c r="U20" s="83"/>
      <c r="V20" s="83"/>
      <c r="W20" s="83"/>
      <c r="X20" s="83"/>
      <c r="Y20" s="83"/>
      <c r="Z20" s="83"/>
      <c r="AA20" s="83"/>
      <c r="AE20" t="s">
        <v>85</v>
      </c>
      <c r="AO20" s="98" t="s">
        <v>128</v>
      </c>
      <c r="AP20" s="103"/>
      <c r="AQ20" s="103"/>
      <c r="AW20" s="96"/>
      <c r="AY20" s="96"/>
      <c r="BE20" s="96"/>
      <c r="BG20" s="96"/>
    </row>
    <row r="21" spans="2:59" x14ac:dyDescent="0.2">
      <c r="B21" s="98" t="s">
        <v>306</v>
      </c>
      <c r="C21" s="96"/>
      <c r="G21" s="96"/>
      <c r="H21" s="96"/>
      <c r="I21" s="96"/>
      <c r="J21" s="96"/>
      <c r="K21" s="96"/>
      <c r="M21" s="98"/>
      <c r="N21" s="109"/>
      <c r="O21" s="109"/>
      <c r="P21" s="109"/>
      <c r="Q21" s="109"/>
      <c r="R21" s="83"/>
      <c r="S21" s="83"/>
      <c r="T21" s="83"/>
      <c r="U21" s="83"/>
      <c r="V21" s="83"/>
      <c r="W21" s="83"/>
      <c r="X21" s="83"/>
      <c r="Y21" s="83"/>
      <c r="Z21" s="83"/>
      <c r="AA21" s="83"/>
      <c r="AO21" s="98" t="s">
        <v>129</v>
      </c>
      <c r="AP21" s="103"/>
      <c r="AQ21" s="103"/>
      <c r="AW21" s="96"/>
      <c r="AY21" s="96"/>
      <c r="BE21" s="96"/>
      <c r="BG21" s="96"/>
    </row>
    <row r="22" spans="2:59" x14ac:dyDescent="0.2">
      <c r="B22" s="98" t="s">
        <v>307</v>
      </c>
      <c r="C22" s="96"/>
      <c r="G22" s="96"/>
      <c r="H22" s="96"/>
      <c r="I22" s="96"/>
      <c r="J22" s="96"/>
      <c r="K22" s="96"/>
      <c r="M22" s="98"/>
      <c r="N22" s="109"/>
      <c r="O22" s="109"/>
      <c r="P22" s="109"/>
      <c r="Q22" s="109"/>
      <c r="R22" s="83"/>
      <c r="S22" s="83" t="s">
        <v>130</v>
      </c>
      <c r="T22" s="83" t="s">
        <v>131</v>
      </c>
      <c r="U22" s="83" t="s">
        <v>88</v>
      </c>
      <c r="V22" s="83" t="s">
        <v>132</v>
      </c>
      <c r="W22" s="83" t="s">
        <v>133</v>
      </c>
      <c r="X22" s="83" t="s">
        <v>134</v>
      </c>
      <c r="Y22" s="83" t="s">
        <v>135</v>
      </c>
      <c r="Z22" s="83" t="s">
        <v>136</v>
      </c>
      <c r="AA22" s="83" t="s">
        <v>137</v>
      </c>
      <c r="AD22" t="s">
        <v>130</v>
      </c>
      <c r="AE22" t="s">
        <v>131</v>
      </c>
      <c r="AF22" t="s">
        <v>88</v>
      </c>
      <c r="AG22" t="s">
        <v>132</v>
      </c>
      <c r="AH22" t="s">
        <v>133</v>
      </c>
      <c r="AI22" t="s">
        <v>134</v>
      </c>
      <c r="AJ22" t="s">
        <v>135</v>
      </c>
      <c r="AK22" t="s">
        <v>136</v>
      </c>
      <c r="AL22" t="s">
        <v>137</v>
      </c>
      <c r="AO22" s="98" t="s">
        <v>138</v>
      </c>
      <c r="AP22" s="103"/>
      <c r="AQ22" s="103"/>
      <c r="AW22" s="96"/>
      <c r="AY22" s="96"/>
      <c r="BE22" s="96"/>
      <c r="BG22" s="96"/>
    </row>
    <row r="23" spans="2:59" x14ac:dyDescent="0.2">
      <c r="B23" s="98" t="s">
        <v>308</v>
      </c>
      <c r="C23" s="96"/>
      <c r="G23" s="96"/>
      <c r="H23" s="96"/>
      <c r="I23" s="96"/>
      <c r="J23" s="96"/>
      <c r="K23" s="96"/>
      <c r="M23" s="98"/>
      <c r="N23" s="109"/>
      <c r="O23" s="109"/>
      <c r="P23" s="109"/>
      <c r="Q23" s="109"/>
      <c r="R23" s="83"/>
      <c r="S23" s="83"/>
      <c r="T23" s="83"/>
      <c r="U23" s="83"/>
      <c r="V23" s="83"/>
      <c r="W23" s="83"/>
      <c r="X23" s="83"/>
      <c r="Y23" s="83"/>
      <c r="Z23" s="83"/>
      <c r="AA23" s="83"/>
      <c r="AO23" s="98" t="s">
        <v>139</v>
      </c>
      <c r="AP23" s="103"/>
      <c r="AQ23" s="103"/>
      <c r="AW23" s="96"/>
      <c r="AY23" s="96"/>
      <c r="BE23" s="96"/>
      <c r="BG23" s="96"/>
    </row>
    <row r="24" spans="2:59" x14ac:dyDescent="0.2">
      <c r="B24" s="98" t="s">
        <v>309</v>
      </c>
      <c r="C24" s="97"/>
      <c r="G24" s="96"/>
      <c r="H24" s="96"/>
      <c r="I24" s="96"/>
      <c r="J24" s="96"/>
      <c r="K24" s="96"/>
      <c r="M24" s="98"/>
      <c r="N24" s="109"/>
      <c r="O24" s="109"/>
      <c r="P24" s="109"/>
      <c r="Q24" s="109"/>
      <c r="R24" s="83"/>
      <c r="S24" s="83"/>
      <c r="T24" s="83"/>
      <c r="U24" s="83"/>
      <c r="V24" s="83"/>
      <c r="W24" s="83"/>
      <c r="X24" s="83"/>
      <c r="Y24" s="83"/>
      <c r="Z24" s="83"/>
      <c r="AA24" s="83"/>
      <c r="AO24" s="98" t="s">
        <v>141</v>
      </c>
      <c r="AP24" s="103"/>
      <c r="AQ24" s="103"/>
      <c r="AW24" s="96"/>
      <c r="AY24" s="96"/>
      <c r="BE24" s="96"/>
      <c r="BG24" s="96"/>
    </row>
    <row r="25" spans="2:59" x14ac:dyDescent="0.2">
      <c r="B25" s="98" t="s">
        <v>310</v>
      </c>
      <c r="C25" s="96"/>
      <c r="G25" s="96"/>
      <c r="H25" s="96"/>
      <c r="I25" s="96"/>
      <c r="J25" s="96"/>
      <c r="K25" s="96"/>
      <c r="M25" s="98"/>
      <c r="N25" s="109"/>
      <c r="O25" s="109"/>
      <c r="P25" s="109"/>
      <c r="Q25" s="109"/>
      <c r="R25" s="83">
        <v>0</v>
      </c>
      <c r="S25" s="104" t="s">
        <v>143</v>
      </c>
      <c r="T25" s="101"/>
      <c r="U25" s="102"/>
      <c r="V25" s="102"/>
      <c r="W25" s="102"/>
      <c r="X25" s="102"/>
      <c r="Y25" s="102"/>
      <c r="Z25" s="102"/>
      <c r="AA25" s="102"/>
      <c r="AC25">
        <v>0</v>
      </c>
      <c r="AD25" s="98"/>
      <c r="AE25" s="96"/>
      <c r="AF25" s="103"/>
      <c r="AG25" s="103"/>
      <c r="AH25" s="103"/>
      <c r="AI25" s="103"/>
      <c r="AJ25" s="103"/>
      <c r="AK25" s="103"/>
      <c r="AL25" s="103"/>
      <c r="AO25" s="98" t="s">
        <v>144</v>
      </c>
      <c r="AP25" s="103"/>
      <c r="AQ25" s="103"/>
      <c r="AW25" s="96"/>
      <c r="AY25" s="96"/>
      <c r="BE25" s="96"/>
      <c r="BG25" s="96"/>
    </row>
    <row r="26" spans="2:59" x14ac:dyDescent="0.2">
      <c r="B26" s="98" t="s">
        <v>311</v>
      </c>
      <c r="C26" s="96"/>
      <c r="G26" s="96"/>
      <c r="H26" s="96"/>
      <c r="I26" s="96"/>
      <c r="J26" s="96"/>
      <c r="K26" s="96"/>
      <c r="M26" s="98"/>
      <c r="N26" s="109"/>
      <c r="O26" s="109"/>
      <c r="P26" s="109"/>
      <c r="Q26" s="109"/>
      <c r="R26" s="83">
        <v>1</v>
      </c>
      <c r="S26" s="104" t="s">
        <v>146</v>
      </c>
      <c r="T26" s="101"/>
      <c r="U26" s="102"/>
      <c r="V26" s="102"/>
      <c r="W26" s="102"/>
      <c r="X26" s="102"/>
      <c r="Y26" s="102"/>
      <c r="Z26" s="102"/>
      <c r="AA26" s="102"/>
      <c r="AC26">
        <v>1</v>
      </c>
      <c r="AD26" s="98"/>
      <c r="AE26" s="96"/>
      <c r="AF26" s="103"/>
      <c r="AG26" s="103"/>
      <c r="AH26" s="103"/>
      <c r="AI26" s="103"/>
      <c r="AJ26" s="103"/>
      <c r="AK26" s="103"/>
      <c r="AL26" s="103"/>
      <c r="AO26" s="98" t="s">
        <v>147</v>
      </c>
      <c r="AP26" s="103"/>
      <c r="AQ26" s="103"/>
      <c r="AW26" s="96"/>
      <c r="AY26" s="96"/>
      <c r="BE26" s="96"/>
      <c r="BG26" s="96"/>
    </row>
    <row r="27" spans="2:59" x14ac:dyDescent="0.2">
      <c r="B27" s="98" t="s">
        <v>312</v>
      </c>
      <c r="C27" s="96"/>
      <c r="G27" s="96"/>
      <c r="H27" s="96"/>
      <c r="I27" s="96"/>
      <c r="J27" s="96"/>
      <c r="K27" s="96"/>
      <c r="M27" s="98"/>
      <c r="N27" s="109"/>
      <c r="O27" s="109"/>
      <c r="P27" s="109"/>
      <c r="Q27" s="109"/>
      <c r="R27" s="83">
        <v>2</v>
      </c>
      <c r="S27" s="104" t="s">
        <v>149</v>
      </c>
      <c r="T27" s="101"/>
      <c r="U27" s="102"/>
      <c r="V27" s="102"/>
      <c r="W27" s="102"/>
      <c r="X27" s="102"/>
      <c r="Y27" s="102"/>
      <c r="Z27" s="102"/>
      <c r="AA27" s="102"/>
      <c r="AC27">
        <v>2</v>
      </c>
      <c r="AD27" s="98"/>
      <c r="AE27" s="96"/>
      <c r="AF27" s="103"/>
      <c r="AG27" s="103"/>
      <c r="AH27" s="103"/>
      <c r="AI27" s="103"/>
      <c r="AJ27" s="103"/>
      <c r="AK27" s="103"/>
      <c r="AL27" s="103"/>
      <c r="AO27" s="98" t="s">
        <v>150</v>
      </c>
      <c r="AP27" s="103"/>
      <c r="AQ27" s="103"/>
      <c r="AW27" s="96"/>
      <c r="AY27" s="96"/>
      <c r="BE27" s="96"/>
      <c r="BG27" s="96"/>
    </row>
    <row r="28" spans="2:59" x14ac:dyDescent="0.2">
      <c r="B28" s="98" t="s">
        <v>313</v>
      </c>
      <c r="C28" s="96"/>
      <c r="G28" s="96"/>
      <c r="H28" s="96"/>
      <c r="I28" s="96"/>
      <c r="J28" s="96"/>
      <c r="K28" s="96"/>
      <c r="M28" s="98"/>
      <c r="N28" s="109"/>
      <c r="O28" s="109"/>
      <c r="P28" s="109"/>
      <c r="Q28" s="109"/>
      <c r="R28" s="83">
        <v>3</v>
      </c>
      <c r="S28" s="104" t="s">
        <v>152</v>
      </c>
      <c r="T28" s="101"/>
      <c r="U28" s="102"/>
      <c r="V28" s="102"/>
      <c r="W28" s="102"/>
      <c r="X28" s="102"/>
      <c r="Y28" s="102"/>
      <c r="Z28" s="102"/>
      <c r="AA28" s="102"/>
      <c r="AC28">
        <v>3</v>
      </c>
      <c r="AD28" s="98"/>
      <c r="AE28" s="96"/>
      <c r="AF28" s="103"/>
      <c r="AG28" s="103"/>
      <c r="AH28" s="103"/>
      <c r="AI28" s="103"/>
      <c r="AJ28" s="103"/>
      <c r="AK28" s="103"/>
      <c r="AL28" s="103"/>
      <c r="AO28" s="98" t="s">
        <v>153</v>
      </c>
      <c r="AP28" s="103"/>
      <c r="AQ28" s="103"/>
      <c r="AW28" s="96"/>
      <c r="AY28" s="96"/>
      <c r="BE28" s="96"/>
      <c r="BG28" s="96"/>
    </row>
    <row r="29" spans="2:59" x14ac:dyDescent="0.2">
      <c r="B29" s="98" t="s">
        <v>314</v>
      </c>
      <c r="C29" s="96"/>
      <c r="G29" s="96"/>
      <c r="H29" s="96"/>
      <c r="I29" s="96"/>
      <c r="J29" s="96"/>
      <c r="K29" s="96"/>
      <c r="M29" s="98"/>
      <c r="N29" s="109"/>
      <c r="O29" s="109"/>
      <c r="P29" s="109"/>
      <c r="Q29" s="109"/>
      <c r="R29" s="83">
        <v>4</v>
      </c>
      <c r="S29" s="104" t="s">
        <v>155</v>
      </c>
      <c r="T29" s="101"/>
      <c r="U29" s="102"/>
      <c r="V29" s="102"/>
      <c r="W29" s="102"/>
      <c r="X29" s="102"/>
      <c r="Y29" s="102"/>
      <c r="Z29" s="102"/>
      <c r="AA29" s="102"/>
      <c r="AC29">
        <v>4</v>
      </c>
      <c r="AD29" s="98"/>
      <c r="AE29" s="96"/>
      <c r="AF29" s="103"/>
      <c r="AG29" s="103"/>
      <c r="AH29" s="103"/>
      <c r="AI29" s="103"/>
      <c r="AJ29" s="103"/>
      <c r="AK29" s="103"/>
      <c r="AL29" s="103"/>
      <c r="AO29" s="98" t="s">
        <v>156</v>
      </c>
      <c r="AP29" s="103"/>
      <c r="AQ29" s="103"/>
      <c r="AW29" s="96"/>
      <c r="AY29" s="96"/>
      <c r="BE29" s="96"/>
      <c r="BG29" s="96"/>
    </row>
    <row r="30" spans="2:59" x14ac:dyDescent="0.2">
      <c r="B30" s="98" t="s">
        <v>315</v>
      </c>
      <c r="C30" s="96"/>
      <c r="G30" s="96"/>
      <c r="H30" s="96"/>
      <c r="I30" s="96"/>
      <c r="J30" s="96"/>
      <c r="K30" s="96"/>
      <c r="M30" s="98"/>
      <c r="N30" s="109"/>
      <c r="O30" s="109"/>
      <c r="P30" s="109"/>
      <c r="Q30" s="109"/>
      <c r="R30" s="83">
        <v>5</v>
      </c>
      <c r="S30" s="104" t="s">
        <v>158</v>
      </c>
      <c r="T30" s="101"/>
      <c r="U30" s="102"/>
      <c r="V30" s="102"/>
      <c r="W30" s="102"/>
      <c r="X30" s="102"/>
      <c r="Y30" s="102"/>
      <c r="Z30" s="102"/>
      <c r="AA30" s="102"/>
      <c r="AC30">
        <v>5</v>
      </c>
      <c r="AD30" s="98"/>
      <c r="AE30" s="96"/>
      <c r="AF30" s="103"/>
      <c r="AG30" s="103"/>
      <c r="AH30" s="103"/>
      <c r="AI30" s="103"/>
      <c r="AJ30" s="103"/>
      <c r="AK30" s="103"/>
      <c r="AL30" s="103"/>
      <c r="AO30" s="98" t="s">
        <v>159</v>
      </c>
      <c r="AP30" s="103"/>
      <c r="AQ30" s="103"/>
      <c r="AW30" s="96"/>
      <c r="AY30" s="96"/>
      <c r="BE30" s="96"/>
      <c r="BG30" s="96"/>
    </row>
    <row r="31" spans="2:59" x14ac:dyDescent="0.2">
      <c r="B31" s="98" t="s">
        <v>316</v>
      </c>
      <c r="C31" s="96"/>
      <c r="G31" s="96"/>
      <c r="H31" s="96"/>
      <c r="I31" s="96"/>
      <c r="J31" s="96"/>
      <c r="K31" s="96"/>
      <c r="M31" s="98"/>
      <c r="N31" s="109"/>
      <c r="O31" s="109"/>
      <c r="P31" s="109"/>
      <c r="Q31" s="109"/>
      <c r="R31" s="83">
        <v>6</v>
      </c>
      <c r="S31" s="104" t="s">
        <v>161</v>
      </c>
      <c r="T31" s="101"/>
      <c r="U31" s="102"/>
      <c r="V31" s="102"/>
      <c r="W31" s="102"/>
      <c r="X31" s="102"/>
      <c r="Y31" s="102"/>
      <c r="Z31" s="102"/>
      <c r="AA31" s="102"/>
      <c r="AC31">
        <v>6</v>
      </c>
      <c r="AD31" s="98"/>
      <c r="AE31" s="96"/>
      <c r="AF31" s="103"/>
      <c r="AG31" s="103"/>
      <c r="AH31" s="103"/>
      <c r="AI31" s="103"/>
      <c r="AJ31" s="103"/>
      <c r="AK31" s="103"/>
      <c r="AL31" s="103"/>
      <c r="AO31" s="98" t="s">
        <v>162</v>
      </c>
      <c r="AP31" s="103"/>
      <c r="AQ31" s="103"/>
      <c r="AW31" s="96"/>
      <c r="AY31" s="96"/>
      <c r="BE31" s="96"/>
      <c r="BG31" s="96"/>
    </row>
    <row r="32" spans="2:59" x14ac:dyDescent="0.2">
      <c r="B32" s="98" t="s">
        <v>317</v>
      </c>
      <c r="C32" s="96"/>
      <c r="G32" s="96"/>
      <c r="H32" s="96"/>
      <c r="I32" s="96"/>
      <c r="J32" s="96"/>
      <c r="K32" s="96"/>
      <c r="R32" s="83">
        <v>7</v>
      </c>
      <c r="S32" s="104" t="s">
        <v>164</v>
      </c>
      <c r="T32" s="101"/>
      <c r="U32" s="102"/>
      <c r="V32" s="102"/>
      <c r="W32" s="102"/>
      <c r="X32" s="102"/>
      <c r="Y32" s="102"/>
      <c r="Z32" s="102"/>
      <c r="AA32" s="102"/>
      <c r="AC32">
        <v>7</v>
      </c>
      <c r="AD32" s="98"/>
      <c r="AE32" s="96"/>
      <c r="AF32" s="103"/>
      <c r="AG32" s="103"/>
      <c r="AH32" s="103"/>
      <c r="AI32" s="103"/>
      <c r="AJ32" s="103"/>
      <c r="AK32" s="103"/>
      <c r="AL32" s="103"/>
      <c r="AO32" s="98" t="s">
        <v>165</v>
      </c>
      <c r="AP32" s="103"/>
      <c r="AQ32" s="103"/>
      <c r="AW32" s="96"/>
      <c r="AY32" s="96"/>
      <c r="BE32" s="96"/>
      <c r="BG32" s="96"/>
    </row>
    <row r="33" spans="2:64" x14ac:dyDescent="0.2">
      <c r="B33" s="98" t="s">
        <v>318</v>
      </c>
      <c r="C33" s="96"/>
      <c r="G33" s="96"/>
      <c r="H33" s="96"/>
      <c r="I33" s="96"/>
      <c r="J33" s="96"/>
      <c r="K33" s="96"/>
      <c r="R33" s="83">
        <v>8</v>
      </c>
      <c r="S33" s="104"/>
      <c r="T33" s="101"/>
      <c r="U33" s="102"/>
      <c r="V33" s="102"/>
      <c r="W33" s="102"/>
      <c r="X33" s="102"/>
      <c r="Y33" s="102"/>
      <c r="Z33" s="102"/>
      <c r="AA33" s="102"/>
      <c r="AC33">
        <v>8</v>
      </c>
      <c r="AD33" s="98"/>
      <c r="AE33" s="96"/>
      <c r="AF33" s="96"/>
      <c r="AG33" s="96"/>
      <c r="AH33" s="96"/>
      <c r="AI33" s="96"/>
      <c r="AJ33" s="96"/>
      <c r="AK33" s="96"/>
      <c r="AL33" s="96"/>
      <c r="AO33" s="98" t="s">
        <v>167</v>
      </c>
      <c r="AP33" s="103"/>
      <c r="AQ33" s="103"/>
      <c r="AW33" s="96"/>
      <c r="AY33" s="96"/>
      <c r="BE33" s="96"/>
      <c r="BG33" s="96"/>
    </row>
    <row r="34" spans="2:64" x14ac:dyDescent="0.2">
      <c r="B34" s="98" t="s">
        <v>319</v>
      </c>
      <c r="C34" s="96"/>
      <c r="G34" s="96"/>
      <c r="H34" s="96"/>
      <c r="I34" s="96"/>
      <c r="J34" s="96"/>
      <c r="K34" s="96"/>
      <c r="R34" s="83">
        <v>9</v>
      </c>
      <c r="S34" s="104"/>
      <c r="T34" s="101"/>
      <c r="U34" s="102"/>
      <c r="V34" s="102"/>
      <c r="W34" s="102"/>
      <c r="X34" s="102"/>
      <c r="Y34" s="102"/>
      <c r="Z34" s="102"/>
      <c r="AA34" s="102"/>
      <c r="AC34">
        <v>9</v>
      </c>
      <c r="AD34" s="98"/>
      <c r="AE34" s="96"/>
      <c r="AF34" s="96"/>
      <c r="AG34" s="96"/>
      <c r="AH34" s="96"/>
      <c r="AI34" s="96"/>
      <c r="AJ34" s="96"/>
      <c r="AK34" s="96"/>
      <c r="AL34" s="96"/>
      <c r="AO34" s="98" t="s">
        <v>169</v>
      </c>
      <c r="AP34" s="103"/>
      <c r="AQ34" s="103"/>
      <c r="AW34" s="96"/>
      <c r="AY34" s="96"/>
      <c r="BE34" s="96"/>
      <c r="BG34" s="96"/>
    </row>
    <row r="35" spans="2:64" x14ac:dyDescent="0.2">
      <c r="B35" s="98" t="s">
        <v>320</v>
      </c>
      <c r="C35" s="96"/>
      <c r="G35" s="96"/>
      <c r="H35" s="96"/>
      <c r="I35" s="96"/>
      <c r="J35" s="96"/>
      <c r="K35" s="96"/>
      <c r="R35" s="83">
        <v>10</v>
      </c>
      <c r="S35" s="104"/>
      <c r="T35" s="101"/>
      <c r="U35" s="102"/>
      <c r="V35" s="102"/>
      <c r="W35" s="102"/>
      <c r="X35" s="102"/>
      <c r="Y35" s="102"/>
      <c r="Z35" s="102"/>
      <c r="AA35" s="102"/>
      <c r="AC35">
        <v>10</v>
      </c>
      <c r="AD35" s="98"/>
      <c r="AE35" s="96"/>
      <c r="AF35" s="96"/>
      <c r="AG35" s="96"/>
      <c r="AH35" s="96"/>
      <c r="AI35" s="96"/>
      <c r="AJ35" s="96"/>
      <c r="AK35" s="96"/>
      <c r="AL35" s="96"/>
      <c r="AO35" s="98" t="s">
        <v>171</v>
      </c>
      <c r="AP35" s="103"/>
      <c r="AQ35" s="103"/>
      <c r="AW35" s="96"/>
      <c r="AY35" s="96"/>
      <c r="BE35" s="96"/>
      <c r="BG35" s="96"/>
    </row>
    <row r="36" spans="2:64" x14ac:dyDescent="0.2">
      <c r="B36" s="98" t="s">
        <v>321</v>
      </c>
      <c r="C36" s="96"/>
      <c r="G36" s="96"/>
      <c r="H36" s="96"/>
      <c r="I36" s="96"/>
      <c r="J36" s="96"/>
      <c r="K36" s="96"/>
      <c r="R36" s="83">
        <v>11</v>
      </c>
      <c r="S36" s="104" t="s">
        <v>173</v>
      </c>
      <c r="T36" s="101"/>
      <c r="U36" s="102"/>
      <c r="V36" s="102"/>
      <c r="W36" s="102"/>
      <c r="X36" s="102"/>
      <c r="Y36" s="102"/>
      <c r="Z36" s="102"/>
      <c r="AA36" s="102"/>
      <c r="AC36">
        <v>11</v>
      </c>
      <c r="AD36" s="98"/>
      <c r="AE36" s="96"/>
      <c r="AF36" s="103"/>
      <c r="AG36" s="103"/>
      <c r="AH36" s="103"/>
      <c r="AI36" s="103"/>
      <c r="AJ36" s="103"/>
      <c r="AK36" s="103"/>
      <c r="AL36" s="103"/>
      <c r="AO36" s="98" t="s">
        <v>174</v>
      </c>
      <c r="AP36" s="103"/>
      <c r="AQ36" s="103"/>
      <c r="AW36" s="96"/>
      <c r="AY36" s="96"/>
      <c r="BE36" s="96"/>
      <c r="BG36" s="96"/>
    </row>
    <row r="37" spans="2:64" x14ac:dyDescent="0.2">
      <c r="B37" s="98" t="s">
        <v>140</v>
      </c>
      <c r="C37" s="99"/>
      <c r="G37" s="96"/>
      <c r="H37" s="96"/>
      <c r="I37" s="96"/>
      <c r="J37" s="96"/>
      <c r="K37" s="96"/>
      <c r="R37" s="83"/>
      <c r="S37" s="83"/>
      <c r="T37" s="83"/>
      <c r="U37" s="83"/>
      <c r="V37" s="83"/>
      <c r="W37" s="83"/>
      <c r="X37" s="83"/>
      <c r="Y37" s="83"/>
      <c r="Z37" s="83"/>
      <c r="AA37" s="83"/>
      <c r="AE37" s="40"/>
      <c r="AF37" s="40"/>
      <c r="AG37" s="40"/>
      <c r="AH37" s="40"/>
      <c r="AI37" s="40"/>
      <c r="AJ37" s="40"/>
      <c r="AK37" s="40"/>
      <c r="AL37" s="40"/>
      <c r="AO37" s="98" t="s">
        <v>176</v>
      </c>
      <c r="AP37" s="103"/>
      <c r="AQ37" s="103"/>
      <c r="AW37" s="96"/>
      <c r="AY37" s="96"/>
      <c r="BE37" s="96"/>
      <c r="BG37" s="96"/>
    </row>
    <row r="38" spans="2:64" x14ac:dyDescent="0.2">
      <c r="B38" s="98" t="s">
        <v>322</v>
      </c>
      <c r="C38" s="96"/>
      <c r="G38" s="96"/>
      <c r="H38" s="96"/>
      <c r="I38" s="96"/>
      <c r="J38" s="96"/>
      <c r="K38" s="96"/>
      <c r="R38" s="83"/>
      <c r="S38" s="83"/>
      <c r="T38" s="83"/>
      <c r="U38" s="83"/>
      <c r="V38" s="83"/>
      <c r="W38" s="83"/>
      <c r="X38" s="83"/>
      <c r="Y38" s="83"/>
      <c r="Z38" s="83"/>
      <c r="AA38" s="83"/>
      <c r="AE38" s="40"/>
      <c r="AF38" s="40"/>
      <c r="AG38" s="40"/>
      <c r="AH38" s="40"/>
      <c r="AI38" s="40"/>
      <c r="AJ38" s="40"/>
      <c r="AK38" s="40"/>
      <c r="AL38" s="40"/>
      <c r="AO38" s="98" t="s">
        <v>178</v>
      </c>
      <c r="AP38" s="103"/>
      <c r="AQ38" s="103"/>
      <c r="AW38" s="96"/>
      <c r="AY38" s="96"/>
      <c r="BE38" s="96"/>
      <c r="BG38" s="96"/>
    </row>
    <row r="39" spans="2:64" x14ac:dyDescent="0.2">
      <c r="B39" s="98" t="s">
        <v>166</v>
      </c>
      <c r="C39" s="96"/>
      <c r="G39" s="96"/>
      <c r="H39" s="96"/>
      <c r="I39" s="96"/>
      <c r="J39" s="96"/>
      <c r="K39" s="96"/>
      <c r="R39" s="83"/>
      <c r="S39" s="83"/>
      <c r="T39" s="83"/>
      <c r="U39" s="83"/>
      <c r="V39" s="83"/>
      <c r="W39" s="83"/>
      <c r="X39" s="83"/>
      <c r="Y39" s="83"/>
      <c r="Z39" s="83"/>
      <c r="AA39" s="83"/>
      <c r="AE39" s="40"/>
      <c r="AF39" s="40"/>
      <c r="AG39" s="40"/>
      <c r="AH39" s="40"/>
      <c r="AI39" s="40"/>
      <c r="AJ39" s="40"/>
      <c r="AK39" s="40"/>
      <c r="AL39" s="40"/>
      <c r="AO39" s="98" t="s">
        <v>180</v>
      </c>
      <c r="AP39" s="103"/>
      <c r="AQ39" s="103"/>
      <c r="AW39" s="96"/>
      <c r="AY39" s="96"/>
      <c r="BE39" s="96"/>
      <c r="BG39" s="96"/>
    </row>
    <row r="40" spans="2:64" x14ac:dyDescent="0.2">
      <c r="B40" s="98" t="s">
        <v>168</v>
      </c>
      <c r="C40" s="96"/>
      <c r="G40" s="96"/>
      <c r="H40" s="96"/>
      <c r="I40" s="96"/>
      <c r="J40" s="96"/>
      <c r="K40" s="96"/>
      <c r="R40" s="83"/>
      <c r="S40" s="83"/>
      <c r="T40" s="83"/>
      <c r="U40" s="83"/>
      <c r="V40" s="83"/>
      <c r="W40" s="83"/>
      <c r="X40" s="83"/>
      <c r="Y40" s="83"/>
      <c r="Z40" s="83"/>
      <c r="AA40" s="83"/>
      <c r="AE40" s="40"/>
      <c r="AF40" s="40"/>
      <c r="AG40" s="40"/>
      <c r="AH40" s="40"/>
      <c r="AI40" s="40"/>
      <c r="AJ40" s="40"/>
      <c r="AK40" s="40"/>
      <c r="AL40" s="40"/>
      <c r="AO40" s="98" t="s">
        <v>182</v>
      </c>
      <c r="AP40" s="103"/>
      <c r="AQ40" s="103"/>
      <c r="AV40" s="108" t="s">
        <v>8</v>
      </c>
      <c r="BD40" s="108" t="s">
        <v>9</v>
      </c>
    </row>
    <row r="41" spans="2:64" x14ac:dyDescent="0.2">
      <c r="B41" s="98" t="s">
        <v>170</v>
      </c>
      <c r="C41" s="100"/>
      <c r="G41" s="96"/>
      <c r="H41" s="96"/>
      <c r="I41" s="96"/>
      <c r="J41" s="96"/>
      <c r="K41" s="96"/>
      <c r="R41" s="83">
        <v>0</v>
      </c>
      <c r="S41" s="104" t="s">
        <v>184</v>
      </c>
      <c r="T41" s="101"/>
      <c r="U41" s="102"/>
      <c r="V41" s="102"/>
      <c r="W41" s="102"/>
      <c r="X41" s="102"/>
      <c r="Y41" s="102"/>
      <c r="Z41" s="102"/>
      <c r="AA41" s="102"/>
      <c r="AC41">
        <v>0</v>
      </c>
      <c r="AD41" s="98"/>
      <c r="AE41" s="96"/>
      <c r="AF41" s="103"/>
      <c r="AG41" s="103"/>
      <c r="AH41" s="103"/>
      <c r="AI41" s="103"/>
      <c r="AJ41" s="103"/>
      <c r="AK41" s="103"/>
      <c r="AL41" s="103"/>
      <c r="AO41" s="98" t="s">
        <v>185</v>
      </c>
      <c r="AP41" s="103"/>
      <c r="AQ41" s="103"/>
      <c r="AV41" t="s">
        <v>362</v>
      </c>
      <c r="AX41" t="s">
        <v>363</v>
      </c>
      <c r="BD41" t="s">
        <v>362</v>
      </c>
      <c r="BF41" t="s">
        <v>363</v>
      </c>
    </row>
    <row r="42" spans="2:64" x14ac:dyDescent="0.2">
      <c r="B42" s="98" t="s">
        <v>172</v>
      </c>
      <c r="C42" s="96"/>
      <c r="G42" s="96"/>
      <c r="H42" s="96"/>
      <c r="I42" s="96"/>
      <c r="J42" s="96"/>
      <c r="K42" s="96"/>
      <c r="R42" s="83">
        <v>1</v>
      </c>
      <c r="S42" s="104" t="s">
        <v>187</v>
      </c>
      <c r="T42" s="101"/>
      <c r="U42" s="102"/>
      <c r="V42" s="102"/>
      <c r="W42" s="102"/>
      <c r="X42" s="102"/>
      <c r="Y42" s="102"/>
      <c r="Z42" s="102"/>
      <c r="AA42" s="102"/>
      <c r="AC42">
        <v>1</v>
      </c>
      <c r="AD42" s="98"/>
      <c r="AE42" s="96"/>
      <c r="AF42" s="103"/>
      <c r="AG42" s="103"/>
      <c r="AH42" s="103"/>
      <c r="AI42" s="103"/>
      <c r="AJ42" s="103"/>
      <c r="AK42" s="103"/>
      <c r="AL42" s="103"/>
      <c r="AO42" s="98" t="s">
        <v>188</v>
      </c>
      <c r="AP42" s="103"/>
      <c r="AQ42" s="103"/>
    </row>
    <row r="43" spans="2:64" x14ac:dyDescent="0.2">
      <c r="B43" s="98" t="s">
        <v>175</v>
      </c>
      <c r="C43" s="96"/>
      <c r="G43" s="96"/>
      <c r="H43" s="96"/>
      <c r="I43" s="96"/>
      <c r="J43" s="96"/>
      <c r="K43" s="96"/>
      <c r="R43" s="83">
        <v>2</v>
      </c>
      <c r="S43" s="104" t="s">
        <v>190</v>
      </c>
      <c r="T43" s="101"/>
      <c r="U43" s="102"/>
      <c r="V43" s="102"/>
      <c r="W43" s="102"/>
      <c r="X43" s="102"/>
      <c r="Y43" s="102"/>
      <c r="Z43" s="102"/>
      <c r="AA43" s="102"/>
      <c r="AC43">
        <v>2</v>
      </c>
      <c r="AD43" s="98"/>
      <c r="AE43" s="96"/>
      <c r="AF43" s="103"/>
      <c r="AG43" s="103"/>
      <c r="AH43" s="103"/>
      <c r="AI43" s="103"/>
      <c r="AJ43" s="103"/>
      <c r="AK43" s="103"/>
      <c r="AL43" s="103"/>
      <c r="AO43" s="98" t="s">
        <v>191</v>
      </c>
      <c r="AP43" s="103"/>
      <c r="AQ43" s="103"/>
      <c r="AV43" s="98" t="s">
        <v>364</v>
      </c>
      <c r="AW43" s="96"/>
      <c r="AX43" s="98" t="s">
        <v>367</v>
      </c>
      <c r="AY43" s="96"/>
      <c r="BD43" s="98" t="s">
        <v>364</v>
      </c>
      <c r="BE43" s="96"/>
      <c r="BF43" s="98" t="s">
        <v>367</v>
      </c>
      <c r="BG43" s="96"/>
    </row>
    <row r="44" spans="2:64" x14ac:dyDescent="0.2">
      <c r="B44" s="98" t="s">
        <v>177</v>
      </c>
      <c r="C44" s="96"/>
      <c r="G44" s="96"/>
      <c r="H44" s="96"/>
      <c r="I44" s="96"/>
      <c r="J44" s="96"/>
      <c r="K44" s="96"/>
      <c r="R44" s="83">
        <v>3</v>
      </c>
      <c r="S44" s="104" t="s">
        <v>193</v>
      </c>
      <c r="T44" s="101"/>
      <c r="U44" s="102"/>
      <c r="V44" s="102"/>
      <c r="W44" s="102"/>
      <c r="X44" s="102"/>
      <c r="Y44" s="102"/>
      <c r="Z44" s="102"/>
      <c r="AA44" s="102"/>
      <c r="AC44">
        <v>3</v>
      </c>
      <c r="AD44" s="98"/>
      <c r="AE44" s="96"/>
      <c r="AF44" s="103"/>
      <c r="AG44" s="103"/>
      <c r="AH44" s="103"/>
      <c r="AI44" s="103"/>
      <c r="AJ44" s="103"/>
      <c r="AK44" s="103"/>
      <c r="AL44" s="103"/>
      <c r="AO44" s="98" t="s">
        <v>194</v>
      </c>
      <c r="AP44" s="103"/>
      <c r="AQ44" s="103"/>
      <c r="AV44" s="98" t="s">
        <v>365</v>
      </c>
      <c r="AW44" s="96"/>
      <c r="AX44" s="98" t="s">
        <v>368</v>
      </c>
      <c r="AY44" s="96"/>
      <c r="BD44" s="98" t="s">
        <v>365</v>
      </c>
      <c r="BE44" s="96"/>
      <c r="BF44" s="98" t="s">
        <v>368</v>
      </c>
      <c r="BG44" s="96"/>
    </row>
    <row r="45" spans="2:64" x14ac:dyDescent="0.2">
      <c r="B45" s="98" t="s">
        <v>179</v>
      </c>
      <c r="C45" s="96"/>
      <c r="G45" s="96"/>
      <c r="H45" s="96"/>
      <c r="I45" s="96"/>
      <c r="J45" s="96"/>
      <c r="K45" s="96"/>
      <c r="R45" s="83">
        <v>4</v>
      </c>
      <c r="S45" s="104" t="s">
        <v>196</v>
      </c>
      <c r="T45" s="101"/>
      <c r="U45" s="102"/>
      <c r="V45" s="102"/>
      <c r="W45" s="102"/>
      <c r="X45" s="102"/>
      <c r="Y45" s="102"/>
      <c r="Z45" s="102"/>
      <c r="AA45" s="102"/>
      <c r="AC45">
        <v>4</v>
      </c>
      <c r="AD45" s="98"/>
      <c r="AE45" s="96"/>
      <c r="AF45" s="103"/>
      <c r="AG45" s="103"/>
      <c r="AH45" s="103"/>
      <c r="AI45" s="103"/>
      <c r="AJ45" s="103"/>
      <c r="AK45" s="103"/>
      <c r="AL45" s="103"/>
      <c r="AO45" s="98" t="s">
        <v>197</v>
      </c>
      <c r="AP45" s="103"/>
      <c r="AQ45" s="103"/>
      <c r="AV45" s="98" t="s">
        <v>366</v>
      </c>
      <c r="AW45" s="96"/>
      <c r="AX45" s="98" t="s">
        <v>369</v>
      </c>
      <c r="AY45" s="96"/>
      <c r="BD45" s="98" t="s">
        <v>366</v>
      </c>
      <c r="BE45" s="96"/>
      <c r="BF45" s="98" t="s">
        <v>369</v>
      </c>
      <c r="BG45" s="96"/>
    </row>
    <row r="46" spans="2:64" x14ac:dyDescent="0.2">
      <c r="B46" s="98" t="s">
        <v>181</v>
      </c>
      <c r="C46" s="96"/>
      <c r="G46" s="96"/>
      <c r="H46" s="96"/>
      <c r="I46" s="96"/>
      <c r="J46" s="96"/>
      <c r="K46" s="96"/>
      <c r="R46" s="83">
        <v>5</v>
      </c>
      <c r="S46" s="104" t="s">
        <v>199</v>
      </c>
      <c r="T46" s="101"/>
      <c r="U46" s="102"/>
      <c r="V46" s="102"/>
      <c r="W46" s="102"/>
      <c r="X46" s="102"/>
      <c r="Y46" s="102"/>
      <c r="Z46" s="102"/>
      <c r="AA46" s="102"/>
      <c r="AC46">
        <v>5</v>
      </c>
      <c r="AD46" s="98"/>
      <c r="AE46" s="96"/>
      <c r="AF46" s="103"/>
      <c r="AG46" s="103"/>
      <c r="AH46" s="103"/>
      <c r="AI46" s="103"/>
      <c r="AJ46" s="103"/>
      <c r="AK46" s="103"/>
      <c r="AL46" s="103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</row>
    <row r="47" spans="2:64" x14ac:dyDescent="0.2">
      <c r="B47" s="98" t="s">
        <v>323</v>
      </c>
      <c r="C47" s="96"/>
      <c r="G47" s="96"/>
      <c r="H47" s="96"/>
      <c r="I47" s="96"/>
      <c r="J47" s="96"/>
      <c r="K47" s="96"/>
      <c r="R47" s="83">
        <v>6</v>
      </c>
      <c r="S47" s="104" t="s">
        <v>201</v>
      </c>
      <c r="T47" s="101"/>
      <c r="U47" s="102"/>
      <c r="V47" s="102"/>
      <c r="W47" s="102"/>
      <c r="X47" s="102"/>
      <c r="Y47" s="102"/>
      <c r="Z47" s="102"/>
      <c r="AA47" s="102"/>
      <c r="AC47">
        <v>6</v>
      </c>
      <c r="AD47" s="98"/>
      <c r="AE47" s="96"/>
      <c r="AF47" s="103"/>
      <c r="AG47" s="103"/>
      <c r="AH47" s="103"/>
      <c r="AI47" s="103"/>
      <c r="AJ47" s="103"/>
      <c r="AK47" s="103"/>
      <c r="AL47" s="103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</row>
    <row r="48" spans="2:64" x14ac:dyDescent="0.2">
      <c r="B48" s="98" t="s">
        <v>183</v>
      </c>
      <c r="C48" s="99"/>
      <c r="G48" s="96"/>
      <c r="H48" s="96"/>
      <c r="I48" s="96"/>
      <c r="J48" s="96"/>
      <c r="K48" s="96"/>
      <c r="R48" s="83">
        <v>7</v>
      </c>
      <c r="S48" s="104" t="s">
        <v>203</v>
      </c>
      <c r="T48" s="101"/>
      <c r="U48" s="102"/>
      <c r="V48" s="102"/>
      <c r="W48" s="102"/>
      <c r="X48" s="102"/>
      <c r="Y48" s="102"/>
      <c r="Z48" s="102"/>
      <c r="AA48" s="102"/>
      <c r="AC48">
        <v>7</v>
      </c>
      <c r="AD48" s="98"/>
      <c r="AE48" s="96"/>
      <c r="AF48" s="103"/>
      <c r="AG48" s="103"/>
      <c r="AH48" s="103"/>
      <c r="AI48" s="103"/>
      <c r="AJ48" s="103"/>
      <c r="AK48" s="103"/>
      <c r="AL48" s="103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</row>
    <row r="49" spans="2:38" x14ac:dyDescent="0.2">
      <c r="B49" s="98" t="s">
        <v>186</v>
      </c>
      <c r="C49" s="96"/>
      <c r="G49" s="96"/>
      <c r="H49" s="96"/>
      <c r="I49" s="96"/>
      <c r="J49" s="96"/>
      <c r="K49" s="96"/>
      <c r="R49" s="83">
        <v>8</v>
      </c>
      <c r="S49" s="104"/>
      <c r="T49" s="101"/>
      <c r="U49" s="102"/>
      <c r="V49" s="102"/>
      <c r="W49" s="102"/>
      <c r="X49" s="102"/>
      <c r="Y49" s="102"/>
      <c r="Z49" s="102"/>
      <c r="AA49" s="102"/>
      <c r="AC49">
        <v>8</v>
      </c>
      <c r="AD49" s="98"/>
      <c r="AE49" s="96"/>
      <c r="AF49" s="96"/>
      <c r="AG49" s="96"/>
      <c r="AH49" s="96"/>
      <c r="AI49" s="96"/>
      <c r="AJ49" s="96"/>
      <c r="AK49" s="96"/>
      <c r="AL49" s="96"/>
    </row>
    <row r="50" spans="2:38" x14ac:dyDescent="0.2">
      <c r="B50" s="98" t="s">
        <v>189</v>
      </c>
      <c r="C50" s="96"/>
      <c r="G50" s="96"/>
      <c r="H50" s="96"/>
      <c r="I50" s="96"/>
      <c r="J50" s="96"/>
      <c r="K50" s="96"/>
      <c r="R50" s="83">
        <v>9</v>
      </c>
      <c r="S50" s="104"/>
      <c r="T50" s="101"/>
      <c r="U50" s="102"/>
      <c r="V50" s="102"/>
      <c r="W50" s="102"/>
      <c r="X50" s="102"/>
      <c r="Y50" s="102"/>
      <c r="Z50" s="102"/>
      <c r="AA50" s="102"/>
      <c r="AC50">
        <v>9</v>
      </c>
      <c r="AD50" s="98"/>
      <c r="AE50" s="96"/>
      <c r="AF50" s="96"/>
      <c r="AG50" s="96"/>
      <c r="AH50" s="96"/>
      <c r="AI50" s="96"/>
      <c r="AJ50" s="96"/>
      <c r="AK50" s="96"/>
      <c r="AL50" s="96"/>
    </row>
    <row r="51" spans="2:38" x14ac:dyDescent="0.2">
      <c r="B51" s="98" t="s">
        <v>324</v>
      </c>
      <c r="C51" s="96"/>
      <c r="G51" s="96"/>
      <c r="H51" s="96"/>
      <c r="I51" s="96"/>
      <c r="J51" s="96"/>
      <c r="K51" s="96"/>
      <c r="R51" s="83">
        <v>10</v>
      </c>
      <c r="S51" s="104"/>
      <c r="T51" s="101"/>
      <c r="U51" s="102"/>
      <c r="V51" s="102"/>
      <c r="W51" s="102"/>
      <c r="X51" s="102"/>
      <c r="Y51" s="102"/>
      <c r="Z51" s="102"/>
      <c r="AA51" s="102"/>
      <c r="AC51">
        <v>10</v>
      </c>
      <c r="AD51" s="98"/>
      <c r="AE51" s="96"/>
      <c r="AF51" s="96"/>
      <c r="AG51" s="96"/>
      <c r="AH51" s="96"/>
      <c r="AI51" s="96"/>
      <c r="AJ51" s="96"/>
      <c r="AK51" s="96"/>
      <c r="AL51" s="96"/>
    </row>
    <row r="52" spans="2:38" x14ac:dyDescent="0.2">
      <c r="B52" s="98" t="s">
        <v>192</v>
      </c>
      <c r="C52" s="96"/>
      <c r="G52" s="96"/>
      <c r="H52" s="96"/>
      <c r="I52" s="96"/>
      <c r="J52" s="96"/>
      <c r="K52" s="96"/>
      <c r="R52">
        <v>11</v>
      </c>
      <c r="S52" s="98" t="s">
        <v>207</v>
      </c>
      <c r="T52" s="96"/>
      <c r="U52" s="103"/>
      <c r="V52" s="103"/>
      <c r="W52" s="103"/>
      <c r="X52" s="103"/>
      <c r="Y52" s="103"/>
      <c r="Z52" s="103"/>
      <c r="AA52" s="103"/>
      <c r="AC52">
        <v>11</v>
      </c>
      <c r="AD52" s="98"/>
      <c r="AE52" s="96"/>
      <c r="AF52" s="103"/>
      <c r="AG52" s="103"/>
      <c r="AH52" s="103"/>
      <c r="AI52" s="103"/>
      <c r="AJ52" s="103"/>
      <c r="AK52" s="103"/>
      <c r="AL52" s="103"/>
    </row>
    <row r="53" spans="2:38" x14ac:dyDescent="0.2">
      <c r="B53" s="98" t="s">
        <v>195</v>
      </c>
      <c r="C53" s="96"/>
      <c r="G53" s="96"/>
      <c r="H53" s="96"/>
      <c r="I53" s="96"/>
      <c r="J53" s="96"/>
      <c r="K53" s="96"/>
    </row>
    <row r="54" spans="2:38" x14ac:dyDescent="0.2">
      <c r="B54" s="98" t="s">
        <v>198</v>
      </c>
      <c r="C54" s="96"/>
      <c r="G54" s="96"/>
      <c r="H54" s="96"/>
      <c r="I54" s="96"/>
      <c r="J54" s="96"/>
      <c r="K54" s="96"/>
    </row>
    <row r="55" spans="2:38" x14ac:dyDescent="0.2">
      <c r="B55" s="98" t="s">
        <v>200</v>
      </c>
      <c r="C55" s="96"/>
      <c r="G55" s="96"/>
      <c r="H55" s="96"/>
      <c r="I55" s="96"/>
      <c r="J55" s="96"/>
      <c r="K55" s="96"/>
    </row>
    <row r="56" spans="2:38" x14ac:dyDescent="0.2">
      <c r="B56" s="98" t="s">
        <v>202</v>
      </c>
      <c r="C56" s="96"/>
      <c r="G56" s="96"/>
      <c r="H56" s="96"/>
      <c r="I56" s="96"/>
      <c r="J56" s="96"/>
      <c r="K56" s="96"/>
    </row>
    <row r="57" spans="2:38" x14ac:dyDescent="0.2">
      <c r="B57" s="98" t="s">
        <v>204</v>
      </c>
      <c r="C57" s="96"/>
      <c r="G57" s="96"/>
      <c r="H57" s="96"/>
      <c r="I57" s="96"/>
      <c r="J57" s="96"/>
      <c r="K57" s="96"/>
    </row>
    <row r="58" spans="2:38" x14ac:dyDescent="0.2">
      <c r="B58" s="98" t="s">
        <v>17</v>
      </c>
      <c r="C58" s="96"/>
      <c r="G58" s="96"/>
      <c r="H58" s="96"/>
      <c r="I58" s="96"/>
      <c r="J58" s="96"/>
      <c r="K58" s="96"/>
    </row>
    <row r="59" spans="2:38" x14ac:dyDescent="0.2">
      <c r="B59" s="98" t="s">
        <v>205</v>
      </c>
      <c r="C59" s="96"/>
      <c r="G59" s="96"/>
      <c r="H59" s="96"/>
      <c r="I59" s="96"/>
      <c r="J59" s="96"/>
      <c r="K59" s="96"/>
    </row>
    <row r="60" spans="2:38" x14ac:dyDescent="0.2">
      <c r="B60" s="98" t="s">
        <v>206</v>
      </c>
      <c r="C60" s="96"/>
      <c r="G60" s="96"/>
      <c r="H60" s="96"/>
      <c r="I60" s="96"/>
      <c r="J60" s="96"/>
      <c r="K60" s="96"/>
    </row>
    <row r="61" spans="2:38" x14ac:dyDescent="0.2">
      <c r="B61" s="98" t="s">
        <v>325</v>
      </c>
      <c r="C61" s="96"/>
      <c r="G61" s="96"/>
      <c r="H61" s="96"/>
      <c r="I61" s="96"/>
      <c r="J61" s="96"/>
      <c r="K61" s="96"/>
    </row>
    <row r="62" spans="2:38" x14ac:dyDescent="0.2">
      <c r="B62" s="98" t="s">
        <v>326</v>
      </c>
      <c r="C62" s="96"/>
      <c r="G62" s="96"/>
      <c r="H62" s="96"/>
      <c r="I62" s="96"/>
      <c r="J62" s="96"/>
      <c r="K62" s="96"/>
    </row>
    <row r="63" spans="2:38" x14ac:dyDescent="0.2">
      <c r="B63" s="98" t="s">
        <v>327</v>
      </c>
      <c r="C63" s="96"/>
      <c r="G63" s="96"/>
      <c r="H63" s="96"/>
      <c r="I63" s="96"/>
      <c r="J63" s="96"/>
      <c r="K63" s="96"/>
    </row>
    <row r="64" spans="2:38" x14ac:dyDescent="0.2">
      <c r="B64" s="98" t="s">
        <v>328</v>
      </c>
      <c r="C64" s="96"/>
      <c r="G64" s="96"/>
      <c r="H64" s="96"/>
      <c r="I64" s="96"/>
      <c r="J64" s="96"/>
      <c r="K64" s="96"/>
    </row>
    <row r="65" spans="2:38" x14ac:dyDescent="0.2">
      <c r="B65" s="98" t="s">
        <v>329</v>
      </c>
      <c r="C65" s="96"/>
      <c r="G65" s="96"/>
      <c r="H65" s="96"/>
      <c r="I65" s="96"/>
      <c r="J65" s="96"/>
      <c r="K65" s="96"/>
    </row>
    <row r="66" spans="2:38" x14ac:dyDescent="0.2">
      <c r="B66" s="98" t="s">
        <v>330</v>
      </c>
      <c r="C66" s="96"/>
      <c r="G66" s="96"/>
      <c r="H66" s="96"/>
      <c r="I66" s="96"/>
      <c r="J66" s="96"/>
      <c r="K66" s="96"/>
    </row>
    <row r="67" spans="2:38" x14ac:dyDescent="0.2">
      <c r="B67" s="98" t="s">
        <v>331</v>
      </c>
      <c r="C67" s="96"/>
      <c r="G67" s="96"/>
      <c r="H67" s="96"/>
      <c r="I67" s="96"/>
      <c r="J67" s="96"/>
      <c r="K67" s="96"/>
    </row>
    <row r="68" spans="2:38" x14ac:dyDescent="0.2">
      <c r="B68" s="98" t="s">
        <v>332</v>
      </c>
      <c r="C68" s="96"/>
      <c r="G68" s="96"/>
      <c r="H68" s="96"/>
      <c r="I68" s="96"/>
      <c r="J68" s="96"/>
      <c r="K68" s="96"/>
    </row>
    <row r="69" spans="2:38" x14ac:dyDescent="0.2">
      <c r="B69" s="98" t="s">
        <v>333</v>
      </c>
      <c r="C69" s="96"/>
      <c r="G69" s="96"/>
      <c r="H69" s="96"/>
      <c r="I69" s="96"/>
      <c r="J69" s="96"/>
      <c r="K69" s="96"/>
    </row>
    <row r="70" spans="2:38" x14ac:dyDescent="0.2">
      <c r="B70" s="98" t="s">
        <v>334</v>
      </c>
      <c r="C70" s="96"/>
      <c r="G70" s="96"/>
      <c r="H70" s="96"/>
      <c r="I70" s="96"/>
      <c r="J70" s="96"/>
      <c r="K70" s="96"/>
    </row>
    <row r="71" spans="2:38" x14ac:dyDescent="0.2">
      <c r="B71" s="98" t="s">
        <v>335</v>
      </c>
      <c r="C71" s="96"/>
      <c r="G71" s="96"/>
      <c r="H71" s="96"/>
      <c r="I71" s="96"/>
      <c r="J71" s="96"/>
      <c r="K71" s="96"/>
      <c r="AF71" s="95"/>
      <c r="AG71" s="95"/>
      <c r="AH71" s="95"/>
      <c r="AI71" s="95"/>
      <c r="AJ71" s="95"/>
      <c r="AK71" s="95"/>
      <c r="AL71" s="95"/>
    </row>
    <row r="72" spans="2:38" x14ac:dyDescent="0.2">
      <c r="B72" s="98" t="s">
        <v>336</v>
      </c>
      <c r="C72" s="96"/>
      <c r="G72" s="96"/>
      <c r="H72" s="96"/>
      <c r="I72" s="96"/>
      <c r="J72" s="96"/>
      <c r="K72" s="96"/>
    </row>
    <row r="73" spans="2:38" x14ac:dyDescent="0.2">
      <c r="B73" s="98" t="s">
        <v>337</v>
      </c>
      <c r="C73" s="96"/>
      <c r="G73" s="96"/>
      <c r="H73" s="96"/>
      <c r="I73" s="96"/>
      <c r="J73" s="96"/>
      <c r="K73" s="96"/>
    </row>
    <row r="74" spans="2:38" x14ac:dyDescent="0.2">
      <c r="B74" s="98" t="s">
        <v>142</v>
      </c>
      <c r="C74" s="96"/>
      <c r="G74" s="96"/>
      <c r="H74" s="96"/>
      <c r="I74" s="96"/>
      <c r="J74" s="96"/>
      <c r="K74" s="96"/>
    </row>
    <row r="75" spans="2:38" x14ac:dyDescent="0.2">
      <c r="B75" s="98" t="s">
        <v>302</v>
      </c>
      <c r="C75" s="96"/>
      <c r="G75" s="96"/>
      <c r="H75" s="96"/>
      <c r="I75" s="96"/>
      <c r="J75" s="96"/>
      <c r="K75" s="96"/>
    </row>
    <row r="76" spans="2:38" x14ac:dyDescent="0.2">
      <c r="B76" s="98" t="s">
        <v>145</v>
      </c>
      <c r="C76" s="96"/>
      <c r="G76" s="96"/>
      <c r="H76" s="96"/>
      <c r="I76" s="96"/>
      <c r="J76" s="96"/>
      <c r="K76" s="96"/>
      <c r="AF76" s="95"/>
      <c r="AG76" s="95"/>
      <c r="AH76" s="95"/>
      <c r="AI76" s="95"/>
      <c r="AJ76" s="95"/>
      <c r="AK76" s="95"/>
      <c r="AL76" s="95"/>
    </row>
    <row r="77" spans="2:38" x14ac:dyDescent="0.2">
      <c r="B77" s="98" t="s">
        <v>148</v>
      </c>
      <c r="C77" s="96"/>
      <c r="G77" s="96"/>
      <c r="H77" s="96"/>
      <c r="I77" s="96"/>
      <c r="J77" s="96"/>
      <c r="K77" s="96"/>
      <c r="AF77" s="95"/>
      <c r="AG77" s="95"/>
      <c r="AH77" s="95"/>
      <c r="AI77" s="95"/>
      <c r="AJ77" s="95"/>
      <c r="AK77" s="95"/>
      <c r="AL77" s="95"/>
    </row>
    <row r="78" spans="2:38" x14ac:dyDescent="0.2">
      <c r="B78" s="98" t="s">
        <v>151</v>
      </c>
      <c r="C78" s="96"/>
      <c r="G78" s="96"/>
      <c r="H78" s="96"/>
      <c r="I78" s="96"/>
      <c r="J78" s="96"/>
      <c r="K78" s="96"/>
      <c r="AF78" s="95"/>
      <c r="AG78" s="95"/>
      <c r="AH78" s="95"/>
      <c r="AI78" s="95"/>
      <c r="AJ78" s="95"/>
      <c r="AK78" s="95"/>
      <c r="AL78" s="95"/>
    </row>
    <row r="79" spans="2:38" x14ac:dyDescent="0.2">
      <c r="B79" s="98" t="s">
        <v>154</v>
      </c>
      <c r="C79" s="96"/>
      <c r="G79" s="96"/>
      <c r="H79" s="96"/>
      <c r="I79" s="96"/>
      <c r="J79" s="96"/>
      <c r="K79" s="96"/>
      <c r="AF79" s="95"/>
      <c r="AG79" s="95"/>
      <c r="AH79" s="95"/>
      <c r="AI79" s="95"/>
      <c r="AJ79" s="95"/>
      <c r="AK79" s="95"/>
      <c r="AL79" s="95"/>
    </row>
    <row r="80" spans="2:38" x14ac:dyDescent="0.2">
      <c r="B80" s="98" t="s">
        <v>157</v>
      </c>
      <c r="C80" s="96"/>
      <c r="G80" s="96"/>
      <c r="H80" s="96"/>
      <c r="I80" s="96"/>
      <c r="J80" s="96"/>
      <c r="K80" s="96"/>
      <c r="AF80" s="95"/>
      <c r="AG80" s="95"/>
      <c r="AH80" s="95"/>
      <c r="AI80" s="95"/>
      <c r="AJ80" s="95"/>
      <c r="AK80" s="95"/>
      <c r="AL80" s="95"/>
    </row>
    <row r="81" spans="2:38" x14ac:dyDescent="0.2">
      <c r="B81" s="98" t="s">
        <v>160</v>
      </c>
      <c r="C81" s="96"/>
      <c r="G81" s="96"/>
      <c r="H81" s="96"/>
      <c r="I81" s="96"/>
      <c r="J81" s="96"/>
      <c r="K81" s="96"/>
      <c r="AF81" s="95"/>
      <c r="AG81" s="95"/>
      <c r="AH81" s="95"/>
      <c r="AI81" s="95"/>
      <c r="AJ81" s="95"/>
      <c r="AK81" s="95"/>
      <c r="AL81" s="95"/>
    </row>
    <row r="82" spans="2:38" x14ac:dyDescent="0.2">
      <c r="B82" s="98" t="s">
        <v>163</v>
      </c>
      <c r="C82" s="96"/>
      <c r="G82" s="96"/>
      <c r="H82" s="96"/>
      <c r="I82" s="96"/>
      <c r="J82" s="96"/>
      <c r="K82" s="96"/>
      <c r="AF82" s="95"/>
      <c r="AG82" s="95"/>
      <c r="AH82" s="95"/>
      <c r="AI82" s="95"/>
      <c r="AJ82" s="95"/>
      <c r="AK82" s="95"/>
      <c r="AL82" s="95"/>
    </row>
    <row r="83" spans="2:38" x14ac:dyDescent="0.2">
      <c r="G83" s="96"/>
      <c r="H83" s="96"/>
      <c r="I83" s="96"/>
      <c r="J83" s="96"/>
      <c r="K83" s="96"/>
      <c r="AF83" s="95"/>
      <c r="AG83" s="95"/>
      <c r="AH83" s="95"/>
      <c r="AI83" s="95"/>
      <c r="AJ83" s="95"/>
      <c r="AK83" s="95"/>
      <c r="AL83" s="95"/>
    </row>
    <row r="84" spans="2:38" x14ac:dyDescent="0.2">
      <c r="G84" s="96"/>
      <c r="H84" s="96"/>
      <c r="I84" s="96"/>
      <c r="J84" s="96"/>
      <c r="K84" s="96"/>
    </row>
    <row r="85" spans="2:38" x14ac:dyDescent="0.2">
      <c r="G85" s="96"/>
      <c r="H85" s="96"/>
      <c r="I85" s="96"/>
      <c r="J85" s="96"/>
      <c r="K85" s="96"/>
    </row>
    <row r="86" spans="2:38" x14ac:dyDescent="0.2">
      <c r="G86" s="96"/>
      <c r="H86" s="96"/>
      <c r="I86" s="96"/>
      <c r="J86" s="96"/>
      <c r="K86" s="96"/>
    </row>
    <row r="87" spans="2:38" x14ac:dyDescent="0.2">
      <c r="G87" s="96"/>
      <c r="H87" s="96"/>
      <c r="I87" s="96"/>
      <c r="J87" s="96"/>
      <c r="K87" s="96"/>
      <c r="AF87" s="95"/>
      <c r="AG87" s="95"/>
      <c r="AH87" s="95"/>
      <c r="AI87" s="95"/>
      <c r="AJ87" s="95"/>
      <c r="AK87" s="95"/>
      <c r="AL87" s="95"/>
    </row>
    <row r="88" spans="2:38" x14ac:dyDescent="0.2">
      <c r="G88" s="96"/>
      <c r="H88" s="96"/>
      <c r="I88" s="96"/>
      <c r="J88" s="96"/>
      <c r="K88" s="96"/>
    </row>
    <row r="89" spans="2:38" x14ac:dyDescent="0.2">
      <c r="G89" s="96"/>
      <c r="H89" s="96"/>
      <c r="I89" s="96"/>
      <c r="J89" s="96"/>
      <c r="K89" s="96"/>
    </row>
    <row r="90" spans="2:38" x14ac:dyDescent="0.2">
      <c r="G90" s="96"/>
      <c r="H90" s="96"/>
      <c r="I90" s="96"/>
      <c r="J90" s="96"/>
      <c r="K90" s="96"/>
    </row>
    <row r="91" spans="2:38" x14ac:dyDescent="0.2">
      <c r="G91" s="96"/>
      <c r="H91" s="96"/>
      <c r="I91" s="96"/>
      <c r="J91" s="96"/>
      <c r="K91" s="96"/>
    </row>
    <row r="92" spans="2:38" x14ac:dyDescent="0.2">
      <c r="G92" s="96"/>
      <c r="H92" s="96"/>
      <c r="I92" s="96"/>
      <c r="J92" s="96"/>
      <c r="K92" s="96"/>
    </row>
    <row r="93" spans="2:38" x14ac:dyDescent="0.2">
      <c r="G93" s="96"/>
      <c r="H93" s="96"/>
      <c r="I93" s="96"/>
      <c r="J93" s="96"/>
      <c r="K93" s="96"/>
    </row>
    <row r="94" spans="2:38" x14ac:dyDescent="0.2">
      <c r="G94" s="96"/>
      <c r="H94" s="96"/>
      <c r="I94" s="96"/>
      <c r="J94" s="96"/>
      <c r="K94" s="96"/>
    </row>
    <row r="95" spans="2:38" x14ac:dyDescent="0.2">
      <c r="G95" s="96"/>
      <c r="H95" s="96"/>
      <c r="I95" s="96"/>
      <c r="J95" s="96"/>
      <c r="K95" s="96"/>
    </row>
    <row r="96" spans="2:38" x14ac:dyDescent="0.2">
      <c r="G96" s="96"/>
      <c r="H96" s="96"/>
      <c r="I96" s="96"/>
      <c r="J96" s="96"/>
      <c r="K96" s="96"/>
    </row>
    <row r="97" spans="7:11" x14ac:dyDescent="0.2">
      <c r="G97" s="96"/>
      <c r="H97" s="96"/>
      <c r="I97" s="96"/>
      <c r="J97" s="96"/>
      <c r="K97" s="96"/>
    </row>
    <row r="98" spans="7:11" x14ac:dyDescent="0.2">
      <c r="G98" s="96"/>
      <c r="H98" s="96"/>
      <c r="I98" s="96"/>
      <c r="J98" s="96"/>
      <c r="K98" s="96"/>
    </row>
    <row r="99" spans="7:11" x14ac:dyDescent="0.2">
      <c r="G99" s="96"/>
      <c r="H99" s="96"/>
      <c r="I99" s="96"/>
      <c r="J99" s="96"/>
      <c r="K99" s="96"/>
    </row>
    <row r="100" spans="7:11" x14ac:dyDescent="0.2">
      <c r="G100" s="96"/>
      <c r="H100" s="96"/>
      <c r="I100" s="96"/>
      <c r="J100" s="96"/>
      <c r="K100" s="96"/>
    </row>
    <row r="101" spans="7:11" x14ac:dyDescent="0.2">
      <c r="G101" s="96"/>
      <c r="H101" s="96"/>
      <c r="I101" s="96"/>
      <c r="J101" s="96"/>
      <c r="K101" s="96"/>
    </row>
    <row r="102" spans="7:11" x14ac:dyDescent="0.2">
      <c r="G102" s="96"/>
      <c r="H102" s="96"/>
      <c r="I102" s="96"/>
      <c r="J102" s="96"/>
      <c r="K102" s="96"/>
    </row>
    <row r="103" spans="7:11" x14ac:dyDescent="0.2">
      <c r="G103" s="96"/>
      <c r="H103" s="96"/>
      <c r="I103" s="96"/>
      <c r="J103" s="96"/>
      <c r="K103" s="96"/>
    </row>
    <row r="104" spans="7:11" x14ac:dyDescent="0.2">
      <c r="G104" s="96"/>
      <c r="H104" s="96"/>
      <c r="I104" s="96"/>
      <c r="J104" s="96"/>
      <c r="K104" s="96"/>
    </row>
    <row r="105" spans="7:11" x14ac:dyDescent="0.2">
      <c r="G105" s="96"/>
      <c r="H105" s="96"/>
      <c r="I105" s="96"/>
      <c r="J105" s="96"/>
      <c r="K105" s="96"/>
    </row>
    <row r="106" spans="7:11" x14ac:dyDescent="0.2">
      <c r="G106" s="96"/>
      <c r="H106" s="96"/>
      <c r="I106" s="96"/>
      <c r="J106" s="96"/>
      <c r="K106" s="96"/>
    </row>
    <row r="107" spans="7:11" x14ac:dyDescent="0.2">
      <c r="G107" s="96"/>
      <c r="H107" s="96"/>
      <c r="I107" s="96"/>
      <c r="J107" s="96"/>
      <c r="K107" s="96"/>
    </row>
    <row r="108" spans="7:11" x14ac:dyDescent="0.2">
      <c r="G108" s="96"/>
      <c r="H108" s="96"/>
      <c r="I108" s="96"/>
      <c r="J108" s="96"/>
      <c r="K108" s="96"/>
    </row>
    <row r="109" spans="7:11" x14ac:dyDescent="0.2">
      <c r="G109" s="96"/>
      <c r="H109" s="96"/>
      <c r="I109" s="96"/>
      <c r="J109" s="96"/>
      <c r="K109" s="96"/>
    </row>
    <row r="110" spans="7:11" x14ac:dyDescent="0.2">
      <c r="G110" s="96"/>
      <c r="H110" s="96"/>
      <c r="I110" s="96"/>
      <c r="J110" s="96"/>
      <c r="K110" s="96"/>
    </row>
    <row r="111" spans="7:11" x14ac:dyDescent="0.2">
      <c r="G111" s="96"/>
      <c r="H111" s="96"/>
      <c r="I111" s="96"/>
      <c r="J111" s="96"/>
      <c r="K111" s="96"/>
    </row>
    <row r="112" spans="7:11" x14ac:dyDescent="0.2">
      <c r="G112" s="96"/>
      <c r="H112" s="96"/>
      <c r="I112" s="96"/>
      <c r="J112" s="96"/>
      <c r="K112" s="96"/>
    </row>
    <row r="113" spans="7:11" x14ac:dyDescent="0.2">
      <c r="G113" s="96"/>
      <c r="H113" s="96"/>
      <c r="I113" s="96"/>
      <c r="J113" s="96"/>
      <c r="K113" s="96"/>
    </row>
    <row r="114" spans="7:11" x14ac:dyDescent="0.2">
      <c r="G114" s="96"/>
      <c r="H114" s="96"/>
      <c r="I114" s="96"/>
      <c r="J114" s="96"/>
      <c r="K114" s="96"/>
    </row>
    <row r="115" spans="7:11" x14ac:dyDescent="0.2">
      <c r="G115" s="96"/>
      <c r="H115" s="96"/>
      <c r="I115" s="96"/>
      <c r="J115" s="96"/>
      <c r="K115" s="96"/>
    </row>
    <row r="116" spans="7:11" x14ac:dyDescent="0.2">
      <c r="G116" s="96"/>
      <c r="H116" s="96"/>
      <c r="I116" s="96"/>
      <c r="J116" s="96"/>
      <c r="K116" s="96"/>
    </row>
    <row r="117" spans="7:11" x14ac:dyDescent="0.2">
      <c r="G117" s="96"/>
      <c r="H117" s="96"/>
      <c r="I117" s="96"/>
      <c r="J117" s="96"/>
      <c r="K117" s="96"/>
    </row>
    <row r="118" spans="7:11" x14ac:dyDescent="0.2">
      <c r="G118" s="96"/>
      <c r="H118" s="96"/>
      <c r="I118" s="96"/>
      <c r="J118" s="96"/>
      <c r="K118" s="96"/>
    </row>
    <row r="119" spans="7:11" x14ac:dyDescent="0.2">
      <c r="G119" s="96"/>
      <c r="H119" s="96"/>
      <c r="I119" s="96"/>
      <c r="J119" s="96"/>
      <c r="K119" s="96"/>
    </row>
    <row r="120" spans="7:11" x14ac:dyDescent="0.2">
      <c r="G120" s="96"/>
      <c r="H120" s="96"/>
      <c r="I120" s="96"/>
      <c r="J120" s="96"/>
      <c r="K120" s="96"/>
    </row>
    <row r="121" spans="7:11" x14ac:dyDescent="0.2">
      <c r="G121" s="96"/>
      <c r="H121" s="96"/>
      <c r="I121" s="96"/>
      <c r="J121" s="96"/>
      <c r="K121" s="96"/>
    </row>
    <row r="122" spans="7:11" x14ac:dyDescent="0.2">
      <c r="G122" s="96"/>
      <c r="H122" s="96"/>
      <c r="I122" s="96"/>
      <c r="J122" s="96"/>
      <c r="K122" s="96"/>
    </row>
    <row r="123" spans="7:11" x14ac:dyDescent="0.2">
      <c r="G123" s="96"/>
      <c r="H123" s="96"/>
      <c r="I123" s="96"/>
      <c r="J123" s="96"/>
      <c r="K123" s="96"/>
    </row>
    <row r="124" spans="7:11" x14ac:dyDescent="0.2">
      <c r="G124" s="96"/>
      <c r="H124" s="96"/>
      <c r="I124" s="96"/>
      <c r="J124" s="96"/>
      <c r="K124" s="96"/>
    </row>
    <row r="125" spans="7:11" x14ac:dyDescent="0.2">
      <c r="G125" s="96"/>
      <c r="H125" s="96"/>
      <c r="I125" s="96"/>
      <c r="J125" s="96"/>
      <c r="K125" s="96"/>
    </row>
    <row r="126" spans="7:11" x14ac:dyDescent="0.2">
      <c r="G126" s="96"/>
      <c r="H126" s="96"/>
      <c r="I126" s="96"/>
      <c r="J126" s="96"/>
      <c r="K126" s="96"/>
    </row>
    <row r="127" spans="7:11" x14ac:dyDescent="0.2">
      <c r="G127" s="96"/>
      <c r="H127" s="96"/>
      <c r="I127" s="96"/>
      <c r="J127" s="96"/>
      <c r="K127" s="96"/>
    </row>
    <row r="128" spans="7:11" x14ac:dyDescent="0.2">
      <c r="G128" s="96"/>
      <c r="H128" s="96"/>
      <c r="I128" s="96"/>
      <c r="J128" s="96"/>
      <c r="K128" s="96"/>
    </row>
    <row r="129" spans="7:11" x14ac:dyDescent="0.2">
      <c r="G129" s="96"/>
      <c r="H129" s="96"/>
      <c r="I129" s="96"/>
      <c r="J129" s="96"/>
      <c r="K129" s="96"/>
    </row>
    <row r="130" spans="7:11" x14ac:dyDescent="0.2">
      <c r="G130" s="96"/>
      <c r="H130" s="96"/>
      <c r="I130" s="96"/>
      <c r="J130" s="96"/>
      <c r="K130" s="96"/>
    </row>
    <row r="131" spans="7:11" x14ac:dyDescent="0.2">
      <c r="G131" s="96"/>
      <c r="H131" s="96"/>
      <c r="I131" s="96"/>
      <c r="J131" s="96"/>
      <c r="K131" s="96"/>
    </row>
    <row r="132" spans="7:11" x14ac:dyDescent="0.2">
      <c r="G132" s="96"/>
      <c r="H132" s="96"/>
      <c r="I132" s="96"/>
      <c r="J132" s="96"/>
      <c r="K132" s="96"/>
    </row>
    <row r="133" spans="7:11" x14ac:dyDescent="0.2">
      <c r="G133" s="96"/>
      <c r="H133" s="96"/>
      <c r="I133" s="96"/>
      <c r="J133" s="96"/>
      <c r="K133" s="96"/>
    </row>
    <row r="134" spans="7:11" x14ac:dyDescent="0.2">
      <c r="G134" s="96"/>
      <c r="H134" s="96"/>
      <c r="I134" s="96"/>
      <c r="J134" s="96"/>
      <c r="K134" s="96"/>
    </row>
    <row r="135" spans="7:11" x14ac:dyDescent="0.2">
      <c r="G135" s="96"/>
      <c r="H135" s="96"/>
      <c r="I135" s="96"/>
      <c r="J135" s="96"/>
      <c r="K135" s="96"/>
    </row>
    <row r="136" spans="7:11" x14ac:dyDescent="0.2">
      <c r="G136" s="96"/>
      <c r="H136" s="96"/>
      <c r="I136" s="96"/>
      <c r="J136" s="96"/>
      <c r="K136" s="96"/>
    </row>
    <row r="137" spans="7:11" x14ac:dyDescent="0.2">
      <c r="G137" s="96"/>
      <c r="H137" s="96"/>
      <c r="I137" s="96"/>
      <c r="J137" s="96"/>
      <c r="K137" s="96"/>
    </row>
    <row r="138" spans="7:11" x14ac:dyDescent="0.2">
      <c r="G138" s="96"/>
      <c r="H138" s="96"/>
      <c r="I138" s="96"/>
      <c r="J138" s="96"/>
      <c r="K138" s="96"/>
    </row>
    <row r="139" spans="7:11" x14ac:dyDescent="0.2">
      <c r="G139" s="96"/>
      <c r="H139" s="96"/>
      <c r="I139" s="96"/>
      <c r="J139" s="96"/>
      <c r="K139" s="96"/>
    </row>
    <row r="140" spans="7:11" x14ac:dyDescent="0.2">
      <c r="G140" s="96"/>
      <c r="H140" s="96"/>
      <c r="I140" s="96"/>
      <c r="J140" s="96"/>
      <c r="K140" s="96"/>
    </row>
    <row r="141" spans="7:11" x14ac:dyDescent="0.2">
      <c r="G141" s="96"/>
      <c r="H141" s="96"/>
      <c r="I141" s="96"/>
      <c r="J141" s="96"/>
      <c r="K141" s="96"/>
    </row>
    <row r="142" spans="7:11" x14ac:dyDescent="0.2">
      <c r="G142" s="96"/>
      <c r="H142" s="96"/>
      <c r="I142" s="96"/>
      <c r="J142" s="96"/>
      <c r="K142" s="96"/>
    </row>
    <row r="143" spans="7:11" x14ac:dyDescent="0.2">
      <c r="G143" s="96"/>
      <c r="H143" s="96"/>
      <c r="I143" s="96"/>
      <c r="J143" s="96"/>
      <c r="K143" s="96"/>
    </row>
    <row r="144" spans="7:11" x14ac:dyDescent="0.2">
      <c r="G144" s="96"/>
      <c r="H144" s="96"/>
      <c r="I144" s="96"/>
      <c r="J144" s="96"/>
      <c r="K144" s="96"/>
    </row>
    <row r="145" spans="7:11" x14ac:dyDescent="0.2">
      <c r="G145" s="96"/>
      <c r="H145" s="96"/>
      <c r="I145" s="96"/>
      <c r="J145" s="96"/>
      <c r="K145" s="96"/>
    </row>
    <row r="146" spans="7:11" x14ac:dyDescent="0.2">
      <c r="G146" s="96"/>
      <c r="H146" s="96"/>
      <c r="I146" s="96"/>
      <c r="J146" s="96"/>
      <c r="K146" s="96"/>
    </row>
    <row r="147" spans="7:11" x14ac:dyDescent="0.2">
      <c r="G147" s="96"/>
      <c r="H147" s="96"/>
      <c r="I147" s="96"/>
      <c r="J147" s="96"/>
      <c r="K147" s="96"/>
    </row>
    <row r="148" spans="7:11" x14ac:dyDescent="0.2">
      <c r="G148" s="96"/>
      <c r="H148" s="96"/>
      <c r="I148" s="96"/>
      <c r="J148" s="96"/>
      <c r="K148" s="96"/>
    </row>
    <row r="149" spans="7:11" x14ac:dyDescent="0.2">
      <c r="G149" s="96"/>
      <c r="H149" s="96"/>
      <c r="I149" s="96"/>
      <c r="J149" s="96"/>
      <c r="K149" s="96"/>
    </row>
    <row r="150" spans="7:11" x14ac:dyDescent="0.2">
      <c r="G150" s="96"/>
      <c r="H150" s="96"/>
      <c r="I150" s="96"/>
      <c r="J150" s="96"/>
      <c r="K150" s="96"/>
    </row>
    <row r="151" spans="7:11" x14ac:dyDescent="0.2">
      <c r="G151" s="96"/>
      <c r="H151" s="96"/>
      <c r="I151" s="96"/>
      <c r="J151" s="96"/>
      <c r="K151" s="96"/>
    </row>
    <row r="152" spans="7:11" x14ac:dyDescent="0.2">
      <c r="G152" s="96"/>
      <c r="H152" s="96"/>
      <c r="I152" s="96"/>
      <c r="J152" s="96"/>
      <c r="K152" s="96"/>
    </row>
    <row r="153" spans="7:11" x14ac:dyDescent="0.2">
      <c r="G153" s="96"/>
      <c r="H153" s="96"/>
      <c r="I153" s="96"/>
      <c r="J153" s="96"/>
      <c r="K153" s="96"/>
    </row>
    <row r="154" spans="7:11" x14ac:dyDescent="0.2">
      <c r="G154" s="96"/>
      <c r="H154" s="96"/>
      <c r="I154" s="96"/>
      <c r="J154" s="96"/>
      <c r="K154" s="96"/>
    </row>
    <row r="155" spans="7:11" x14ac:dyDescent="0.2">
      <c r="G155" s="96"/>
      <c r="H155" s="96"/>
      <c r="I155" s="96"/>
      <c r="J155" s="96"/>
      <c r="K155" s="96"/>
    </row>
    <row r="156" spans="7:11" x14ac:dyDescent="0.2">
      <c r="G156" s="96"/>
      <c r="H156" s="96"/>
      <c r="I156" s="96"/>
      <c r="J156" s="96"/>
      <c r="K156" s="96"/>
    </row>
    <row r="157" spans="7:11" x14ac:dyDescent="0.2">
      <c r="G157" s="96"/>
      <c r="H157" s="96"/>
      <c r="I157" s="96"/>
      <c r="J157" s="96"/>
      <c r="K157" s="96"/>
    </row>
    <row r="158" spans="7:11" x14ac:dyDescent="0.2">
      <c r="G158" s="96"/>
      <c r="H158" s="96"/>
      <c r="I158" s="96"/>
      <c r="J158" s="96"/>
      <c r="K158" s="96"/>
    </row>
    <row r="159" spans="7:11" x14ac:dyDescent="0.2">
      <c r="G159" s="96"/>
      <c r="H159" s="96"/>
      <c r="I159" s="96"/>
      <c r="J159" s="96"/>
      <c r="K159" s="96"/>
    </row>
    <row r="160" spans="7:11" x14ac:dyDescent="0.2">
      <c r="G160" s="96"/>
      <c r="H160" s="96"/>
      <c r="I160" s="96"/>
      <c r="J160" s="96"/>
      <c r="K160" s="96"/>
    </row>
    <row r="161" spans="7:11" x14ac:dyDescent="0.2">
      <c r="G161" s="96"/>
      <c r="H161" s="96"/>
      <c r="I161" s="96"/>
      <c r="J161" s="96"/>
      <c r="K161" s="96"/>
    </row>
    <row r="162" spans="7:11" x14ac:dyDescent="0.2">
      <c r="G162" s="96"/>
      <c r="H162" s="96"/>
      <c r="I162" s="96"/>
      <c r="J162" s="96"/>
      <c r="K162" s="96"/>
    </row>
    <row r="163" spans="7:11" x14ac:dyDescent="0.2">
      <c r="G163" s="96"/>
      <c r="H163" s="96"/>
      <c r="I163" s="96"/>
      <c r="J163" s="96"/>
      <c r="K163" s="96"/>
    </row>
    <row r="164" spans="7:11" x14ac:dyDescent="0.2">
      <c r="G164" s="96"/>
      <c r="H164" s="96"/>
      <c r="I164" s="96"/>
      <c r="J164" s="96"/>
      <c r="K164" s="96"/>
    </row>
    <row r="165" spans="7:11" x14ac:dyDescent="0.2">
      <c r="G165" s="96"/>
      <c r="H165" s="96"/>
      <c r="I165" s="96"/>
      <c r="J165" s="96"/>
      <c r="K165" s="96"/>
    </row>
    <row r="166" spans="7:11" x14ac:dyDescent="0.2">
      <c r="G166" s="96"/>
      <c r="H166" s="96"/>
      <c r="I166" s="96"/>
      <c r="J166" s="96"/>
      <c r="K166" s="96"/>
    </row>
    <row r="167" spans="7:11" x14ac:dyDescent="0.2">
      <c r="G167" s="96"/>
      <c r="H167" s="96"/>
      <c r="I167" s="96"/>
      <c r="J167" s="96"/>
      <c r="K167" s="96"/>
    </row>
    <row r="168" spans="7:11" x14ac:dyDescent="0.2">
      <c r="G168" s="96"/>
      <c r="H168" s="96"/>
      <c r="I168" s="96"/>
      <c r="J168" s="96"/>
      <c r="K168" s="96"/>
    </row>
    <row r="169" spans="7:11" x14ac:dyDescent="0.2">
      <c r="G169" s="96"/>
      <c r="H169" s="96"/>
      <c r="I169" s="96"/>
      <c r="J169" s="96"/>
      <c r="K169" s="96"/>
    </row>
    <row r="170" spans="7:11" x14ac:dyDescent="0.2">
      <c r="G170" s="96"/>
      <c r="H170" s="96"/>
      <c r="I170" s="96"/>
      <c r="J170" s="96"/>
      <c r="K170" s="96"/>
    </row>
    <row r="171" spans="7:11" x14ac:dyDescent="0.2">
      <c r="G171" s="96"/>
      <c r="H171" s="96"/>
      <c r="I171" s="96"/>
      <c r="J171" s="96"/>
      <c r="K171" s="96"/>
    </row>
    <row r="172" spans="7:11" x14ac:dyDescent="0.2">
      <c r="G172" s="96"/>
      <c r="H172" s="96"/>
      <c r="I172" s="96"/>
      <c r="J172" s="96"/>
      <c r="K172" s="96"/>
    </row>
    <row r="173" spans="7:11" x14ac:dyDescent="0.2">
      <c r="G173" s="96"/>
      <c r="H173" s="96"/>
      <c r="I173" s="96"/>
      <c r="J173" s="96"/>
      <c r="K173" s="96"/>
    </row>
    <row r="174" spans="7:11" x14ac:dyDescent="0.2">
      <c r="G174" s="96"/>
      <c r="H174" s="96"/>
      <c r="I174" s="96"/>
      <c r="J174" s="96"/>
      <c r="K174" s="96"/>
    </row>
    <row r="175" spans="7:11" x14ac:dyDescent="0.2">
      <c r="G175" s="96"/>
      <c r="H175" s="96"/>
      <c r="I175" s="96"/>
      <c r="J175" s="96"/>
      <c r="K175" s="96"/>
    </row>
    <row r="176" spans="7:11" x14ac:dyDescent="0.2">
      <c r="G176" s="96"/>
      <c r="H176" s="96"/>
      <c r="I176" s="96"/>
      <c r="J176" s="96"/>
      <c r="K176" s="96"/>
    </row>
    <row r="177" spans="7:11" x14ac:dyDescent="0.2">
      <c r="G177" s="96"/>
      <c r="H177" s="96"/>
      <c r="I177" s="96"/>
      <c r="J177" s="96"/>
      <c r="K177" s="96"/>
    </row>
    <row r="178" spans="7:11" x14ac:dyDescent="0.2">
      <c r="G178" s="96"/>
      <c r="H178" s="96"/>
      <c r="I178" s="96"/>
      <c r="J178" s="96"/>
      <c r="K178" s="96"/>
    </row>
    <row r="179" spans="7:11" x14ac:dyDescent="0.2">
      <c r="G179" s="96"/>
      <c r="H179" s="96"/>
      <c r="I179" s="96"/>
      <c r="J179" s="96"/>
      <c r="K179" s="96"/>
    </row>
    <row r="180" spans="7:11" x14ac:dyDescent="0.2">
      <c r="G180" s="96"/>
      <c r="H180" s="96"/>
      <c r="I180" s="96"/>
      <c r="J180" s="96"/>
      <c r="K180" s="96"/>
    </row>
    <row r="181" spans="7:11" x14ac:dyDescent="0.2">
      <c r="G181" s="96"/>
      <c r="H181" s="96"/>
      <c r="I181" s="96"/>
      <c r="J181" s="96"/>
      <c r="K181" s="96"/>
    </row>
    <row r="182" spans="7:11" x14ac:dyDescent="0.2">
      <c r="G182" s="96"/>
      <c r="H182" s="96"/>
      <c r="I182" s="96"/>
      <c r="J182" s="96"/>
      <c r="K182" s="96"/>
    </row>
    <row r="183" spans="7:11" x14ac:dyDescent="0.2">
      <c r="G183" s="96"/>
      <c r="H183" s="96"/>
      <c r="I183" s="96"/>
      <c r="J183" s="96"/>
      <c r="K183" s="96"/>
    </row>
    <row r="184" spans="7:11" x14ac:dyDescent="0.2">
      <c r="G184" s="96"/>
      <c r="H184" s="96"/>
      <c r="I184" s="96"/>
      <c r="J184" s="96"/>
      <c r="K184" s="96"/>
    </row>
    <row r="185" spans="7:11" x14ac:dyDescent="0.2">
      <c r="G185" s="96"/>
      <c r="H185" s="96"/>
      <c r="I185" s="96"/>
      <c r="J185" s="96"/>
      <c r="K185" s="96"/>
    </row>
    <row r="186" spans="7:11" x14ac:dyDescent="0.2">
      <c r="G186" s="96"/>
      <c r="H186" s="96"/>
      <c r="I186" s="96"/>
      <c r="J186" s="96"/>
      <c r="K186" s="96"/>
    </row>
    <row r="187" spans="7:11" x14ac:dyDescent="0.2">
      <c r="G187" s="96"/>
      <c r="H187" s="96"/>
      <c r="I187" s="96"/>
      <c r="J187" s="96"/>
      <c r="K187" s="96"/>
    </row>
    <row r="188" spans="7:11" x14ac:dyDescent="0.2">
      <c r="G188" s="96"/>
      <c r="H188" s="96"/>
      <c r="I188" s="96"/>
      <c r="J188" s="96"/>
      <c r="K188" s="96"/>
    </row>
    <row r="189" spans="7:11" x14ac:dyDescent="0.2">
      <c r="G189" s="96"/>
      <c r="H189" s="96"/>
      <c r="I189" s="96"/>
      <c r="J189" s="96"/>
      <c r="K189" s="96"/>
    </row>
    <row r="190" spans="7:11" x14ac:dyDescent="0.2">
      <c r="G190" s="96"/>
      <c r="H190" s="96"/>
      <c r="I190" s="96"/>
      <c r="J190" s="96"/>
      <c r="K190" s="96"/>
    </row>
    <row r="191" spans="7:11" x14ac:dyDescent="0.2">
      <c r="G191" s="96"/>
      <c r="H191" s="96"/>
      <c r="I191" s="96"/>
      <c r="J191" s="96"/>
      <c r="K191" s="96"/>
    </row>
    <row r="192" spans="7:11" x14ac:dyDescent="0.2">
      <c r="G192" s="96"/>
      <c r="H192" s="96"/>
      <c r="I192" s="96"/>
      <c r="J192" s="96"/>
      <c r="K192" s="96"/>
    </row>
    <row r="193" spans="7:11" x14ac:dyDescent="0.2">
      <c r="G193" s="96"/>
      <c r="H193" s="96"/>
      <c r="I193" s="96"/>
      <c r="J193" s="96"/>
      <c r="K193" s="96"/>
    </row>
    <row r="194" spans="7:11" x14ac:dyDescent="0.2">
      <c r="G194" s="96"/>
      <c r="H194" s="96"/>
      <c r="I194" s="96"/>
      <c r="J194" s="96"/>
      <c r="K194" s="96"/>
    </row>
    <row r="195" spans="7:11" x14ac:dyDescent="0.2">
      <c r="G195" s="96"/>
      <c r="H195" s="96"/>
      <c r="I195" s="96"/>
      <c r="J195" s="96"/>
      <c r="K195" s="96"/>
    </row>
    <row r="196" spans="7:11" x14ac:dyDescent="0.2">
      <c r="G196" s="96"/>
      <c r="H196" s="96"/>
      <c r="I196" s="96"/>
      <c r="J196" s="96"/>
      <c r="K196" s="96"/>
    </row>
    <row r="197" spans="7:11" x14ac:dyDescent="0.2">
      <c r="G197" s="96"/>
      <c r="H197" s="96"/>
      <c r="I197" s="96"/>
      <c r="J197" s="96"/>
      <c r="K197" s="96"/>
    </row>
    <row r="198" spans="7:11" x14ac:dyDescent="0.2">
      <c r="G198" s="96"/>
      <c r="H198" s="96"/>
      <c r="I198" s="96"/>
      <c r="J198" s="96"/>
      <c r="K198" s="96"/>
    </row>
    <row r="199" spans="7:11" x14ac:dyDescent="0.2">
      <c r="G199" s="96"/>
      <c r="H199" s="96"/>
      <c r="I199" s="96"/>
      <c r="J199" s="96"/>
      <c r="K199" s="96"/>
    </row>
    <row r="200" spans="7:11" x14ac:dyDescent="0.2">
      <c r="G200" s="96"/>
      <c r="H200" s="96"/>
      <c r="I200" s="96"/>
      <c r="J200" s="96"/>
      <c r="K200" s="96"/>
    </row>
    <row r="201" spans="7:11" x14ac:dyDescent="0.2">
      <c r="G201" s="96"/>
      <c r="H201" s="96"/>
      <c r="I201" s="96"/>
      <c r="J201" s="96"/>
      <c r="K201" s="96"/>
    </row>
    <row r="202" spans="7:11" x14ac:dyDescent="0.2">
      <c r="G202" s="96"/>
      <c r="H202" s="96"/>
      <c r="I202" s="96"/>
      <c r="J202" s="96"/>
      <c r="K202" s="96"/>
    </row>
    <row r="203" spans="7:11" x14ac:dyDescent="0.2">
      <c r="G203" s="96"/>
      <c r="H203" s="96"/>
      <c r="I203" s="96"/>
      <c r="J203" s="96"/>
      <c r="K203" s="96"/>
    </row>
    <row r="204" spans="7:11" x14ac:dyDescent="0.2">
      <c r="G204" s="96"/>
      <c r="H204" s="96"/>
      <c r="I204" s="96"/>
      <c r="J204" s="96"/>
      <c r="K204" s="96"/>
    </row>
    <row r="205" spans="7:11" x14ac:dyDescent="0.2">
      <c r="G205" s="96"/>
      <c r="H205" s="96"/>
      <c r="I205" s="96"/>
      <c r="J205" s="96"/>
      <c r="K205" s="96"/>
    </row>
    <row r="206" spans="7:11" x14ac:dyDescent="0.2">
      <c r="G206" s="96"/>
      <c r="H206" s="96"/>
      <c r="I206" s="96"/>
      <c r="J206" s="96"/>
      <c r="K206" s="96"/>
    </row>
    <row r="207" spans="7:11" x14ac:dyDescent="0.2">
      <c r="G207" s="96"/>
      <c r="H207" s="96"/>
      <c r="I207" s="96"/>
      <c r="J207" s="96"/>
      <c r="K207" s="96"/>
    </row>
    <row r="208" spans="7:11" x14ac:dyDescent="0.2">
      <c r="G208" s="96"/>
      <c r="H208" s="96"/>
      <c r="I208" s="96"/>
      <c r="J208" s="96"/>
      <c r="K208" s="96"/>
    </row>
    <row r="209" spans="7:11" x14ac:dyDescent="0.2">
      <c r="G209" s="96"/>
      <c r="H209" s="96"/>
      <c r="I209" s="96"/>
      <c r="J209" s="96"/>
      <c r="K209" s="96"/>
    </row>
    <row r="210" spans="7:11" x14ac:dyDescent="0.2">
      <c r="G210" s="96"/>
      <c r="H210" s="96"/>
      <c r="I210" s="96"/>
      <c r="J210" s="96"/>
      <c r="K210" s="96"/>
    </row>
    <row r="211" spans="7:11" x14ac:dyDescent="0.2">
      <c r="G211" s="96"/>
      <c r="H211" s="96"/>
      <c r="I211" s="96"/>
      <c r="J211" s="96"/>
      <c r="K211" s="96"/>
    </row>
    <row r="212" spans="7:11" x14ac:dyDescent="0.2">
      <c r="G212" s="96"/>
      <c r="H212" s="96"/>
      <c r="I212" s="96"/>
      <c r="J212" s="96"/>
      <c r="K212" s="96"/>
    </row>
    <row r="213" spans="7:11" x14ac:dyDescent="0.2">
      <c r="G213" s="96"/>
      <c r="H213" s="96"/>
      <c r="I213" s="96"/>
      <c r="J213" s="96"/>
      <c r="K213" s="96"/>
    </row>
    <row r="214" spans="7:11" x14ac:dyDescent="0.2">
      <c r="G214" s="96"/>
      <c r="H214" s="96"/>
      <c r="I214" s="96"/>
      <c r="J214" s="96"/>
      <c r="K214" s="96"/>
    </row>
    <row r="215" spans="7:11" x14ac:dyDescent="0.2">
      <c r="G215" s="96"/>
      <c r="H215" s="96"/>
      <c r="I215" s="96"/>
      <c r="J215" s="96"/>
      <c r="K215" s="96"/>
    </row>
    <row r="216" spans="7:11" x14ac:dyDescent="0.2">
      <c r="G216" s="96"/>
      <c r="H216" s="96"/>
      <c r="I216" s="96"/>
      <c r="J216" s="96"/>
      <c r="K216" s="96"/>
    </row>
    <row r="217" spans="7:11" x14ac:dyDescent="0.2">
      <c r="G217" s="96"/>
      <c r="H217" s="96"/>
      <c r="I217" s="96"/>
      <c r="J217" s="96"/>
      <c r="K217" s="96"/>
    </row>
    <row r="218" spans="7:11" x14ac:dyDescent="0.2">
      <c r="G218" s="96"/>
      <c r="H218" s="96"/>
      <c r="I218" s="96"/>
      <c r="J218" s="96"/>
      <c r="K218" s="96"/>
    </row>
    <row r="219" spans="7:11" x14ac:dyDescent="0.2">
      <c r="G219" s="96"/>
      <c r="H219" s="96"/>
      <c r="I219" s="96"/>
      <c r="J219" s="96"/>
      <c r="K219" s="96"/>
    </row>
    <row r="220" spans="7:11" x14ac:dyDescent="0.2">
      <c r="G220" s="96"/>
      <c r="H220" s="96"/>
      <c r="I220" s="96"/>
      <c r="J220" s="96"/>
      <c r="K220" s="96"/>
    </row>
    <row r="221" spans="7:11" x14ac:dyDescent="0.2">
      <c r="G221" s="96"/>
      <c r="H221" s="96"/>
      <c r="I221" s="96"/>
      <c r="J221" s="96"/>
      <c r="K221" s="96"/>
    </row>
    <row r="222" spans="7:11" x14ac:dyDescent="0.2">
      <c r="G222" s="96"/>
      <c r="H222" s="96"/>
      <c r="I222" s="96"/>
      <c r="J222" s="96"/>
      <c r="K222" s="96"/>
    </row>
    <row r="223" spans="7:11" x14ac:dyDescent="0.2">
      <c r="G223" s="96"/>
      <c r="H223" s="96"/>
      <c r="I223" s="96"/>
      <c r="J223" s="96"/>
      <c r="K223" s="96"/>
    </row>
    <row r="224" spans="7:11" x14ac:dyDescent="0.2">
      <c r="G224" s="96"/>
      <c r="H224" s="96"/>
      <c r="I224" s="96"/>
      <c r="J224" s="96"/>
      <c r="K224" s="96"/>
    </row>
    <row r="225" spans="7:11" x14ac:dyDescent="0.2">
      <c r="G225" s="96"/>
      <c r="H225" s="96"/>
      <c r="I225" s="96"/>
      <c r="J225" s="96"/>
      <c r="K225" s="96"/>
    </row>
    <row r="226" spans="7:11" x14ac:dyDescent="0.2">
      <c r="G226" s="96"/>
      <c r="H226" s="96"/>
      <c r="I226" s="96"/>
      <c r="J226" s="96"/>
      <c r="K226" s="96"/>
    </row>
    <row r="227" spans="7:11" x14ac:dyDescent="0.2">
      <c r="G227" s="96"/>
      <c r="H227" s="96"/>
      <c r="I227" s="96"/>
      <c r="J227" s="96"/>
      <c r="K227" s="96"/>
    </row>
    <row r="228" spans="7:11" x14ac:dyDescent="0.2">
      <c r="G228" s="96"/>
      <c r="H228" s="96"/>
      <c r="I228" s="96"/>
      <c r="J228" s="96"/>
      <c r="K228" s="96"/>
    </row>
    <row r="229" spans="7:11" x14ac:dyDescent="0.2">
      <c r="G229" s="96"/>
      <c r="H229" s="96"/>
      <c r="I229" s="96"/>
      <c r="J229" s="96"/>
      <c r="K229" s="96"/>
    </row>
    <row r="230" spans="7:11" x14ac:dyDescent="0.2">
      <c r="G230" s="96"/>
      <c r="H230" s="96"/>
      <c r="I230" s="96"/>
      <c r="J230" s="96"/>
      <c r="K230" s="96"/>
    </row>
    <row r="231" spans="7:11" x14ac:dyDescent="0.2">
      <c r="G231" s="96"/>
      <c r="H231" s="96"/>
      <c r="I231" s="96"/>
      <c r="J231" s="96"/>
      <c r="K231" s="96"/>
    </row>
    <row r="232" spans="7:11" x14ac:dyDescent="0.2">
      <c r="G232" s="96"/>
      <c r="H232" s="96"/>
      <c r="I232" s="96"/>
      <c r="J232" s="96"/>
      <c r="K232" s="96"/>
    </row>
    <row r="233" spans="7:11" x14ac:dyDescent="0.2">
      <c r="G233" s="96"/>
      <c r="H233" s="96"/>
      <c r="I233" s="96"/>
      <c r="J233" s="96"/>
      <c r="K233" s="96"/>
    </row>
    <row r="234" spans="7:11" x14ac:dyDescent="0.2">
      <c r="G234" s="96"/>
      <c r="H234" s="96"/>
      <c r="I234" s="96"/>
      <c r="J234" s="96"/>
      <c r="K234" s="96"/>
    </row>
    <row r="235" spans="7:11" x14ac:dyDescent="0.2">
      <c r="G235" s="96"/>
      <c r="H235" s="96"/>
      <c r="I235" s="96"/>
      <c r="J235" s="96"/>
      <c r="K235" s="96"/>
    </row>
    <row r="236" spans="7:11" x14ac:dyDescent="0.2">
      <c r="G236" s="96"/>
      <c r="H236" s="96"/>
      <c r="I236" s="96"/>
      <c r="J236" s="96"/>
      <c r="K236" s="96"/>
    </row>
    <row r="237" spans="7:11" x14ac:dyDescent="0.2">
      <c r="G237" s="96"/>
      <c r="H237" s="96"/>
      <c r="I237" s="96"/>
      <c r="J237" s="96"/>
      <c r="K237" s="96"/>
    </row>
    <row r="238" spans="7:11" x14ac:dyDescent="0.2">
      <c r="G238" s="96"/>
      <c r="H238" s="96"/>
      <c r="I238" s="96"/>
      <c r="J238" s="96"/>
      <c r="K238" s="96"/>
    </row>
    <row r="239" spans="7:11" x14ac:dyDescent="0.2">
      <c r="G239" s="96"/>
      <c r="H239" s="96"/>
      <c r="I239" s="96"/>
      <c r="J239" s="96"/>
      <c r="K239" s="96"/>
    </row>
    <row r="240" spans="7:11" x14ac:dyDescent="0.2">
      <c r="G240" s="96"/>
      <c r="H240" s="96"/>
      <c r="I240" s="96"/>
      <c r="J240" s="96"/>
      <c r="K240" s="96"/>
    </row>
    <row r="241" spans="7:11" x14ac:dyDescent="0.2">
      <c r="G241" s="96"/>
      <c r="H241" s="96"/>
      <c r="I241" s="96"/>
      <c r="J241" s="96"/>
      <c r="K241" s="96"/>
    </row>
    <row r="242" spans="7:11" x14ac:dyDescent="0.2">
      <c r="G242" s="96"/>
      <c r="H242" s="96"/>
      <c r="I242" s="96"/>
      <c r="J242" s="96"/>
      <c r="K242" s="96"/>
    </row>
    <row r="243" spans="7:11" x14ac:dyDescent="0.2">
      <c r="G243" s="96"/>
      <c r="H243" s="96"/>
      <c r="I243" s="96"/>
      <c r="J243" s="96"/>
      <c r="K243" s="96"/>
    </row>
    <row r="244" spans="7:11" x14ac:dyDescent="0.2">
      <c r="G244" s="96"/>
      <c r="H244" s="96"/>
      <c r="I244" s="96"/>
      <c r="J244" s="96"/>
      <c r="K244" s="96"/>
    </row>
    <row r="245" spans="7:11" x14ac:dyDescent="0.2">
      <c r="G245" s="96"/>
      <c r="H245" s="96"/>
      <c r="I245" s="96"/>
      <c r="J245" s="96"/>
      <c r="K245" s="96"/>
    </row>
    <row r="246" spans="7:11" x14ac:dyDescent="0.2">
      <c r="G246" s="96"/>
      <c r="H246" s="96"/>
      <c r="I246" s="96"/>
      <c r="J246" s="96"/>
      <c r="K246" s="96"/>
    </row>
    <row r="247" spans="7:11" x14ac:dyDescent="0.2">
      <c r="G247" s="96"/>
      <c r="H247" s="96"/>
      <c r="I247" s="96"/>
      <c r="J247" s="96"/>
      <c r="K247" s="96"/>
    </row>
    <row r="248" spans="7:11" x14ac:dyDescent="0.2">
      <c r="G248" s="96"/>
      <c r="H248" s="96"/>
      <c r="I248" s="96"/>
      <c r="J248" s="96"/>
      <c r="K248" s="96"/>
    </row>
    <row r="249" spans="7:11" x14ac:dyDescent="0.2">
      <c r="G249" s="96"/>
      <c r="H249" s="96"/>
      <c r="I249" s="96"/>
      <c r="J249" s="96"/>
      <c r="K249" s="96"/>
    </row>
    <row r="250" spans="7:11" x14ac:dyDescent="0.2">
      <c r="G250" s="96"/>
      <c r="H250" s="96"/>
      <c r="I250" s="96"/>
      <c r="J250" s="96"/>
      <c r="K250" s="96"/>
    </row>
    <row r="251" spans="7:11" x14ac:dyDescent="0.2">
      <c r="G251" s="96"/>
      <c r="H251" s="96"/>
      <c r="I251" s="96"/>
      <c r="J251" s="96"/>
      <c r="K251" s="96"/>
    </row>
    <row r="252" spans="7:11" x14ac:dyDescent="0.2">
      <c r="G252" s="96"/>
      <c r="H252" s="96"/>
      <c r="I252" s="96"/>
      <c r="J252" s="96"/>
      <c r="K252" s="96"/>
    </row>
    <row r="253" spans="7:11" x14ac:dyDescent="0.2">
      <c r="G253" s="96"/>
      <c r="H253" s="96"/>
      <c r="I253" s="96"/>
      <c r="J253" s="96"/>
      <c r="K253" s="96"/>
    </row>
    <row r="254" spans="7:11" x14ac:dyDescent="0.2">
      <c r="G254" s="96"/>
      <c r="H254" s="96"/>
      <c r="I254" s="96"/>
      <c r="J254" s="96"/>
      <c r="K254" s="96"/>
    </row>
    <row r="255" spans="7:11" x14ac:dyDescent="0.2">
      <c r="G255" s="96"/>
      <c r="H255" s="96"/>
      <c r="I255" s="96"/>
      <c r="J255" s="96"/>
      <c r="K255" s="96"/>
    </row>
    <row r="256" spans="7:11" x14ac:dyDescent="0.2">
      <c r="G256" s="96"/>
      <c r="H256" s="96"/>
      <c r="I256" s="96"/>
      <c r="J256" s="96"/>
      <c r="K256" s="96"/>
    </row>
    <row r="257" spans="7:11" x14ac:dyDescent="0.2">
      <c r="G257" s="96"/>
      <c r="H257" s="96"/>
      <c r="I257" s="96"/>
      <c r="J257" s="96"/>
      <c r="K257" s="96"/>
    </row>
    <row r="258" spans="7:11" x14ac:dyDescent="0.2">
      <c r="G258" s="96"/>
      <c r="H258" s="96"/>
      <c r="I258" s="96"/>
      <c r="J258" s="96"/>
      <c r="K258" s="96"/>
    </row>
    <row r="259" spans="7:11" x14ac:dyDescent="0.2">
      <c r="G259" s="96"/>
      <c r="H259" s="96"/>
      <c r="I259" s="96"/>
      <c r="J259" s="96"/>
      <c r="K259" s="96"/>
    </row>
    <row r="260" spans="7:11" x14ac:dyDescent="0.2">
      <c r="G260" s="96"/>
      <c r="H260" s="96"/>
      <c r="I260" s="96"/>
      <c r="J260" s="96"/>
      <c r="K260" s="96"/>
    </row>
    <row r="261" spans="7:11" x14ac:dyDescent="0.2">
      <c r="G261" s="96"/>
      <c r="H261" s="96"/>
      <c r="I261" s="96"/>
      <c r="J261" s="96"/>
      <c r="K261" s="96"/>
    </row>
    <row r="262" spans="7:11" x14ac:dyDescent="0.2">
      <c r="G262" s="96"/>
      <c r="H262" s="96"/>
      <c r="I262" s="96"/>
      <c r="J262" s="96"/>
      <c r="K262" s="96"/>
    </row>
    <row r="263" spans="7:11" x14ac:dyDescent="0.2">
      <c r="G263" s="96"/>
      <c r="H263" s="96"/>
      <c r="I263" s="96"/>
      <c r="J263" s="96"/>
      <c r="K263" s="96"/>
    </row>
    <row r="264" spans="7:11" x14ac:dyDescent="0.2">
      <c r="G264" s="96"/>
      <c r="H264" s="96"/>
      <c r="I264" s="96"/>
      <c r="J264" s="96"/>
      <c r="K264" s="96"/>
    </row>
    <row r="265" spans="7:11" x14ac:dyDescent="0.2">
      <c r="G265" s="96"/>
      <c r="H265" s="96"/>
      <c r="I265" s="96"/>
      <c r="J265" s="96"/>
      <c r="K265" s="96"/>
    </row>
    <row r="266" spans="7:11" x14ac:dyDescent="0.2">
      <c r="G266" s="96"/>
      <c r="H266" s="96"/>
      <c r="I266" s="96"/>
      <c r="J266" s="96"/>
      <c r="K266" s="96"/>
    </row>
    <row r="267" spans="7:11" x14ac:dyDescent="0.2">
      <c r="G267" s="96"/>
      <c r="H267" s="96"/>
      <c r="I267" s="96"/>
      <c r="J267" s="96"/>
      <c r="K267" s="96"/>
    </row>
    <row r="268" spans="7:11" x14ac:dyDescent="0.2">
      <c r="G268" s="96"/>
      <c r="H268" s="96"/>
      <c r="I268" s="96"/>
      <c r="J268" s="96"/>
      <c r="K268" s="96"/>
    </row>
    <row r="269" spans="7:11" x14ac:dyDescent="0.2">
      <c r="G269" s="96"/>
      <c r="H269" s="96"/>
      <c r="I269" s="96"/>
      <c r="J269" s="96"/>
      <c r="K269" s="96"/>
    </row>
    <row r="270" spans="7:11" x14ac:dyDescent="0.2">
      <c r="G270" s="96"/>
      <c r="H270" s="96"/>
      <c r="I270" s="96"/>
      <c r="J270" s="96"/>
      <c r="K270" s="96"/>
    </row>
    <row r="271" spans="7:11" x14ac:dyDescent="0.2">
      <c r="G271" s="96"/>
      <c r="H271" s="96"/>
      <c r="I271" s="96"/>
      <c r="J271" s="96"/>
      <c r="K271" s="96"/>
    </row>
    <row r="272" spans="7:11" x14ac:dyDescent="0.2">
      <c r="G272" s="96"/>
      <c r="H272" s="96"/>
      <c r="I272" s="96"/>
      <c r="J272" s="96"/>
      <c r="K272" s="96"/>
    </row>
    <row r="273" spans="7:11" x14ac:dyDescent="0.2">
      <c r="G273" s="96"/>
      <c r="H273" s="96"/>
      <c r="I273" s="96"/>
      <c r="J273" s="96"/>
      <c r="K273" s="96"/>
    </row>
    <row r="274" spans="7:11" x14ac:dyDescent="0.2">
      <c r="G274" s="96"/>
      <c r="H274" s="96"/>
      <c r="I274" s="96"/>
      <c r="J274" s="96"/>
      <c r="K274" s="96"/>
    </row>
    <row r="275" spans="7:11" x14ac:dyDescent="0.2">
      <c r="G275" s="96"/>
      <c r="H275" s="96"/>
      <c r="I275" s="96"/>
      <c r="J275" s="96"/>
      <c r="K275" s="96"/>
    </row>
    <row r="276" spans="7:11" x14ac:dyDescent="0.2">
      <c r="G276" s="96"/>
      <c r="H276" s="96"/>
      <c r="I276" s="96"/>
      <c r="J276" s="96"/>
      <c r="K276" s="96"/>
    </row>
    <row r="277" spans="7:11" x14ac:dyDescent="0.2">
      <c r="G277" s="96"/>
      <c r="H277" s="96"/>
      <c r="I277" s="96"/>
      <c r="J277" s="96"/>
      <c r="K277" s="96"/>
    </row>
    <row r="278" spans="7:11" x14ac:dyDescent="0.2">
      <c r="G278" s="96"/>
      <c r="H278" s="96"/>
      <c r="I278" s="96"/>
      <c r="J278" s="96"/>
      <c r="K278" s="96"/>
    </row>
    <row r="279" spans="7:11" x14ac:dyDescent="0.2">
      <c r="G279" s="96"/>
      <c r="H279" s="96"/>
      <c r="I279" s="96"/>
      <c r="J279" s="96"/>
      <c r="K279" s="96"/>
    </row>
    <row r="280" spans="7:11" x14ac:dyDescent="0.2">
      <c r="G280" s="96"/>
      <c r="H280" s="96"/>
      <c r="I280" s="96"/>
      <c r="J280" s="96"/>
      <c r="K280" s="96"/>
    </row>
    <row r="281" spans="7:11" x14ac:dyDescent="0.2">
      <c r="G281" s="96"/>
      <c r="H281" s="96"/>
      <c r="I281" s="96"/>
      <c r="J281" s="96"/>
      <c r="K281" s="96"/>
    </row>
    <row r="282" spans="7:11" x14ac:dyDescent="0.2">
      <c r="G282" s="96"/>
      <c r="H282" s="96"/>
      <c r="I282" s="96"/>
      <c r="J282" s="96"/>
      <c r="K282" s="96"/>
    </row>
    <row r="283" spans="7:11" x14ac:dyDescent="0.2">
      <c r="G283" s="96"/>
      <c r="H283" s="96"/>
      <c r="I283" s="96"/>
      <c r="J283" s="96"/>
      <c r="K283" s="96"/>
    </row>
    <row r="284" spans="7:11" x14ac:dyDescent="0.2">
      <c r="G284" s="96"/>
      <c r="H284" s="96"/>
      <c r="I284" s="96"/>
      <c r="J284" s="96"/>
      <c r="K284" s="96"/>
    </row>
    <row r="285" spans="7:11" x14ac:dyDescent="0.2">
      <c r="G285" s="96"/>
      <c r="H285" s="96"/>
      <c r="I285" s="96"/>
      <c r="J285" s="96"/>
      <c r="K285" s="96"/>
    </row>
    <row r="286" spans="7:11" x14ac:dyDescent="0.2">
      <c r="G286" s="96"/>
      <c r="H286" s="96"/>
      <c r="I286" s="96"/>
      <c r="J286" s="96"/>
      <c r="K286" s="96"/>
    </row>
    <row r="287" spans="7:11" x14ac:dyDescent="0.2">
      <c r="G287" s="96"/>
      <c r="H287" s="96"/>
      <c r="I287" s="96"/>
      <c r="J287" s="96"/>
      <c r="K287" s="96"/>
    </row>
    <row r="288" spans="7:11" x14ac:dyDescent="0.2">
      <c r="G288" s="96"/>
      <c r="H288" s="96"/>
      <c r="I288" s="96"/>
      <c r="J288" s="96"/>
      <c r="K288" s="96"/>
    </row>
    <row r="289" spans="7:11" x14ac:dyDescent="0.2">
      <c r="G289" s="96"/>
      <c r="H289" s="96"/>
      <c r="I289" s="96"/>
      <c r="J289" s="96"/>
      <c r="K289" s="96"/>
    </row>
    <row r="290" spans="7:11" x14ac:dyDescent="0.2">
      <c r="G290" s="96"/>
      <c r="H290" s="96"/>
      <c r="I290" s="96"/>
      <c r="J290" s="96"/>
      <c r="K290" s="96"/>
    </row>
    <row r="291" spans="7:11" x14ac:dyDescent="0.2">
      <c r="G291" s="96"/>
      <c r="H291" s="96"/>
      <c r="I291" s="96"/>
      <c r="J291" s="96"/>
      <c r="K291" s="96"/>
    </row>
    <row r="292" spans="7:11" x14ac:dyDescent="0.2">
      <c r="G292" s="96"/>
      <c r="H292" s="96"/>
      <c r="I292" s="96"/>
      <c r="J292" s="96"/>
      <c r="K292" s="96"/>
    </row>
    <row r="293" spans="7:11" x14ac:dyDescent="0.2">
      <c r="G293" s="96"/>
      <c r="H293" s="96"/>
      <c r="I293" s="96"/>
      <c r="J293" s="96"/>
      <c r="K293" s="96"/>
    </row>
    <row r="294" spans="7:11" x14ac:dyDescent="0.2">
      <c r="G294" s="96"/>
      <c r="H294" s="96"/>
      <c r="I294" s="96"/>
      <c r="J294" s="96"/>
      <c r="K294" s="96"/>
    </row>
    <row r="295" spans="7:11" x14ac:dyDescent="0.2">
      <c r="G295" s="96"/>
      <c r="H295" s="96"/>
      <c r="I295" s="96"/>
      <c r="J295" s="96"/>
      <c r="K295" s="96"/>
    </row>
    <row r="296" spans="7:11" x14ac:dyDescent="0.2">
      <c r="G296" s="96"/>
      <c r="H296" s="96"/>
      <c r="I296" s="96"/>
      <c r="J296" s="96"/>
      <c r="K296" s="96"/>
    </row>
    <row r="297" spans="7:11" x14ac:dyDescent="0.2">
      <c r="G297" s="96"/>
      <c r="H297" s="96"/>
      <c r="I297" s="96"/>
      <c r="J297" s="96"/>
      <c r="K297" s="96"/>
    </row>
    <row r="298" spans="7:11" x14ac:dyDescent="0.2">
      <c r="G298" s="96"/>
      <c r="H298" s="96"/>
      <c r="I298" s="96"/>
      <c r="J298" s="96"/>
      <c r="K298" s="96"/>
    </row>
    <row r="299" spans="7:11" x14ac:dyDescent="0.2">
      <c r="G299" s="96"/>
      <c r="H299" s="96"/>
      <c r="I299" s="96"/>
      <c r="J299" s="96"/>
      <c r="K299" s="96"/>
    </row>
    <row r="300" spans="7:11" x14ac:dyDescent="0.2">
      <c r="G300" s="96"/>
      <c r="H300" s="96"/>
      <c r="I300" s="96"/>
      <c r="J300" s="96"/>
      <c r="K300" s="96"/>
    </row>
  </sheetData>
  <phoneticPr fontId="41" type="noConversion"/>
  <printOptions headings="1"/>
  <pageMargins left="0.4" right="0.41" top="0.68" bottom="0.984251969" header="0.4921259845" footer="0.4921259845"/>
  <pageSetup paperSize="9" scale="90" fitToWidth="5" fitToHeight="2" pageOrder="overThenDown" orientation="portrait" horizontalDpi="300" verticalDpi="360" r:id="rId1"/>
  <headerFooter alignWithMargins="0"/>
  <colBreaks count="4" manualBreakCount="4">
    <brk id="5" max="1048575" man="1"/>
    <brk id="11" max="1048575" man="1"/>
    <brk id="17" max="1048575" man="1"/>
    <brk id="3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Line="0" autoPict="0" macro="[0]!ReadBldFile">
                <anchor moveWithCells="1" sizeWithCells="1">
                  <from>
                    <xdr:col>8</xdr:col>
                    <xdr:colOff>381000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112C-F320-4819-B73A-00B126E1E6E8}">
  <sheetPr codeName="Tabelle10"/>
  <dimension ref="A9:E215"/>
  <sheetViews>
    <sheetView topLeftCell="A43" zoomScale="75" workbookViewId="0">
      <selection activeCell="D85" sqref="D85"/>
    </sheetView>
  </sheetViews>
  <sheetFormatPr baseColWidth="10" defaultRowHeight="12.75" x14ac:dyDescent="0.2"/>
  <cols>
    <col min="1" max="1" width="58.7109375" customWidth="1"/>
    <col min="2" max="2" width="71.85546875" style="428" customWidth="1"/>
    <col min="3" max="3" width="11.5703125" style="427" customWidth="1"/>
    <col min="4" max="4" width="64" style="40" customWidth="1"/>
    <col min="5" max="5" width="71.85546875" style="428" customWidth="1"/>
  </cols>
  <sheetData>
    <row r="9" spans="1:5" x14ac:dyDescent="0.2">
      <c r="B9" s="624" t="s">
        <v>543</v>
      </c>
      <c r="C9" s="427" t="s">
        <v>517</v>
      </c>
      <c r="D9" s="40" t="s">
        <v>518</v>
      </c>
      <c r="E9" s="624" t="s">
        <v>543</v>
      </c>
    </row>
    <row r="10" spans="1:5" s="40" customFormat="1" x14ac:dyDescent="0.2">
      <c r="A10" s="40" t="s">
        <v>515</v>
      </c>
      <c r="B10" s="428" t="s">
        <v>544</v>
      </c>
      <c r="C10" s="40" t="s">
        <v>516</v>
      </c>
      <c r="D10" s="40" t="s">
        <v>516</v>
      </c>
      <c r="E10" s="428" t="s">
        <v>544</v>
      </c>
    </row>
    <row r="11" spans="1:5" x14ac:dyDescent="0.2">
      <c r="A11" s="429" t="s">
        <v>510</v>
      </c>
      <c r="B11" s="428" t="s">
        <v>545</v>
      </c>
      <c r="D11" s="40" t="s">
        <v>510</v>
      </c>
      <c r="E11" s="428" t="s">
        <v>545</v>
      </c>
    </row>
    <row r="12" spans="1:5" x14ac:dyDescent="0.2">
      <c r="A12" s="429" t="s">
        <v>508</v>
      </c>
      <c r="B12" s="428" t="s">
        <v>546</v>
      </c>
      <c r="D12" s="40" t="s">
        <v>508</v>
      </c>
      <c r="E12" s="428" t="s">
        <v>546</v>
      </c>
    </row>
    <row r="13" spans="1:5" x14ac:dyDescent="0.2">
      <c r="A13" s="429" t="s">
        <v>509</v>
      </c>
      <c r="B13" s="428" t="s">
        <v>509</v>
      </c>
      <c r="D13" s="40" t="s">
        <v>509</v>
      </c>
      <c r="E13" s="428" t="s">
        <v>509</v>
      </c>
    </row>
    <row r="14" spans="1:5" x14ac:dyDescent="0.2">
      <c r="A14" s="429" t="s">
        <v>487</v>
      </c>
      <c r="B14" s="428" t="s">
        <v>547</v>
      </c>
      <c r="D14" s="40" t="s">
        <v>487</v>
      </c>
      <c r="E14" s="428" t="s">
        <v>547</v>
      </c>
    </row>
    <row r="15" spans="1:5" x14ac:dyDescent="0.2">
      <c r="A15" s="429" t="s">
        <v>472</v>
      </c>
      <c r="B15" s="428" t="s">
        <v>548</v>
      </c>
      <c r="D15" s="40" t="s">
        <v>472</v>
      </c>
      <c r="E15" s="428" t="s">
        <v>548</v>
      </c>
    </row>
    <row r="16" spans="1:5" x14ac:dyDescent="0.2">
      <c r="A16" s="429" t="s">
        <v>469</v>
      </c>
      <c r="B16" s="428" t="s">
        <v>549</v>
      </c>
      <c r="D16" s="40" t="s">
        <v>469</v>
      </c>
      <c r="E16" s="428" t="s">
        <v>549</v>
      </c>
    </row>
    <row r="17" spans="1:5" x14ac:dyDescent="0.2">
      <c r="A17" s="429" t="s">
        <v>748</v>
      </c>
      <c r="B17" s="428" t="s">
        <v>749</v>
      </c>
      <c r="D17" s="40" t="s">
        <v>748</v>
      </c>
      <c r="E17" s="428" t="s">
        <v>749</v>
      </c>
    </row>
    <row r="18" spans="1:5" x14ac:dyDescent="0.2">
      <c r="A18" s="429" t="s">
        <v>750</v>
      </c>
      <c r="B18" s="428" t="s">
        <v>753</v>
      </c>
      <c r="D18" s="40" t="s">
        <v>750</v>
      </c>
      <c r="E18" s="428" t="s">
        <v>752</v>
      </c>
    </row>
    <row r="19" spans="1:5" x14ac:dyDescent="0.2">
      <c r="A19" s="429" t="s">
        <v>751</v>
      </c>
      <c r="B19" s="428" t="s">
        <v>754</v>
      </c>
      <c r="D19" s="40" t="s">
        <v>751</v>
      </c>
      <c r="E19" s="428" t="s">
        <v>754</v>
      </c>
    </row>
    <row r="21" spans="1:5" x14ac:dyDescent="0.2">
      <c r="A21" t="s">
        <v>519</v>
      </c>
      <c r="B21" s="428" t="s">
        <v>550</v>
      </c>
      <c r="D21" s="40" t="s">
        <v>519</v>
      </c>
      <c r="E21" s="428" t="s">
        <v>550</v>
      </c>
    </row>
    <row r="22" spans="1:5" x14ac:dyDescent="0.2">
      <c r="A22" s="429" t="s">
        <v>468</v>
      </c>
      <c r="B22" s="428" t="s">
        <v>551</v>
      </c>
      <c r="D22" s="40" t="s">
        <v>468</v>
      </c>
      <c r="E22" s="428" t="s">
        <v>551</v>
      </c>
    </row>
    <row r="23" spans="1:5" x14ac:dyDescent="0.2">
      <c r="A23" s="429" t="s">
        <v>499</v>
      </c>
      <c r="B23" s="428" t="s">
        <v>552</v>
      </c>
      <c r="D23" s="40" t="s">
        <v>499</v>
      </c>
      <c r="E23" s="428" t="s">
        <v>552</v>
      </c>
    </row>
    <row r="24" spans="1:5" x14ac:dyDescent="0.2">
      <c r="A24" s="429" t="s">
        <v>413</v>
      </c>
      <c r="B24" s="428" t="s">
        <v>553</v>
      </c>
      <c r="D24" s="40" t="s">
        <v>413</v>
      </c>
      <c r="E24" s="428" t="s">
        <v>553</v>
      </c>
    </row>
    <row r="25" spans="1:5" x14ac:dyDescent="0.2">
      <c r="A25" s="429" t="s">
        <v>381</v>
      </c>
      <c r="B25" s="428" t="s">
        <v>554</v>
      </c>
      <c r="D25" s="40" t="s">
        <v>381</v>
      </c>
      <c r="E25" s="428" t="s">
        <v>554</v>
      </c>
    </row>
    <row r="26" spans="1:5" x14ac:dyDescent="0.2">
      <c r="A26" s="429" t="s">
        <v>471</v>
      </c>
      <c r="B26" s="428" t="s">
        <v>555</v>
      </c>
      <c r="D26" s="40" t="s">
        <v>408</v>
      </c>
      <c r="E26" s="428" t="s">
        <v>555</v>
      </c>
    </row>
    <row r="27" spans="1:5" x14ac:dyDescent="0.2">
      <c r="A27" s="429" t="s">
        <v>500</v>
      </c>
      <c r="B27" s="428" t="s">
        <v>556</v>
      </c>
      <c r="D27" s="40" t="s">
        <v>500</v>
      </c>
      <c r="E27" s="428" t="s">
        <v>556</v>
      </c>
    </row>
    <row r="28" spans="1:5" x14ac:dyDescent="0.2">
      <c r="A28" s="429" t="s">
        <v>501</v>
      </c>
      <c r="B28" s="428" t="s">
        <v>557</v>
      </c>
      <c r="D28" s="40" t="s">
        <v>501</v>
      </c>
      <c r="E28" s="428" t="s">
        <v>557</v>
      </c>
    </row>
    <row r="29" spans="1:5" x14ac:dyDescent="0.2">
      <c r="A29" s="430" t="s">
        <v>502</v>
      </c>
      <c r="B29" s="428" t="s">
        <v>680</v>
      </c>
      <c r="D29" s="40" t="s">
        <v>502</v>
      </c>
      <c r="E29" s="428" t="s">
        <v>680</v>
      </c>
    </row>
    <row r="30" spans="1:5" x14ac:dyDescent="0.2">
      <c r="A30" s="430" t="s">
        <v>503</v>
      </c>
      <c r="B30" s="428" t="s">
        <v>558</v>
      </c>
      <c r="D30" s="40" t="s">
        <v>503</v>
      </c>
      <c r="E30" s="428" t="s">
        <v>558</v>
      </c>
    </row>
    <row r="31" spans="1:5" x14ac:dyDescent="0.2">
      <c r="A31" s="430" t="s">
        <v>504</v>
      </c>
      <c r="B31" s="428" t="s">
        <v>559</v>
      </c>
      <c r="D31" s="40" t="s">
        <v>504</v>
      </c>
      <c r="E31" s="428" t="s">
        <v>559</v>
      </c>
    </row>
    <row r="32" spans="1:5" x14ac:dyDescent="0.2">
      <c r="A32" s="430" t="s">
        <v>505</v>
      </c>
      <c r="B32" s="428" t="s">
        <v>560</v>
      </c>
      <c r="D32" s="40" t="s">
        <v>505</v>
      </c>
      <c r="E32" s="428" t="s">
        <v>560</v>
      </c>
    </row>
    <row r="33" spans="1:5" x14ac:dyDescent="0.2">
      <c r="A33" s="430" t="s">
        <v>497</v>
      </c>
      <c r="B33" s="428" t="s">
        <v>561</v>
      </c>
      <c r="D33" s="40" t="s">
        <v>541</v>
      </c>
      <c r="E33" s="428" t="s">
        <v>561</v>
      </c>
    </row>
    <row r="35" spans="1:5" x14ac:dyDescent="0.2">
      <c r="A35" t="s">
        <v>521</v>
      </c>
      <c r="B35" s="428" t="s">
        <v>562</v>
      </c>
      <c r="D35" s="40" t="s">
        <v>521</v>
      </c>
      <c r="E35" s="428" t="s">
        <v>562</v>
      </c>
    </row>
    <row r="36" spans="1:5" x14ac:dyDescent="0.2">
      <c r="A36" s="429" t="s">
        <v>376</v>
      </c>
      <c r="B36" s="428" t="s">
        <v>563</v>
      </c>
      <c r="D36" s="40" t="s">
        <v>376</v>
      </c>
      <c r="E36" s="428" t="s">
        <v>563</v>
      </c>
    </row>
    <row r="37" spans="1:5" x14ac:dyDescent="0.2">
      <c r="A37" s="429" t="s">
        <v>520</v>
      </c>
      <c r="B37" s="428" t="s">
        <v>747</v>
      </c>
      <c r="D37" s="40" t="s">
        <v>520</v>
      </c>
      <c r="E37" s="428" t="s">
        <v>747</v>
      </c>
    </row>
    <row r="38" spans="1:5" x14ac:dyDescent="0.2">
      <c r="A38" s="429" t="s">
        <v>377</v>
      </c>
      <c r="B38" s="428" t="s">
        <v>564</v>
      </c>
      <c r="D38" s="40" t="s">
        <v>377</v>
      </c>
      <c r="E38" s="428" t="s">
        <v>564</v>
      </c>
    </row>
    <row r="39" spans="1:5" x14ac:dyDescent="0.2">
      <c r="A39" s="429" t="s">
        <v>378</v>
      </c>
      <c r="B39" s="428" t="s">
        <v>565</v>
      </c>
      <c r="D39" s="40" t="s">
        <v>378</v>
      </c>
      <c r="E39" s="428" t="s">
        <v>565</v>
      </c>
    </row>
    <row r="41" spans="1:5" x14ac:dyDescent="0.2">
      <c r="A41" s="429" t="s">
        <v>322</v>
      </c>
      <c r="B41" s="428" t="s">
        <v>566</v>
      </c>
      <c r="D41" s="40" t="s">
        <v>322</v>
      </c>
      <c r="E41" s="428" t="s">
        <v>566</v>
      </c>
    </row>
    <row r="42" spans="1:5" x14ac:dyDescent="0.2">
      <c r="A42" s="429" t="s">
        <v>192</v>
      </c>
      <c r="B42" s="428" t="s">
        <v>567</v>
      </c>
      <c r="D42" s="40" t="s">
        <v>192</v>
      </c>
      <c r="E42" s="428" t="s">
        <v>567</v>
      </c>
    </row>
    <row r="43" spans="1:5" x14ac:dyDescent="0.2">
      <c r="A43" s="429" t="s">
        <v>380</v>
      </c>
      <c r="B43" s="428" t="s">
        <v>568</v>
      </c>
      <c r="D43" s="40" t="s">
        <v>380</v>
      </c>
      <c r="E43" s="428" t="s">
        <v>568</v>
      </c>
    </row>
    <row r="44" spans="1:5" x14ac:dyDescent="0.2">
      <c r="A44" s="429" t="s">
        <v>381</v>
      </c>
      <c r="B44" s="428" t="s">
        <v>569</v>
      </c>
      <c r="D44" s="40" t="s">
        <v>381</v>
      </c>
      <c r="E44" s="428" t="s">
        <v>569</v>
      </c>
    </row>
    <row r="45" spans="1:5" x14ac:dyDescent="0.2">
      <c r="A45" s="429"/>
    </row>
    <row r="46" spans="1:5" x14ac:dyDescent="0.2">
      <c r="A46" s="429" t="s">
        <v>379</v>
      </c>
      <c r="B46" s="428" t="s">
        <v>570</v>
      </c>
      <c r="D46" s="40" t="s">
        <v>379</v>
      </c>
      <c r="E46" s="428" t="s">
        <v>570</v>
      </c>
    </row>
    <row r="47" spans="1:5" x14ac:dyDescent="0.2">
      <c r="A47" s="429" t="s">
        <v>189</v>
      </c>
      <c r="B47" s="428" t="s">
        <v>571</v>
      </c>
      <c r="D47" s="40" t="s">
        <v>189</v>
      </c>
      <c r="E47" s="428" t="s">
        <v>571</v>
      </c>
    </row>
    <row r="48" spans="1:5" x14ac:dyDescent="0.2">
      <c r="A48" s="429" t="s">
        <v>192</v>
      </c>
      <c r="B48" s="428" t="s">
        <v>572</v>
      </c>
      <c r="D48" s="40" t="s">
        <v>192</v>
      </c>
      <c r="E48" s="428" t="s">
        <v>572</v>
      </c>
    </row>
    <row r="49" spans="1:5" x14ac:dyDescent="0.2">
      <c r="A49" s="429" t="s">
        <v>204</v>
      </c>
      <c r="B49" s="428" t="s">
        <v>573</v>
      </c>
      <c r="D49" s="40" t="s">
        <v>204</v>
      </c>
      <c r="E49" s="428" t="s">
        <v>573</v>
      </c>
    </row>
    <row r="50" spans="1:5" x14ac:dyDescent="0.2">
      <c r="A50" s="429" t="s">
        <v>17</v>
      </c>
      <c r="B50" s="428" t="s">
        <v>574</v>
      </c>
      <c r="D50" s="40" t="s">
        <v>17</v>
      </c>
      <c r="E50" s="428" t="s">
        <v>574</v>
      </c>
    </row>
    <row r="51" spans="1:5" x14ac:dyDescent="0.2">
      <c r="A51" s="429"/>
    </row>
    <row r="52" spans="1:5" x14ac:dyDescent="0.2">
      <c r="A52" s="429" t="s">
        <v>382</v>
      </c>
      <c r="B52" s="428" t="s">
        <v>575</v>
      </c>
      <c r="D52" s="40" t="s">
        <v>382</v>
      </c>
      <c r="E52" s="428" t="s">
        <v>575</v>
      </c>
    </row>
    <row r="53" spans="1:5" x14ac:dyDescent="0.2">
      <c r="A53" s="429" t="s">
        <v>189</v>
      </c>
      <c r="B53" s="428" t="s">
        <v>576</v>
      </c>
      <c r="D53" s="40" t="s">
        <v>189</v>
      </c>
      <c r="E53" s="428" t="s">
        <v>576</v>
      </c>
    </row>
    <row r="54" spans="1:5" x14ac:dyDescent="0.2">
      <c r="A54" s="429" t="s">
        <v>192</v>
      </c>
      <c r="B54" s="428" t="s">
        <v>567</v>
      </c>
      <c r="D54" s="40" t="s">
        <v>192</v>
      </c>
      <c r="E54" s="428" t="s">
        <v>567</v>
      </c>
    </row>
    <row r="55" spans="1:5" x14ac:dyDescent="0.2">
      <c r="A55" s="429" t="s">
        <v>186</v>
      </c>
      <c r="B55" s="428" t="s">
        <v>609</v>
      </c>
      <c r="D55" s="40" t="s">
        <v>186</v>
      </c>
      <c r="E55" s="428" t="s">
        <v>609</v>
      </c>
    </row>
    <row r="56" spans="1:5" x14ac:dyDescent="0.2">
      <c r="A56" s="429" t="s">
        <v>204</v>
      </c>
      <c r="B56" s="428" t="s">
        <v>577</v>
      </c>
      <c r="D56" s="40" t="s">
        <v>204</v>
      </c>
      <c r="E56" s="428" t="s">
        <v>577</v>
      </c>
    </row>
    <row r="57" spans="1:5" x14ac:dyDescent="0.2">
      <c r="A57" s="429" t="s">
        <v>17</v>
      </c>
      <c r="B57" s="428" t="s">
        <v>578</v>
      </c>
      <c r="D57" s="40" t="s">
        <v>17</v>
      </c>
      <c r="E57" s="428" t="s">
        <v>578</v>
      </c>
    </row>
    <row r="59" spans="1:5" x14ac:dyDescent="0.2">
      <c r="A59" s="429" t="s">
        <v>383</v>
      </c>
      <c r="B59" s="428" t="s">
        <v>579</v>
      </c>
      <c r="D59" s="40" t="s">
        <v>383</v>
      </c>
      <c r="E59" s="428" t="s">
        <v>579</v>
      </c>
    </row>
    <row r="60" spans="1:5" x14ac:dyDescent="0.2">
      <c r="A60" s="429" t="s">
        <v>384</v>
      </c>
      <c r="B60" s="428" t="s">
        <v>580</v>
      </c>
      <c r="D60" s="40" t="s">
        <v>384</v>
      </c>
      <c r="E60" s="428" t="s">
        <v>580</v>
      </c>
    </row>
    <row r="61" spans="1:5" x14ac:dyDescent="0.2">
      <c r="A61" s="429" t="s">
        <v>387</v>
      </c>
      <c r="B61" s="428" t="s">
        <v>581</v>
      </c>
      <c r="D61" s="40" t="s">
        <v>387</v>
      </c>
      <c r="E61" s="428" t="s">
        <v>581</v>
      </c>
    </row>
    <row r="62" spans="1:5" x14ac:dyDescent="0.2">
      <c r="A62" s="429" t="s">
        <v>388</v>
      </c>
      <c r="B62" s="428" t="s">
        <v>582</v>
      </c>
      <c r="D62" s="40" t="s">
        <v>388</v>
      </c>
      <c r="E62" s="428" t="s">
        <v>582</v>
      </c>
    </row>
    <row r="63" spans="1:5" x14ac:dyDescent="0.2">
      <c r="A63" s="429" t="s">
        <v>385</v>
      </c>
      <c r="B63" s="428" t="s">
        <v>583</v>
      </c>
      <c r="D63" s="40" t="s">
        <v>385</v>
      </c>
      <c r="E63" s="428" t="s">
        <v>583</v>
      </c>
    </row>
    <row r="64" spans="1:5" x14ac:dyDescent="0.2">
      <c r="A64" s="429" t="s">
        <v>471</v>
      </c>
      <c r="B64" s="428" t="s">
        <v>584</v>
      </c>
      <c r="D64" s="40" t="s">
        <v>471</v>
      </c>
      <c r="E64" s="428" t="s">
        <v>584</v>
      </c>
    </row>
    <row r="65" spans="1:5" x14ac:dyDescent="0.2">
      <c r="A65" s="429" t="s">
        <v>389</v>
      </c>
      <c r="B65" s="428" t="s">
        <v>585</v>
      </c>
      <c r="D65" s="40" t="s">
        <v>389</v>
      </c>
      <c r="E65" s="428" t="s">
        <v>585</v>
      </c>
    </row>
    <row r="66" spans="1:5" x14ac:dyDescent="0.2">
      <c r="A66" s="429" t="s">
        <v>390</v>
      </c>
      <c r="B66" s="428" t="s">
        <v>586</v>
      </c>
      <c r="D66" s="40" t="s">
        <v>390</v>
      </c>
      <c r="E66" s="428" t="s">
        <v>586</v>
      </c>
    </row>
    <row r="67" spans="1:5" x14ac:dyDescent="0.2">
      <c r="A67" s="429" t="s">
        <v>386</v>
      </c>
      <c r="B67" s="428" t="s">
        <v>587</v>
      </c>
      <c r="D67" s="40" t="s">
        <v>386</v>
      </c>
      <c r="E67" s="428" t="s">
        <v>587</v>
      </c>
    </row>
    <row r="69" spans="1:5" x14ac:dyDescent="0.2">
      <c r="A69" s="429" t="s">
        <v>391</v>
      </c>
      <c r="B69" s="428" t="s">
        <v>588</v>
      </c>
      <c r="D69" s="40" t="s">
        <v>391</v>
      </c>
      <c r="E69" s="428" t="s">
        <v>588</v>
      </c>
    </row>
    <row r="70" spans="1:5" x14ac:dyDescent="0.2">
      <c r="A70" s="429" t="s">
        <v>391</v>
      </c>
      <c r="B70" s="428" t="s">
        <v>588</v>
      </c>
      <c r="D70" s="40" t="s">
        <v>391</v>
      </c>
      <c r="E70" s="428" t="s">
        <v>588</v>
      </c>
    </row>
    <row r="71" spans="1:5" x14ac:dyDescent="0.2">
      <c r="A71" s="429" t="s">
        <v>392</v>
      </c>
      <c r="B71" s="428" t="s">
        <v>589</v>
      </c>
      <c r="D71" s="40" t="s">
        <v>392</v>
      </c>
      <c r="E71" s="428" t="s">
        <v>589</v>
      </c>
    </row>
    <row r="72" spans="1:5" x14ac:dyDescent="0.2">
      <c r="A72" s="429" t="s">
        <v>523</v>
      </c>
      <c r="B72" s="428" t="s">
        <v>590</v>
      </c>
      <c r="D72" s="40" t="s">
        <v>523</v>
      </c>
      <c r="E72" s="428" t="s">
        <v>590</v>
      </c>
    </row>
    <row r="73" spans="1:5" x14ac:dyDescent="0.2">
      <c r="A73" s="429" t="s">
        <v>524</v>
      </c>
      <c r="B73" s="428" t="s">
        <v>756</v>
      </c>
      <c r="D73" s="40" t="s">
        <v>524</v>
      </c>
      <c r="E73" s="428" t="s">
        <v>755</v>
      </c>
    </row>
    <row r="74" spans="1:5" x14ac:dyDescent="0.2">
      <c r="A74" s="429" t="s">
        <v>847</v>
      </c>
      <c r="B74" s="428" t="s">
        <v>848</v>
      </c>
      <c r="E74" s="428" t="s">
        <v>848</v>
      </c>
    </row>
    <row r="75" spans="1:5" x14ac:dyDescent="0.2">
      <c r="A75" s="429" t="s">
        <v>393</v>
      </c>
      <c r="B75" s="428" t="s">
        <v>591</v>
      </c>
      <c r="D75" s="40" t="s">
        <v>393</v>
      </c>
      <c r="E75" s="428" t="s">
        <v>591</v>
      </c>
    </row>
    <row r="76" spans="1:5" x14ac:dyDescent="0.2">
      <c r="A76" s="429" t="s">
        <v>394</v>
      </c>
      <c r="B76" s="428" t="s">
        <v>592</v>
      </c>
      <c r="D76" s="40" t="s">
        <v>394</v>
      </c>
      <c r="E76" s="428" t="s">
        <v>592</v>
      </c>
    </row>
    <row r="77" spans="1:5" x14ac:dyDescent="0.2">
      <c r="A77" s="429" t="s">
        <v>395</v>
      </c>
      <c r="B77" s="428" t="s">
        <v>593</v>
      </c>
      <c r="D77" s="40" t="s">
        <v>395</v>
      </c>
      <c r="E77" s="428" t="s">
        <v>593</v>
      </c>
    </row>
    <row r="78" spans="1:5" x14ac:dyDescent="0.2">
      <c r="A78" s="429" t="s">
        <v>396</v>
      </c>
      <c r="B78" s="428" t="s">
        <v>594</v>
      </c>
      <c r="D78" s="40" t="s">
        <v>396</v>
      </c>
      <c r="E78" s="428" t="s">
        <v>594</v>
      </c>
    </row>
    <row r="79" spans="1:5" x14ac:dyDescent="0.2">
      <c r="A79" s="429" t="s">
        <v>397</v>
      </c>
      <c r="B79" s="428" t="s">
        <v>593</v>
      </c>
      <c r="D79" s="40" t="s">
        <v>397</v>
      </c>
      <c r="E79" s="428" t="s">
        <v>593</v>
      </c>
    </row>
    <row r="80" spans="1:5" x14ac:dyDescent="0.2">
      <c r="A80" s="429" t="s">
        <v>398</v>
      </c>
      <c r="B80" s="428" t="s">
        <v>595</v>
      </c>
      <c r="D80" s="40" t="s">
        <v>398</v>
      </c>
      <c r="E80" s="428" t="s">
        <v>595</v>
      </c>
    </row>
    <row r="81" spans="1:5" x14ac:dyDescent="0.2">
      <c r="A81" s="429" t="s">
        <v>395</v>
      </c>
      <c r="B81" s="428" t="s">
        <v>593</v>
      </c>
      <c r="D81" s="40" t="s">
        <v>395</v>
      </c>
      <c r="E81" s="428" t="s">
        <v>593</v>
      </c>
    </row>
    <row r="82" spans="1:5" x14ac:dyDescent="0.2">
      <c r="A82" s="429" t="s">
        <v>399</v>
      </c>
      <c r="B82" s="428" t="s">
        <v>596</v>
      </c>
      <c r="D82" s="40" t="s">
        <v>399</v>
      </c>
      <c r="E82" s="428" t="s">
        <v>596</v>
      </c>
    </row>
    <row r="83" spans="1:5" x14ac:dyDescent="0.2">
      <c r="A83" s="429" t="s">
        <v>400</v>
      </c>
      <c r="B83" s="428" t="s">
        <v>597</v>
      </c>
      <c r="D83" s="40" t="s">
        <v>400</v>
      </c>
      <c r="E83" s="428" t="s">
        <v>597</v>
      </c>
    </row>
    <row r="84" spans="1:5" x14ac:dyDescent="0.2">
      <c r="A84" s="429" t="s">
        <v>492</v>
      </c>
      <c r="B84" s="428" t="s">
        <v>598</v>
      </c>
      <c r="D84" s="40" t="s">
        <v>492</v>
      </c>
      <c r="E84" s="428" t="s">
        <v>598</v>
      </c>
    </row>
    <row r="86" spans="1:5" x14ac:dyDescent="0.2">
      <c r="A86" s="429" t="s">
        <v>514</v>
      </c>
      <c r="B86" s="428" t="s">
        <v>599</v>
      </c>
      <c r="D86" s="40" t="s">
        <v>514</v>
      </c>
      <c r="E86" s="428" t="s">
        <v>599</v>
      </c>
    </row>
    <row r="88" spans="1:5" x14ac:dyDescent="0.2">
      <c r="A88" s="429" t="s">
        <v>401</v>
      </c>
      <c r="B88" s="428" t="s">
        <v>600</v>
      </c>
      <c r="D88" s="40" t="s">
        <v>401</v>
      </c>
      <c r="E88" s="428" t="s">
        <v>600</v>
      </c>
    </row>
    <row r="89" spans="1:5" x14ac:dyDescent="0.2">
      <c r="A89" s="429" t="s">
        <v>402</v>
      </c>
      <c r="B89" s="428" t="s">
        <v>601</v>
      </c>
      <c r="D89" s="40" t="s">
        <v>402</v>
      </c>
      <c r="E89" s="428" t="s">
        <v>601</v>
      </c>
    </row>
    <row r="90" spans="1:5" x14ac:dyDescent="0.2">
      <c r="A90" s="429" t="s">
        <v>408</v>
      </c>
      <c r="B90" s="428" t="s">
        <v>555</v>
      </c>
      <c r="D90" s="40" t="s">
        <v>408</v>
      </c>
      <c r="E90" s="428" t="s">
        <v>555</v>
      </c>
    </row>
    <row r="91" spans="1:5" x14ac:dyDescent="0.2">
      <c r="A91" s="429" t="s">
        <v>404</v>
      </c>
      <c r="B91" s="428" t="s">
        <v>602</v>
      </c>
      <c r="D91" s="40" t="s">
        <v>404</v>
      </c>
      <c r="E91" s="428" t="s">
        <v>602</v>
      </c>
    </row>
    <row r="92" spans="1:5" x14ac:dyDescent="0.2">
      <c r="A92" s="429" t="s">
        <v>405</v>
      </c>
      <c r="B92" s="428" t="s">
        <v>603</v>
      </c>
      <c r="D92" s="40" t="s">
        <v>405</v>
      </c>
      <c r="E92" s="428" t="s">
        <v>603</v>
      </c>
    </row>
    <row r="93" spans="1:5" x14ac:dyDescent="0.2">
      <c r="A93" s="429" t="s">
        <v>406</v>
      </c>
      <c r="B93" s="428" t="s">
        <v>604</v>
      </c>
      <c r="D93" s="40" t="s">
        <v>406</v>
      </c>
      <c r="E93" s="428" t="s">
        <v>604</v>
      </c>
    </row>
    <row r="94" spans="1:5" x14ac:dyDescent="0.2">
      <c r="A94" s="429" t="s">
        <v>407</v>
      </c>
      <c r="B94" s="428" t="s">
        <v>605</v>
      </c>
      <c r="D94" s="40" t="s">
        <v>407</v>
      </c>
      <c r="E94" s="428" t="s">
        <v>605</v>
      </c>
    </row>
    <row r="95" spans="1:5" x14ac:dyDescent="0.2">
      <c r="A95" s="429" t="s">
        <v>403</v>
      </c>
      <c r="B95" s="428" t="s">
        <v>606</v>
      </c>
      <c r="D95" s="40" t="s">
        <v>403</v>
      </c>
      <c r="E95" s="428" t="s">
        <v>606</v>
      </c>
    </row>
    <row r="97" spans="1:5" x14ac:dyDescent="0.2">
      <c r="A97" s="429" t="s">
        <v>412</v>
      </c>
      <c r="B97" s="428" t="s">
        <v>607</v>
      </c>
      <c r="D97" s="40" t="s">
        <v>412</v>
      </c>
      <c r="E97" s="428" t="s">
        <v>607</v>
      </c>
    </row>
    <row r="99" spans="1:5" x14ac:dyDescent="0.2">
      <c r="A99" s="433" t="s">
        <v>525</v>
      </c>
      <c r="B99" s="428" t="s">
        <v>608</v>
      </c>
      <c r="E99" s="428" t="s">
        <v>608</v>
      </c>
    </row>
    <row r="100" spans="1:5" x14ac:dyDescent="0.2">
      <c r="A100" s="429" t="s">
        <v>413</v>
      </c>
      <c r="B100" s="428" t="s">
        <v>553</v>
      </c>
      <c r="D100" s="40" t="s">
        <v>413</v>
      </c>
      <c r="E100" s="428" t="s">
        <v>553</v>
      </c>
    </row>
    <row r="101" spans="1:5" x14ac:dyDescent="0.2">
      <c r="A101" s="429" t="s">
        <v>186</v>
      </c>
      <c r="B101" s="428" t="s">
        <v>609</v>
      </c>
      <c r="D101" s="40" t="s">
        <v>186</v>
      </c>
      <c r="E101" s="428" t="s">
        <v>609</v>
      </c>
    </row>
    <row r="102" spans="1:5" x14ac:dyDescent="0.2">
      <c r="A102" s="429" t="s">
        <v>414</v>
      </c>
      <c r="B102" s="428" t="s">
        <v>610</v>
      </c>
      <c r="D102" s="40" t="s">
        <v>414</v>
      </c>
      <c r="E102" s="428" t="s">
        <v>610</v>
      </c>
    </row>
    <row r="104" spans="1:5" x14ac:dyDescent="0.2">
      <c r="A104" s="429" t="s">
        <v>415</v>
      </c>
      <c r="B104" s="428" t="s">
        <v>611</v>
      </c>
      <c r="D104" s="40" t="s">
        <v>415</v>
      </c>
      <c r="E104" s="428" t="s">
        <v>611</v>
      </c>
    </row>
    <row r="105" spans="1:5" x14ac:dyDescent="0.2">
      <c r="A105" s="429" t="s">
        <v>416</v>
      </c>
      <c r="B105" s="428" t="s">
        <v>813</v>
      </c>
      <c r="D105" s="40" t="s">
        <v>416</v>
      </c>
      <c r="E105" s="428" t="s">
        <v>813</v>
      </c>
    </row>
    <row r="106" spans="1:5" x14ac:dyDescent="0.2">
      <c r="A106" s="429" t="s">
        <v>417</v>
      </c>
      <c r="B106" s="428" t="s">
        <v>814</v>
      </c>
      <c r="D106" s="40" t="s">
        <v>417</v>
      </c>
      <c r="E106" s="428" t="s">
        <v>814</v>
      </c>
    </row>
    <row r="107" spans="1:5" x14ac:dyDescent="0.2">
      <c r="A107" s="429" t="s">
        <v>418</v>
      </c>
      <c r="B107" s="428" t="s">
        <v>828</v>
      </c>
      <c r="D107" s="40" t="s">
        <v>418</v>
      </c>
      <c r="E107" s="428" t="s">
        <v>815</v>
      </c>
    </row>
    <row r="108" spans="1:5" x14ac:dyDescent="0.2">
      <c r="A108" s="429" t="s">
        <v>295</v>
      </c>
      <c r="B108" s="428" t="s">
        <v>613</v>
      </c>
      <c r="D108" s="40" t="s">
        <v>295</v>
      </c>
      <c r="E108" s="428" t="s">
        <v>613</v>
      </c>
    </row>
    <row r="109" spans="1:5" x14ac:dyDescent="0.2">
      <c r="A109" s="429" t="s">
        <v>427</v>
      </c>
      <c r="B109" s="428" t="s">
        <v>614</v>
      </c>
      <c r="D109" s="40" t="s">
        <v>427</v>
      </c>
      <c r="E109" s="428" t="s">
        <v>614</v>
      </c>
    </row>
    <row r="110" spans="1:5" x14ac:dyDescent="0.2">
      <c r="A110" s="429" t="s">
        <v>428</v>
      </c>
      <c r="B110" s="428" t="s">
        <v>615</v>
      </c>
      <c r="D110" s="40" t="s">
        <v>542</v>
      </c>
      <c r="E110" s="428" t="s">
        <v>615</v>
      </c>
    </row>
    <row r="111" spans="1:5" x14ac:dyDescent="0.2">
      <c r="A111" s="429" t="s">
        <v>429</v>
      </c>
      <c r="B111" s="428" t="s">
        <v>816</v>
      </c>
      <c r="D111" s="40" t="s">
        <v>429</v>
      </c>
      <c r="E111" s="428" t="s">
        <v>816</v>
      </c>
    </row>
    <row r="112" spans="1:5" x14ac:dyDescent="0.2">
      <c r="A112" s="429" t="s">
        <v>430</v>
      </c>
      <c r="B112" s="428" t="s">
        <v>616</v>
      </c>
      <c r="D112" s="40" t="s">
        <v>430</v>
      </c>
      <c r="E112" s="428" t="s">
        <v>616</v>
      </c>
    </row>
    <row r="114" spans="1:5" x14ac:dyDescent="0.2">
      <c r="A114" s="429" t="s">
        <v>439</v>
      </c>
      <c r="B114" s="428" t="s">
        <v>546</v>
      </c>
      <c r="D114" s="40" t="s">
        <v>439</v>
      </c>
      <c r="E114" s="428" t="s">
        <v>546</v>
      </c>
    </row>
    <row r="115" spans="1:5" x14ac:dyDescent="0.2">
      <c r="A115" s="429" t="s">
        <v>431</v>
      </c>
      <c r="B115" s="428" t="s">
        <v>617</v>
      </c>
      <c r="D115" s="40" t="s">
        <v>431</v>
      </c>
      <c r="E115" s="428" t="s">
        <v>617</v>
      </c>
    </row>
    <row r="116" spans="1:5" x14ac:dyDescent="0.2">
      <c r="A116" s="429" t="s">
        <v>432</v>
      </c>
      <c r="B116" s="428" t="s">
        <v>618</v>
      </c>
      <c r="D116" s="40" t="s">
        <v>432</v>
      </c>
      <c r="E116" s="428" t="s">
        <v>618</v>
      </c>
    </row>
    <row r="117" spans="1:5" x14ac:dyDescent="0.2">
      <c r="A117" s="429" t="s">
        <v>440</v>
      </c>
      <c r="B117" s="428" t="s">
        <v>509</v>
      </c>
      <c r="D117" s="40" t="s">
        <v>440</v>
      </c>
      <c r="E117" s="428" t="s">
        <v>509</v>
      </c>
    </row>
    <row r="118" spans="1:5" x14ac:dyDescent="0.2">
      <c r="A118" s="429" t="s">
        <v>431</v>
      </c>
      <c r="B118" s="428" t="s">
        <v>617</v>
      </c>
      <c r="D118" s="40" t="s">
        <v>431</v>
      </c>
      <c r="E118" s="428" t="s">
        <v>617</v>
      </c>
    </row>
    <row r="119" spans="1:5" x14ac:dyDescent="0.2">
      <c r="A119" s="429" t="s">
        <v>432</v>
      </c>
      <c r="B119" s="428" t="s">
        <v>618</v>
      </c>
      <c r="D119" s="40" t="s">
        <v>432</v>
      </c>
      <c r="E119" s="428" t="s">
        <v>618</v>
      </c>
    </row>
    <row r="121" spans="1:5" x14ac:dyDescent="0.2">
      <c r="A121" s="429" t="s">
        <v>470</v>
      </c>
      <c r="B121" s="428" t="s">
        <v>757</v>
      </c>
      <c r="D121" s="40" t="s">
        <v>470</v>
      </c>
      <c r="E121" s="428" t="s">
        <v>757</v>
      </c>
    </row>
    <row r="122" spans="1:5" x14ac:dyDescent="0.2">
      <c r="A122" s="429" t="s">
        <v>433</v>
      </c>
      <c r="B122" s="428" t="s">
        <v>619</v>
      </c>
      <c r="D122" s="40" t="s">
        <v>433</v>
      </c>
      <c r="E122" s="428" t="s">
        <v>619</v>
      </c>
    </row>
    <row r="123" spans="1:5" x14ac:dyDescent="0.2">
      <c r="A123" s="429" t="s">
        <v>528</v>
      </c>
      <c r="B123" s="428" t="s">
        <v>620</v>
      </c>
      <c r="D123" s="40" t="s">
        <v>528</v>
      </c>
      <c r="E123" s="428" t="s">
        <v>620</v>
      </c>
    </row>
    <row r="124" spans="1:5" x14ac:dyDescent="0.2">
      <c r="A124" s="429" t="s">
        <v>526</v>
      </c>
      <c r="B124" s="428" t="s">
        <v>621</v>
      </c>
      <c r="D124" s="40" t="s">
        <v>526</v>
      </c>
      <c r="E124" s="428" t="s">
        <v>621</v>
      </c>
    </row>
    <row r="125" spans="1:5" x14ac:dyDescent="0.2">
      <c r="A125" s="429" t="s">
        <v>529</v>
      </c>
      <c r="B125" s="428" t="s">
        <v>622</v>
      </c>
      <c r="D125" s="40" t="s">
        <v>529</v>
      </c>
      <c r="E125" s="428" t="s">
        <v>622</v>
      </c>
    </row>
    <row r="126" spans="1:5" x14ac:dyDescent="0.2">
      <c r="A126" s="429" t="s">
        <v>526</v>
      </c>
      <c r="B126" s="428" t="s">
        <v>621</v>
      </c>
      <c r="D126" s="40" t="s">
        <v>526</v>
      </c>
      <c r="E126" s="428" t="s">
        <v>621</v>
      </c>
    </row>
    <row r="127" spans="1:5" x14ac:dyDescent="0.2">
      <c r="A127" s="429" t="s">
        <v>530</v>
      </c>
      <c r="B127" s="428" t="s">
        <v>623</v>
      </c>
      <c r="D127" s="40" t="s">
        <v>530</v>
      </c>
      <c r="E127" s="428" t="s">
        <v>623</v>
      </c>
    </row>
    <row r="128" spans="1:5" x14ac:dyDescent="0.2">
      <c r="A128" s="429" t="s">
        <v>527</v>
      </c>
      <c r="B128" s="428" t="s">
        <v>527</v>
      </c>
      <c r="D128" s="40" t="s">
        <v>527</v>
      </c>
      <c r="E128" s="428" t="s">
        <v>527</v>
      </c>
    </row>
    <row r="129" spans="1:5" x14ac:dyDescent="0.2">
      <c r="A129" s="429" t="s">
        <v>434</v>
      </c>
      <c r="B129" s="428" t="s">
        <v>624</v>
      </c>
      <c r="D129" s="40" t="s">
        <v>434</v>
      </c>
      <c r="E129" s="428" t="s">
        <v>624</v>
      </c>
    </row>
    <row r="130" spans="1:5" x14ac:dyDescent="0.2">
      <c r="A130" s="429" t="s">
        <v>435</v>
      </c>
      <c r="B130" s="428" t="s">
        <v>625</v>
      </c>
      <c r="D130" s="40" t="s">
        <v>435</v>
      </c>
      <c r="E130" s="428" t="s">
        <v>625</v>
      </c>
    </row>
    <row r="131" spans="1:5" x14ac:dyDescent="0.2">
      <c r="A131" s="429" t="s">
        <v>436</v>
      </c>
      <c r="B131" s="428" t="s">
        <v>626</v>
      </c>
      <c r="D131" s="40" t="s">
        <v>436</v>
      </c>
      <c r="E131" s="428" t="s">
        <v>626</v>
      </c>
    </row>
    <row r="133" spans="1:5" x14ac:dyDescent="0.2">
      <c r="A133" s="429" t="s">
        <v>437</v>
      </c>
      <c r="B133" s="428" t="s">
        <v>838</v>
      </c>
      <c r="D133" s="40" t="s">
        <v>437</v>
      </c>
      <c r="E133" s="428" t="s">
        <v>838</v>
      </c>
    </row>
    <row r="134" spans="1:5" x14ac:dyDescent="0.2">
      <c r="A134" s="429" t="s">
        <v>438</v>
      </c>
      <c r="B134" s="428" t="s">
        <v>627</v>
      </c>
      <c r="D134" t="s">
        <v>438</v>
      </c>
      <c r="E134" s="428" t="s">
        <v>627</v>
      </c>
    </row>
    <row r="135" spans="1:5" x14ac:dyDescent="0.2">
      <c r="A135" s="429" t="s">
        <v>508</v>
      </c>
      <c r="B135" s="428" t="s">
        <v>546</v>
      </c>
      <c r="D135" t="s">
        <v>508</v>
      </c>
      <c r="E135" s="428" t="s">
        <v>546</v>
      </c>
    </row>
    <row r="136" spans="1:5" x14ac:dyDescent="0.2">
      <c r="A136" s="429" t="s">
        <v>509</v>
      </c>
      <c r="B136" s="428" t="s">
        <v>509</v>
      </c>
      <c r="D136" t="s">
        <v>509</v>
      </c>
      <c r="E136" s="428" t="s">
        <v>509</v>
      </c>
    </row>
    <row r="137" spans="1:5" x14ac:dyDescent="0.2">
      <c r="A137" s="429" t="s">
        <v>441</v>
      </c>
      <c r="B137" s="428" t="s">
        <v>628</v>
      </c>
      <c r="D137" t="s">
        <v>441</v>
      </c>
      <c r="E137" s="428" t="s">
        <v>628</v>
      </c>
    </row>
    <row r="138" spans="1:5" x14ac:dyDescent="0.2">
      <c r="A138" s="429"/>
    </row>
    <row r="139" spans="1:5" x14ac:dyDescent="0.2">
      <c r="A139" s="429" t="s">
        <v>497</v>
      </c>
      <c r="B139" s="428" t="s">
        <v>819</v>
      </c>
      <c r="D139" s="40" t="s">
        <v>497</v>
      </c>
      <c r="E139" s="428" t="s">
        <v>819</v>
      </c>
    </row>
    <row r="140" spans="1:5" x14ac:dyDescent="0.2">
      <c r="A140" s="429" t="s">
        <v>532</v>
      </c>
      <c r="B140" s="428" t="s">
        <v>629</v>
      </c>
      <c r="D140" s="40" t="s">
        <v>532</v>
      </c>
      <c r="E140" s="428" t="s">
        <v>629</v>
      </c>
    </row>
    <row r="141" spans="1:5" x14ac:dyDescent="0.2">
      <c r="A141" s="429" t="s">
        <v>498</v>
      </c>
      <c r="B141" s="428" t="s">
        <v>818</v>
      </c>
      <c r="D141" s="40" t="s">
        <v>676</v>
      </c>
      <c r="E141" s="428" t="s">
        <v>818</v>
      </c>
    </row>
    <row r="142" spans="1:5" x14ac:dyDescent="0.2">
      <c r="A142" s="429" t="s">
        <v>493</v>
      </c>
      <c r="B142" s="428" t="s">
        <v>630</v>
      </c>
      <c r="D142" t="s">
        <v>493</v>
      </c>
      <c r="E142" s="428" t="s">
        <v>630</v>
      </c>
    </row>
    <row r="143" spans="1:5" x14ac:dyDescent="0.2">
      <c r="A143" s="429" t="s">
        <v>494</v>
      </c>
      <c r="B143" s="428" t="s">
        <v>631</v>
      </c>
      <c r="D143" t="s">
        <v>494</v>
      </c>
      <c r="E143" s="428" t="s">
        <v>631</v>
      </c>
    </row>
    <row r="144" spans="1:5" x14ac:dyDescent="0.2">
      <c r="A144" s="429" t="s">
        <v>471</v>
      </c>
      <c r="B144" s="428" t="s">
        <v>584</v>
      </c>
      <c r="D144" t="s">
        <v>471</v>
      </c>
      <c r="E144" s="428" t="s">
        <v>584</v>
      </c>
    </row>
    <row r="145" spans="1:5" x14ac:dyDescent="0.2">
      <c r="A145" s="429" t="s">
        <v>533</v>
      </c>
      <c r="B145" s="428" t="s">
        <v>632</v>
      </c>
      <c r="D145" t="s">
        <v>533</v>
      </c>
      <c r="E145" s="428" t="s">
        <v>632</v>
      </c>
    </row>
    <row r="146" spans="1:5" x14ac:dyDescent="0.2">
      <c r="A146" s="429"/>
    </row>
    <row r="147" spans="1:5" x14ac:dyDescent="0.2">
      <c r="A147" s="429" t="s">
        <v>488</v>
      </c>
      <c r="B147" s="428" t="s">
        <v>633</v>
      </c>
      <c r="D147" t="s">
        <v>488</v>
      </c>
      <c r="E147" s="428" t="s">
        <v>633</v>
      </c>
    </row>
    <row r="148" spans="1:5" x14ac:dyDescent="0.2">
      <c r="A148" s="429" t="s">
        <v>442</v>
      </c>
      <c r="B148" s="428" t="s">
        <v>634</v>
      </c>
      <c r="D148" t="s">
        <v>442</v>
      </c>
      <c r="E148" s="428" t="s">
        <v>634</v>
      </c>
    </row>
    <row r="149" spans="1:5" x14ac:dyDescent="0.2">
      <c r="A149" s="429" t="s">
        <v>443</v>
      </c>
      <c r="B149" s="428" t="s">
        <v>635</v>
      </c>
      <c r="D149" t="s">
        <v>443</v>
      </c>
      <c r="E149" s="428" t="s">
        <v>635</v>
      </c>
    </row>
    <row r="150" spans="1:5" x14ac:dyDescent="0.2">
      <c r="A150" s="429"/>
    </row>
    <row r="151" spans="1:5" x14ac:dyDescent="0.2">
      <c r="A151" s="429" t="s">
        <v>444</v>
      </c>
      <c r="B151" s="428" t="s">
        <v>636</v>
      </c>
      <c r="D151" t="s">
        <v>444</v>
      </c>
      <c r="E151" s="428" t="s">
        <v>636</v>
      </c>
    </row>
    <row r="152" spans="1:5" x14ac:dyDescent="0.2">
      <c r="A152" s="429" t="s">
        <v>412</v>
      </c>
      <c r="B152" s="428" t="s">
        <v>607</v>
      </c>
      <c r="D152" t="s">
        <v>412</v>
      </c>
      <c r="E152" s="428" t="s">
        <v>607</v>
      </c>
    </row>
    <row r="154" spans="1:5" x14ac:dyDescent="0.2">
      <c r="A154" t="s">
        <v>534</v>
      </c>
      <c r="B154" s="428" t="s">
        <v>637</v>
      </c>
      <c r="E154" s="428" t="s">
        <v>637</v>
      </c>
    </row>
    <row r="155" spans="1:5" x14ac:dyDescent="0.2">
      <c r="A155" s="429" t="s">
        <v>450</v>
      </c>
      <c r="B155" s="428" t="s">
        <v>638</v>
      </c>
      <c r="D155" t="s">
        <v>450</v>
      </c>
      <c r="E155" s="428" t="s">
        <v>638</v>
      </c>
    </row>
    <row r="156" spans="1:5" x14ac:dyDescent="0.2">
      <c r="A156" s="429" t="s">
        <v>439</v>
      </c>
      <c r="B156" s="428" t="s">
        <v>546</v>
      </c>
      <c r="D156" t="s">
        <v>439</v>
      </c>
      <c r="E156" s="428" t="s">
        <v>546</v>
      </c>
    </row>
    <row r="157" spans="1:5" x14ac:dyDescent="0.2">
      <c r="A157" s="429" t="s">
        <v>440</v>
      </c>
      <c r="B157" s="428" t="s">
        <v>509</v>
      </c>
      <c r="D157" t="s">
        <v>440</v>
      </c>
      <c r="E157" s="428" t="s">
        <v>509</v>
      </c>
    </row>
    <row r="158" spans="1:5" x14ac:dyDescent="0.2">
      <c r="A158" s="429" t="s">
        <v>451</v>
      </c>
      <c r="B158" s="428" t="s">
        <v>639</v>
      </c>
      <c r="D158" t="s">
        <v>451</v>
      </c>
      <c r="E158" s="428" t="s">
        <v>639</v>
      </c>
    </row>
    <row r="159" spans="1:5" x14ac:dyDescent="0.2">
      <c r="A159" s="429" t="s">
        <v>452</v>
      </c>
      <c r="B159" s="428" t="s">
        <v>640</v>
      </c>
      <c r="D159" t="s">
        <v>452</v>
      </c>
      <c r="E159" s="428" t="s">
        <v>640</v>
      </c>
    </row>
    <row r="160" spans="1:5" x14ac:dyDescent="0.2">
      <c r="A160" s="429" t="s">
        <v>453</v>
      </c>
      <c r="B160" s="428" t="s">
        <v>641</v>
      </c>
      <c r="D160" t="s">
        <v>453</v>
      </c>
      <c r="E160" s="428" t="s">
        <v>641</v>
      </c>
    </row>
    <row r="161" spans="1:5" x14ac:dyDescent="0.2">
      <c r="A161" s="429" t="s">
        <v>454</v>
      </c>
      <c r="B161" s="428" t="s">
        <v>642</v>
      </c>
      <c r="D161" t="s">
        <v>454</v>
      </c>
      <c r="E161" s="428" t="s">
        <v>642</v>
      </c>
    </row>
    <row r="162" spans="1:5" x14ac:dyDescent="0.2">
      <c r="A162" s="429" t="s">
        <v>455</v>
      </c>
      <c r="B162" s="428" t="s">
        <v>643</v>
      </c>
      <c r="D162" t="s">
        <v>455</v>
      </c>
      <c r="E162" s="428" t="s">
        <v>643</v>
      </c>
    </row>
    <row r="163" spans="1:5" x14ac:dyDescent="0.2">
      <c r="A163" s="429" t="s">
        <v>441</v>
      </c>
      <c r="B163" s="428" t="s">
        <v>628</v>
      </c>
      <c r="D163" t="s">
        <v>441</v>
      </c>
      <c r="E163" s="428" t="s">
        <v>628</v>
      </c>
    </row>
    <row r="164" spans="1:5" x14ac:dyDescent="0.2">
      <c r="A164" s="429" t="s">
        <v>456</v>
      </c>
      <c r="B164" s="428" t="s">
        <v>644</v>
      </c>
      <c r="D164" t="s">
        <v>456</v>
      </c>
      <c r="E164" s="428" t="s">
        <v>644</v>
      </c>
    </row>
    <row r="165" spans="1:5" x14ac:dyDescent="0.2">
      <c r="A165" s="429" t="s">
        <v>431</v>
      </c>
      <c r="B165" s="428" t="s">
        <v>617</v>
      </c>
      <c r="D165" t="s">
        <v>431</v>
      </c>
      <c r="E165" s="428" t="s">
        <v>617</v>
      </c>
    </row>
    <row r="166" spans="1:5" x14ac:dyDescent="0.2">
      <c r="A166" s="429" t="s">
        <v>432</v>
      </c>
      <c r="B166" s="428" t="s">
        <v>645</v>
      </c>
      <c r="D166" t="s">
        <v>432</v>
      </c>
      <c r="E166" s="428" t="s">
        <v>645</v>
      </c>
    </row>
    <row r="167" spans="1:5" x14ac:dyDescent="0.2">
      <c r="A167" s="429" t="s">
        <v>386</v>
      </c>
      <c r="B167" s="428" t="s">
        <v>646</v>
      </c>
      <c r="D167" t="s">
        <v>386</v>
      </c>
      <c r="E167" s="428" t="s">
        <v>646</v>
      </c>
    </row>
    <row r="169" spans="1:5" x14ac:dyDescent="0.2">
      <c r="A169" s="429" t="s">
        <v>457</v>
      </c>
      <c r="B169" s="428" t="s">
        <v>647</v>
      </c>
      <c r="D169" t="s">
        <v>457</v>
      </c>
      <c r="E169" s="428" t="s">
        <v>647</v>
      </c>
    </row>
    <row r="170" spans="1:5" x14ac:dyDescent="0.2">
      <c r="A170" s="429" t="s">
        <v>458</v>
      </c>
      <c r="B170" s="428" t="s">
        <v>648</v>
      </c>
      <c r="D170" t="s">
        <v>458</v>
      </c>
      <c r="E170" s="428" t="s">
        <v>648</v>
      </c>
    </row>
    <row r="171" spans="1:5" x14ac:dyDescent="0.2">
      <c r="A171" s="429" t="s">
        <v>459</v>
      </c>
      <c r="B171" s="428" t="s">
        <v>649</v>
      </c>
      <c r="D171" t="s">
        <v>459</v>
      </c>
      <c r="E171" s="428" t="s">
        <v>649</v>
      </c>
    </row>
    <row r="172" spans="1:5" x14ac:dyDescent="0.2">
      <c r="A172" s="429" t="s">
        <v>508</v>
      </c>
      <c r="B172" s="428" t="s">
        <v>546</v>
      </c>
      <c r="D172" t="s">
        <v>508</v>
      </c>
      <c r="E172" s="428" t="s">
        <v>546</v>
      </c>
    </row>
    <row r="173" spans="1:5" x14ac:dyDescent="0.2">
      <c r="A173" s="429" t="s">
        <v>509</v>
      </c>
      <c r="B173" s="428" t="s">
        <v>509</v>
      </c>
      <c r="D173" t="s">
        <v>509</v>
      </c>
      <c r="E173" s="428" t="s">
        <v>509</v>
      </c>
    </row>
    <row r="174" spans="1:5" x14ac:dyDescent="0.2">
      <c r="A174" s="429" t="s">
        <v>460</v>
      </c>
      <c r="B174" s="428" t="s">
        <v>650</v>
      </c>
      <c r="D174" t="s">
        <v>460</v>
      </c>
      <c r="E174" s="428" t="s">
        <v>650</v>
      </c>
    </row>
    <row r="175" spans="1:5" x14ac:dyDescent="0.2">
      <c r="A175" s="429" t="s">
        <v>461</v>
      </c>
      <c r="B175" s="428" t="s">
        <v>651</v>
      </c>
      <c r="D175" t="s">
        <v>461</v>
      </c>
      <c r="E175" s="428" t="s">
        <v>651</v>
      </c>
    </row>
    <row r="176" spans="1:5" x14ac:dyDescent="0.2">
      <c r="A176" s="429" t="s">
        <v>462</v>
      </c>
      <c r="B176" s="428" t="s">
        <v>652</v>
      </c>
      <c r="D176" t="s">
        <v>462</v>
      </c>
      <c r="E176" s="428" t="s">
        <v>652</v>
      </c>
    </row>
    <row r="177" spans="1:5" x14ac:dyDescent="0.2">
      <c r="A177" s="429" t="s">
        <v>463</v>
      </c>
      <c r="B177" s="428" t="s">
        <v>653</v>
      </c>
      <c r="D177" t="s">
        <v>463</v>
      </c>
      <c r="E177" s="428" t="s">
        <v>653</v>
      </c>
    </row>
    <row r="178" spans="1:5" x14ac:dyDescent="0.2">
      <c r="A178" s="429" t="s">
        <v>464</v>
      </c>
      <c r="B178" s="428" t="s">
        <v>654</v>
      </c>
      <c r="D178" t="s">
        <v>464</v>
      </c>
      <c r="E178" s="428" t="s">
        <v>654</v>
      </c>
    </row>
    <row r="179" spans="1:5" x14ac:dyDescent="0.2">
      <c r="A179" s="429" t="s">
        <v>465</v>
      </c>
      <c r="B179" s="428" t="s">
        <v>655</v>
      </c>
      <c r="D179" t="s">
        <v>465</v>
      </c>
      <c r="E179" s="428" t="s">
        <v>655</v>
      </c>
    </row>
    <row r="180" spans="1:5" x14ac:dyDescent="0.2">
      <c r="A180" s="429" t="s">
        <v>467</v>
      </c>
      <c r="B180" s="428" t="s">
        <v>656</v>
      </c>
      <c r="D180" t="s">
        <v>467</v>
      </c>
      <c r="E180" s="428" t="s">
        <v>656</v>
      </c>
    </row>
    <row r="181" spans="1:5" x14ac:dyDescent="0.2">
      <c r="A181" s="429" t="s">
        <v>466</v>
      </c>
      <c r="B181" s="428" t="s">
        <v>657</v>
      </c>
      <c r="D181" t="s">
        <v>466</v>
      </c>
      <c r="E181" s="428" t="s">
        <v>657</v>
      </c>
    </row>
    <row r="182" spans="1:5" x14ac:dyDescent="0.2">
      <c r="A182" s="429"/>
    </row>
    <row r="183" spans="1:5" x14ac:dyDescent="0.2">
      <c r="A183" s="429" t="s">
        <v>444</v>
      </c>
      <c r="B183" s="428" t="s">
        <v>636</v>
      </c>
      <c r="D183" t="s">
        <v>444</v>
      </c>
      <c r="E183" s="428" t="s">
        <v>636</v>
      </c>
    </row>
    <row r="184" spans="1:5" x14ac:dyDescent="0.2">
      <c r="A184" s="429" t="s">
        <v>412</v>
      </c>
      <c r="B184" s="428" t="s">
        <v>658</v>
      </c>
      <c r="D184" t="s">
        <v>412</v>
      </c>
      <c r="E184" s="428" t="s">
        <v>658</v>
      </c>
    </row>
    <row r="185" spans="1:5" x14ac:dyDescent="0.2">
      <c r="A185" s="429"/>
      <c r="D185"/>
    </row>
    <row r="186" spans="1:5" x14ac:dyDescent="0.2">
      <c r="A186" s="429" t="s">
        <v>419</v>
      </c>
      <c r="B186" s="428" t="s">
        <v>612</v>
      </c>
      <c r="D186" t="s">
        <v>419</v>
      </c>
      <c r="E186" s="428" t="s">
        <v>612</v>
      </c>
    </row>
    <row r="187" spans="1:5" x14ac:dyDescent="0.2">
      <c r="A187" s="429" t="s">
        <v>420</v>
      </c>
      <c r="B187" s="428" t="s">
        <v>420</v>
      </c>
      <c r="D187" t="s">
        <v>420</v>
      </c>
      <c r="E187" s="428" t="s">
        <v>420</v>
      </c>
    </row>
    <row r="188" spans="1:5" x14ac:dyDescent="0.2">
      <c r="A188" s="429" t="s">
        <v>421</v>
      </c>
      <c r="B188" s="428" t="s">
        <v>421</v>
      </c>
      <c r="D188" t="s">
        <v>421</v>
      </c>
      <c r="E188" s="428" t="s">
        <v>421</v>
      </c>
    </row>
    <row r="189" spans="1:5" x14ac:dyDescent="0.2">
      <c r="A189" s="429" t="s">
        <v>298</v>
      </c>
      <c r="B189" s="428" t="s">
        <v>668</v>
      </c>
      <c r="D189" t="s">
        <v>298</v>
      </c>
      <c r="E189" s="428" t="s">
        <v>668</v>
      </c>
    </row>
    <row r="190" spans="1:5" x14ac:dyDescent="0.2">
      <c r="A190" s="429" t="s">
        <v>423</v>
      </c>
      <c r="B190" s="428" t="s">
        <v>612</v>
      </c>
      <c r="D190" t="s">
        <v>423</v>
      </c>
      <c r="E190" s="428" t="s">
        <v>612</v>
      </c>
    </row>
    <row r="191" spans="1:5" x14ac:dyDescent="0.2">
      <c r="A191" s="429" t="s">
        <v>299</v>
      </c>
      <c r="B191" s="428" t="s">
        <v>299</v>
      </c>
      <c r="D191" t="s">
        <v>299</v>
      </c>
      <c r="E191" s="428" t="s">
        <v>299</v>
      </c>
    </row>
    <row r="192" spans="1:5" x14ac:dyDescent="0.2">
      <c r="A192" s="429" t="s">
        <v>489</v>
      </c>
      <c r="B192" s="428" t="s">
        <v>612</v>
      </c>
      <c r="D192" t="s">
        <v>489</v>
      </c>
      <c r="E192" s="428" t="s">
        <v>612</v>
      </c>
    </row>
    <row r="193" spans="1:5" x14ac:dyDescent="0.2">
      <c r="A193" s="429" t="s">
        <v>424</v>
      </c>
      <c r="B193" s="428" t="s">
        <v>669</v>
      </c>
      <c r="D193" t="s">
        <v>424</v>
      </c>
      <c r="E193" s="428" t="s">
        <v>669</v>
      </c>
    </row>
    <row r="194" spans="1:5" x14ac:dyDescent="0.2">
      <c r="A194" s="429" t="s">
        <v>295</v>
      </c>
      <c r="B194" s="428" t="s">
        <v>295</v>
      </c>
      <c r="D194" t="s">
        <v>295</v>
      </c>
      <c r="E194" s="428" t="s">
        <v>295</v>
      </c>
    </row>
    <row r="195" spans="1:5" x14ac:dyDescent="0.2">
      <c r="A195" s="429" t="s">
        <v>425</v>
      </c>
      <c r="B195" s="428" t="s">
        <v>671</v>
      </c>
      <c r="D195" t="s">
        <v>425</v>
      </c>
      <c r="E195" s="428" t="s">
        <v>671</v>
      </c>
    </row>
    <row r="196" spans="1:5" x14ac:dyDescent="0.2">
      <c r="A196" s="429" t="s">
        <v>300</v>
      </c>
      <c r="B196" s="428" t="s">
        <v>670</v>
      </c>
      <c r="D196" t="s">
        <v>300</v>
      </c>
      <c r="E196" s="428" t="s">
        <v>670</v>
      </c>
    </row>
    <row r="197" spans="1:5" x14ac:dyDescent="0.2">
      <c r="A197" s="429" t="s">
        <v>426</v>
      </c>
      <c r="B197" s="428" t="s">
        <v>672</v>
      </c>
      <c r="D197" t="s">
        <v>426</v>
      </c>
      <c r="E197" s="428" t="s">
        <v>672</v>
      </c>
    </row>
    <row r="198" spans="1:5" x14ac:dyDescent="0.2">
      <c r="A198" s="429"/>
      <c r="D198"/>
    </row>
    <row r="199" spans="1:5" x14ac:dyDescent="0.2">
      <c r="A199" s="429" t="s">
        <v>490</v>
      </c>
      <c r="B199" s="428" t="s">
        <v>654</v>
      </c>
      <c r="D199" t="s">
        <v>490</v>
      </c>
      <c r="E199" s="428" t="s">
        <v>654</v>
      </c>
    </row>
    <row r="200" spans="1:5" x14ac:dyDescent="0.2">
      <c r="A200" s="429" t="s">
        <v>491</v>
      </c>
      <c r="B200" s="428" t="s">
        <v>654</v>
      </c>
      <c r="D200" t="s">
        <v>491</v>
      </c>
      <c r="E200" s="428" t="s">
        <v>654</v>
      </c>
    </row>
    <row r="201" spans="1:5" x14ac:dyDescent="0.2">
      <c r="A201" s="429" t="s">
        <v>426</v>
      </c>
      <c r="B201" s="428" t="s">
        <v>672</v>
      </c>
      <c r="D201" t="s">
        <v>426</v>
      </c>
      <c r="E201" s="428" t="s">
        <v>672</v>
      </c>
    </row>
    <row r="203" spans="1:5" x14ac:dyDescent="0.2">
      <c r="A203" t="s">
        <v>535</v>
      </c>
      <c r="B203" s="428" t="s">
        <v>659</v>
      </c>
      <c r="E203" s="428" t="s">
        <v>659</v>
      </c>
    </row>
    <row r="204" spans="1:5" x14ac:dyDescent="0.2">
      <c r="A204" s="429" t="s">
        <v>449</v>
      </c>
      <c r="B204" s="428" t="s">
        <v>660</v>
      </c>
      <c r="D204" t="s">
        <v>449</v>
      </c>
      <c r="E204" s="428" t="s">
        <v>660</v>
      </c>
    </row>
    <row r="206" spans="1:5" x14ac:dyDescent="0.2">
      <c r="A206" t="s">
        <v>540</v>
      </c>
      <c r="B206" s="428" t="s">
        <v>661</v>
      </c>
      <c r="E206" s="428" t="s">
        <v>661</v>
      </c>
    </row>
    <row r="207" spans="1:5" x14ac:dyDescent="0.2">
      <c r="A207" s="429" t="s">
        <v>448</v>
      </c>
      <c r="B207" s="428" t="s">
        <v>621</v>
      </c>
      <c r="D207" t="s">
        <v>448</v>
      </c>
      <c r="E207" s="428" t="s">
        <v>621</v>
      </c>
    </row>
    <row r="208" spans="1:5" x14ac:dyDescent="0.2">
      <c r="A208" s="429" t="s">
        <v>445</v>
      </c>
      <c r="B208" s="428" t="s">
        <v>662</v>
      </c>
      <c r="D208" t="s">
        <v>445</v>
      </c>
      <c r="E208" s="428" t="s">
        <v>662</v>
      </c>
    </row>
    <row r="209" spans="1:5" x14ac:dyDescent="0.2">
      <c r="A209" s="429" t="s">
        <v>508</v>
      </c>
      <c r="B209" s="428" t="s">
        <v>546</v>
      </c>
      <c r="D209" t="s">
        <v>508</v>
      </c>
      <c r="E209" s="428" t="s">
        <v>546</v>
      </c>
    </row>
    <row r="210" spans="1:5" x14ac:dyDescent="0.2">
      <c r="A210" s="429" t="s">
        <v>509</v>
      </c>
      <c r="B210" s="428" t="s">
        <v>509</v>
      </c>
      <c r="D210" t="s">
        <v>509</v>
      </c>
      <c r="E210" s="428" t="s">
        <v>509</v>
      </c>
    </row>
    <row r="211" spans="1:5" x14ac:dyDescent="0.2">
      <c r="A211" s="429" t="s">
        <v>446</v>
      </c>
      <c r="B211" s="428" t="s">
        <v>663</v>
      </c>
      <c r="D211" t="s">
        <v>446</v>
      </c>
      <c r="E211" s="428" t="s">
        <v>663</v>
      </c>
    </row>
    <row r="212" spans="1:5" x14ac:dyDescent="0.2">
      <c r="A212" s="429" t="s">
        <v>447</v>
      </c>
      <c r="B212" s="428" t="s">
        <v>664</v>
      </c>
      <c r="D212" t="s">
        <v>447</v>
      </c>
      <c r="E212" s="428" t="s">
        <v>664</v>
      </c>
    </row>
    <row r="213" spans="1:5" x14ac:dyDescent="0.2">
      <c r="A213" s="436" t="s">
        <v>536</v>
      </c>
      <c r="B213" s="428" t="s">
        <v>665</v>
      </c>
      <c r="D213" s="435" t="s">
        <v>536</v>
      </c>
      <c r="E213" s="428" t="s">
        <v>665</v>
      </c>
    </row>
    <row r="214" spans="1:5" x14ac:dyDescent="0.2">
      <c r="A214" s="429" t="s">
        <v>538</v>
      </c>
      <c r="B214" s="428" t="s">
        <v>666</v>
      </c>
      <c r="D214" t="s">
        <v>538</v>
      </c>
      <c r="E214" s="428" t="s">
        <v>666</v>
      </c>
    </row>
    <row r="215" spans="1:5" x14ac:dyDescent="0.2">
      <c r="A215" s="429" t="s">
        <v>537</v>
      </c>
      <c r="B215" s="428" t="s">
        <v>667</v>
      </c>
      <c r="D215" t="s">
        <v>537</v>
      </c>
      <c r="E215" s="428" t="s">
        <v>667</v>
      </c>
    </row>
  </sheetData>
  <phoneticPr fontId="4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Deutsch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1009650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English">
                <anchor moveWithCells="1" sizeWithCells="1">
                  <from>
                    <xdr:col>0</xdr:col>
                    <xdr:colOff>0</xdr:colOff>
                    <xdr:row>2</xdr:row>
                    <xdr:rowOff>19050</xdr:rowOff>
                  </from>
                  <to>
                    <xdr:col>0</xdr:col>
                    <xdr:colOff>1057275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France">
                <anchor moveWithCells="1" sizeWithCells="1">
                  <from>
                    <xdr:col>0</xdr:col>
                    <xdr:colOff>0</xdr:colOff>
                    <xdr:row>4</xdr:row>
                    <xdr:rowOff>19050</xdr:rowOff>
                  </from>
                  <to>
                    <xdr:col>0</xdr:col>
                    <xdr:colOff>1038225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4C23-0EE7-4B8C-801D-7076890F13BB}">
  <sheetPr codeName="Tabelle6">
    <pageSetUpPr fitToPage="1"/>
  </sheetPr>
  <dimension ref="A1:L44"/>
  <sheetViews>
    <sheetView zoomScale="50" workbookViewId="0">
      <selection activeCell="D25" sqref="D25"/>
    </sheetView>
  </sheetViews>
  <sheetFormatPr baseColWidth="10" defaultColWidth="44.85546875" defaultRowHeight="18" x14ac:dyDescent="0.25"/>
  <cols>
    <col min="1" max="1" width="8" style="55" customWidth="1"/>
    <col min="2" max="2" width="26.28515625" style="53" customWidth="1"/>
    <col min="3" max="3" width="27.42578125" style="55" customWidth="1"/>
    <col min="4" max="4" width="20.85546875" style="75" customWidth="1"/>
    <col min="5" max="5" width="34" style="53" customWidth="1"/>
    <col min="6" max="6" width="31.140625" style="55" customWidth="1"/>
    <col min="7" max="7" width="60.85546875" style="53" customWidth="1"/>
    <col min="8" max="8" width="30.5703125" style="53" customWidth="1"/>
    <col min="9" max="9" width="34.5703125" style="54" customWidth="1"/>
    <col min="10" max="10" width="39.42578125" style="54" customWidth="1"/>
    <col min="11" max="11" width="52.28515625" style="54" customWidth="1"/>
    <col min="12" max="12" width="30.5703125" style="54" customWidth="1"/>
    <col min="13" max="16384" width="44.85546875" style="55"/>
  </cols>
  <sheetData>
    <row r="1" spans="1:12" ht="36" customHeight="1" x14ac:dyDescent="0.25">
      <c r="A1" s="47"/>
      <c r="B1" s="48" t="str">
        <f>language!B207</f>
        <v>Pression</v>
      </c>
      <c r="C1" s="49" t="str">
        <f>language!B208</f>
        <v>(Flux d'air)</v>
      </c>
      <c r="D1" s="49" t="str">
        <f>C1</f>
        <v>(Flux d'air)</v>
      </c>
      <c r="E1" s="50" t="str">
        <f>language!B211</f>
        <v>Droite de régression</v>
      </c>
      <c r="F1" s="51"/>
      <c r="G1" s="52" t="str">
        <f>language!B212</f>
        <v>Débit d'air à 50 Pa</v>
      </c>
    </row>
    <row r="2" spans="1:12" x14ac:dyDescent="0.25">
      <c r="A2" s="56"/>
      <c r="B2" s="57"/>
      <c r="C2" s="58" t="str">
        <f>language!B209</f>
        <v>Dépressurisation</v>
      </c>
      <c r="D2" s="58" t="str">
        <f>language!B210</f>
        <v>Pressurisation</v>
      </c>
      <c r="E2" s="59" t="str">
        <f>C2</f>
        <v>Dépressurisation</v>
      </c>
      <c r="F2" s="59" t="str">
        <f>D2</f>
        <v>Pressurisation</v>
      </c>
      <c r="G2" s="60"/>
      <c r="I2" s="54" t="s">
        <v>8</v>
      </c>
      <c r="J2" s="61"/>
      <c r="K2" s="54" t="s">
        <v>9</v>
      </c>
      <c r="L2" s="61"/>
    </row>
    <row r="3" spans="1:12" ht="18.75" thickBot="1" x14ac:dyDescent="0.3">
      <c r="A3" s="62" t="s">
        <v>75</v>
      </c>
      <c r="B3" s="63" t="s">
        <v>11</v>
      </c>
      <c r="C3" s="64" t="s">
        <v>12</v>
      </c>
      <c r="D3" s="64" t="s">
        <v>12</v>
      </c>
      <c r="E3" s="64" t="s">
        <v>12</v>
      </c>
      <c r="F3" s="64" t="s">
        <v>12</v>
      </c>
      <c r="G3" s="65" t="s">
        <v>12</v>
      </c>
      <c r="I3" s="54" t="s">
        <v>4</v>
      </c>
      <c r="J3" s="54" t="s">
        <v>28</v>
      </c>
      <c r="K3" s="54" t="s">
        <v>4</v>
      </c>
      <c r="L3" s="54" t="s">
        <v>28</v>
      </c>
    </row>
    <row r="4" spans="1:12" x14ac:dyDescent="0.25">
      <c r="A4" s="66" t="s">
        <v>76</v>
      </c>
      <c r="B4" s="67">
        <v>100</v>
      </c>
      <c r="C4" s="68"/>
      <c r="D4" s="68"/>
      <c r="E4" s="77">
        <f>I4*B4^J4</f>
        <v>1</v>
      </c>
      <c r="F4" s="77">
        <f>K4*B4^L4</f>
        <v>1</v>
      </c>
      <c r="G4" s="69"/>
      <c r="I4" s="70">
        <f>IF(Berechnung!$Q$15=0,1,Berechnung!$T$30)</f>
        <v>1</v>
      </c>
      <c r="J4" s="70">
        <f>IF(Berechnung!$Q$15=0,0,Berechnung!$T$29)</f>
        <v>0</v>
      </c>
      <c r="K4" s="70">
        <f>IF(Berechnung!$Q$57=0,1,Berechnung!$T$72)</f>
        <v>1</v>
      </c>
      <c r="L4" s="70">
        <f>IF(Berechnung!$Q$57=0,0,Berechnung!$T$71)</f>
        <v>0</v>
      </c>
    </row>
    <row r="5" spans="1:12" x14ac:dyDescent="0.25">
      <c r="A5" s="66" t="s">
        <v>76</v>
      </c>
      <c r="B5" s="67">
        <v>60.125</v>
      </c>
      <c r="C5" s="68"/>
      <c r="D5" s="71"/>
      <c r="E5" s="77">
        <f t="shared" ref="E5:E13" si="0">I5*B5^J5</f>
        <v>1</v>
      </c>
      <c r="F5" s="77">
        <f t="shared" ref="F5:F13" si="1">K5*B5^L5</f>
        <v>1</v>
      </c>
      <c r="G5" s="69"/>
      <c r="I5" s="70">
        <f>IF(Berechnung!$Q$15=0,1,Berechnung!$T$30)</f>
        <v>1</v>
      </c>
      <c r="J5" s="70">
        <f>IF(Berechnung!$Q$15=0,0,Berechnung!$T$29)</f>
        <v>0</v>
      </c>
      <c r="K5" s="70">
        <f>IF(Berechnung!$Q$57=0,1,Berechnung!$T$72)</f>
        <v>1</v>
      </c>
      <c r="L5" s="70">
        <f>IF(Berechnung!$Q$57=0,0,Berechnung!$T$71)</f>
        <v>0</v>
      </c>
    </row>
    <row r="6" spans="1:12" x14ac:dyDescent="0.25">
      <c r="A6" s="66" t="s">
        <v>76</v>
      </c>
      <c r="B6" s="67">
        <v>55.125</v>
      </c>
      <c r="C6" s="68"/>
      <c r="D6" s="71"/>
      <c r="E6" s="77">
        <f t="shared" si="0"/>
        <v>1</v>
      </c>
      <c r="F6" s="77">
        <f t="shared" si="1"/>
        <v>1</v>
      </c>
      <c r="G6" s="69"/>
      <c r="I6" s="70">
        <f>IF(Berechnung!$Q$15=0,1,Berechnung!$T$30)</f>
        <v>1</v>
      </c>
      <c r="J6" s="70">
        <f>IF(Berechnung!$Q$15=0,0,Berechnung!$T$29)</f>
        <v>0</v>
      </c>
      <c r="K6" s="70">
        <f>IF(Berechnung!$Q$57=0,1,Berechnung!$T$72)</f>
        <v>1</v>
      </c>
      <c r="L6" s="70">
        <f>IF(Berechnung!$Q$57=0,0,Berechnung!$T$71)</f>
        <v>0</v>
      </c>
    </row>
    <row r="7" spans="1:12" x14ac:dyDescent="0.25">
      <c r="A7" s="66" t="s">
        <v>76</v>
      </c>
      <c r="B7" s="67">
        <v>50.125</v>
      </c>
      <c r="C7" s="68"/>
      <c r="D7" s="71"/>
      <c r="E7" s="77">
        <f t="shared" si="0"/>
        <v>1</v>
      </c>
      <c r="F7" s="77">
        <f t="shared" si="1"/>
        <v>1</v>
      </c>
      <c r="G7" s="69"/>
      <c r="I7" s="70">
        <f>IF(Berechnung!$Q$15=0,1,Berechnung!$T$30)</f>
        <v>1</v>
      </c>
      <c r="J7" s="70">
        <f>IF(Berechnung!$Q$15=0,0,Berechnung!$T$29)</f>
        <v>0</v>
      </c>
      <c r="K7" s="70">
        <f>IF(Berechnung!$Q$57=0,1,Berechnung!$T$72)</f>
        <v>1</v>
      </c>
      <c r="L7" s="70">
        <f>IF(Berechnung!$Q$57=0,0,Berechnung!$T$71)</f>
        <v>0</v>
      </c>
    </row>
    <row r="8" spans="1:12" x14ac:dyDescent="0.25">
      <c r="A8" s="66" t="s">
        <v>76</v>
      </c>
      <c r="B8" s="67">
        <v>45.125</v>
      </c>
      <c r="C8" s="68"/>
      <c r="D8" s="71"/>
      <c r="E8" s="77">
        <f t="shared" si="0"/>
        <v>1</v>
      </c>
      <c r="F8" s="77">
        <f t="shared" si="1"/>
        <v>1</v>
      </c>
      <c r="G8" s="69"/>
      <c r="I8" s="70">
        <f>IF(Berechnung!$Q$15=0,1,Berechnung!$T$30)</f>
        <v>1</v>
      </c>
      <c r="J8" s="70">
        <f>IF(Berechnung!$Q$15=0,0,Berechnung!$T$29)</f>
        <v>0</v>
      </c>
      <c r="K8" s="70">
        <f>IF(Berechnung!$Q$57=0,1,Berechnung!$T$72)</f>
        <v>1</v>
      </c>
      <c r="L8" s="70">
        <f>IF(Berechnung!$Q$57=0,0,Berechnung!$T$71)</f>
        <v>0</v>
      </c>
    </row>
    <row r="9" spans="1:12" x14ac:dyDescent="0.25">
      <c r="A9" s="66" t="s">
        <v>76</v>
      </c>
      <c r="B9" s="67">
        <v>40.125</v>
      </c>
      <c r="C9" s="68"/>
      <c r="D9" s="71"/>
      <c r="E9" s="77">
        <f t="shared" si="0"/>
        <v>1</v>
      </c>
      <c r="F9" s="77">
        <f t="shared" si="1"/>
        <v>1</v>
      </c>
      <c r="G9" s="69"/>
      <c r="I9" s="70">
        <f>IF(Berechnung!$Q$15=0,1,Berechnung!$T$30)</f>
        <v>1</v>
      </c>
      <c r="J9" s="70">
        <f>IF(Berechnung!$Q$15=0,0,Berechnung!$T$29)</f>
        <v>0</v>
      </c>
      <c r="K9" s="70">
        <f>IF(Berechnung!$Q$57=0,1,Berechnung!$T$72)</f>
        <v>1</v>
      </c>
      <c r="L9" s="70">
        <f>IF(Berechnung!$Q$57=0,0,Berechnung!$T$71)</f>
        <v>0</v>
      </c>
    </row>
    <row r="10" spans="1:12" x14ac:dyDescent="0.25">
      <c r="A10" s="66" t="s">
        <v>76</v>
      </c>
      <c r="B10" s="67">
        <v>30.125</v>
      </c>
      <c r="C10" s="68"/>
      <c r="D10" s="71"/>
      <c r="E10" s="77">
        <f t="shared" si="0"/>
        <v>1</v>
      </c>
      <c r="F10" s="77">
        <f t="shared" si="1"/>
        <v>1</v>
      </c>
      <c r="G10" s="69"/>
      <c r="I10" s="70">
        <f>IF(Berechnung!$Q$15=0,1,Berechnung!$T$30)</f>
        <v>1</v>
      </c>
      <c r="J10" s="70">
        <f>IF(Berechnung!$Q$15=0,0,Berechnung!$T$29)</f>
        <v>0</v>
      </c>
      <c r="K10" s="70">
        <f>IF(Berechnung!$Q$57=0,1,Berechnung!$T$72)</f>
        <v>1</v>
      </c>
      <c r="L10" s="70">
        <f>IF(Berechnung!$Q$57=0,0,Berechnung!$T$71)</f>
        <v>0</v>
      </c>
    </row>
    <row r="11" spans="1:12" x14ac:dyDescent="0.25">
      <c r="A11" s="66" t="s">
        <v>76</v>
      </c>
      <c r="B11" s="73">
        <v>20.125</v>
      </c>
      <c r="C11" s="68"/>
      <c r="D11" s="71"/>
      <c r="E11" s="77">
        <f t="shared" si="0"/>
        <v>1</v>
      </c>
      <c r="F11" s="77">
        <f t="shared" si="1"/>
        <v>1</v>
      </c>
      <c r="G11" s="69"/>
      <c r="I11" s="70">
        <f>IF(Berechnung!$Q$15=0,1,Berechnung!$T$30)</f>
        <v>1</v>
      </c>
      <c r="J11" s="70">
        <f>IF(Berechnung!$Q$15=0,0,Berechnung!$T$29)</f>
        <v>0</v>
      </c>
      <c r="K11" s="70">
        <f>IF(Berechnung!$Q$57=0,1,Berechnung!$T$72)</f>
        <v>1</v>
      </c>
      <c r="L11" s="70">
        <f>IF(Berechnung!$Q$57=0,0,Berechnung!$T$71)</f>
        <v>0</v>
      </c>
    </row>
    <row r="12" spans="1:12" x14ac:dyDescent="0.25">
      <c r="A12" s="66" t="s">
        <v>76</v>
      </c>
      <c r="B12" s="73">
        <v>10.125</v>
      </c>
      <c r="C12" s="68"/>
      <c r="D12" s="71"/>
      <c r="E12" s="77">
        <f t="shared" si="0"/>
        <v>1</v>
      </c>
      <c r="F12" s="77">
        <f t="shared" si="1"/>
        <v>1</v>
      </c>
      <c r="G12" s="69"/>
      <c r="I12" s="70">
        <f>IF(Berechnung!$Q$15=0,1,Berechnung!$T$30)</f>
        <v>1</v>
      </c>
      <c r="J12" s="70">
        <f>IF(Berechnung!$Q$15=0,0,Berechnung!$T$29)</f>
        <v>0</v>
      </c>
      <c r="K12" s="70">
        <f>IF(Berechnung!$Q$57=0,1,Berechnung!$T$72)</f>
        <v>1</v>
      </c>
      <c r="L12" s="70">
        <f>IF(Berechnung!$Q$57=0,0,Berechnung!$T$71)</f>
        <v>0</v>
      </c>
    </row>
    <row r="13" spans="1:12" x14ac:dyDescent="0.25">
      <c r="A13" s="66" t="s">
        <v>76</v>
      </c>
      <c r="B13" s="73">
        <v>1</v>
      </c>
      <c r="C13" s="68"/>
      <c r="D13" s="71"/>
      <c r="E13" s="77">
        <f t="shared" si="0"/>
        <v>1</v>
      </c>
      <c r="F13" s="77">
        <f t="shared" si="1"/>
        <v>1</v>
      </c>
      <c r="G13" s="69"/>
      <c r="I13" s="70">
        <f>IF(Berechnung!$Q$15=0,1,Berechnung!$T$30)</f>
        <v>1</v>
      </c>
      <c r="J13" s="70">
        <f>IF(Berechnung!$Q$15=0,0,Berechnung!$T$29)</f>
        <v>0</v>
      </c>
      <c r="K13" s="70">
        <f>IF(Berechnung!$Q$57=0,1,Berechnung!$T$72)</f>
        <v>1</v>
      </c>
      <c r="L13" s="70">
        <f>IF(Berechnung!$Q$57=0,0,Berechnung!$T$71)</f>
        <v>0</v>
      </c>
    </row>
    <row r="14" spans="1:12" x14ac:dyDescent="0.25">
      <c r="A14" s="66" t="s">
        <v>16</v>
      </c>
      <c r="B14" s="73">
        <v>50</v>
      </c>
      <c r="C14" s="71"/>
      <c r="D14" s="71"/>
      <c r="E14" s="77"/>
      <c r="F14" s="77"/>
      <c r="G14" s="79">
        <f>IF(Donnees_Test!I50="",1,Donnees_Test!I50)</f>
        <v>1</v>
      </c>
      <c r="I14" s="70"/>
      <c r="J14" s="70"/>
      <c r="K14" s="70"/>
      <c r="L14" s="70"/>
    </row>
    <row r="15" spans="1:12" x14ac:dyDescent="0.25">
      <c r="A15" s="66" t="s">
        <v>77</v>
      </c>
      <c r="B15" s="88">
        <f>IF(Berechnung!$Q$15&gt;=1,ABS(Donnees_Test!$C24-Berechnung!$G$9),1)</f>
        <v>1</v>
      </c>
      <c r="C15" s="89">
        <f>IF($B15=1,1,Berechnung!$H13)</f>
        <v>1</v>
      </c>
      <c r="D15" s="89"/>
      <c r="E15" s="77"/>
      <c r="F15" s="77"/>
      <c r="G15" s="72"/>
      <c r="I15" s="70"/>
      <c r="J15" s="70"/>
      <c r="K15" s="70"/>
      <c r="L15" s="70"/>
    </row>
    <row r="16" spans="1:12" x14ac:dyDescent="0.25">
      <c r="A16" s="66" t="s">
        <v>77</v>
      </c>
      <c r="B16" s="88">
        <f>IF(Berechnung!$Q$15&gt;=2,ABS(Donnees_Test!$C25-Berechnung!$G$9),1)</f>
        <v>1</v>
      </c>
      <c r="C16" s="89">
        <f>IF($B16=1,1,Berechnung!$H14)</f>
        <v>1</v>
      </c>
      <c r="D16" s="90"/>
      <c r="E16" s="77"/>
      <c r="F16" s="77"/>
      <c r="G16" s="72"/>
      <c r="I16" s="70"/>
      <c r="J16" s="70"/>
      <c r="K16" s="70"/>
      <c r="L16" s="70"/>
    </row>
    <row r="17" spans="1:12" x14ac:dyDescent="0.25">
      <c r="A17" s="66" t="s">
        <v>77</v>
      </c>
      <c r="B17" s="88">
        <f>IF(Berechnung!$Q$15&gt;=3,ABS(Donnees_Test!$C26-Berechnung!$G$9),1)</f>
        <v>1</v>
      </c>
      <c r="C17" s="89">
        <f>IF($B17=1,1,Berechnung!$H15)</f>
        <v>1</v>
      </c>
      <c r="D17" s="91"/>
      <c r="E17" s="77"/>
      <c r="F17" s="77"/>
      <c r="G17" s="72"/>
      <c r="I17" s="70"/>
      <c r="J17" s="70"/>
      <c r="K17" s="70"/>
      <c r="L17" s="70"/>
    </row>
    <row r="18" spans="1:12" x14ac:dyDescent="0.25">
      <c r="A18" s="66" t="s">
        <v>77</v>
      </c>
      <c r="B18" s="88">
        <f>IF(Berechnung!$Q$15&gt;=4,ABS(Donnees_Test!$C27-Berechnung!$G$9),1)</f>
        <v>1</v>
      </c>
      <c r="C18" s="89">
        <f>IF($B18=1,1,Berechnung!$H16)</f>
        <v>1</v>
      </c>
      <c r="D18" s="91"/>
      <c r="E18" s="77"/>
      <c r="F18" s="77"/>
      <c r="G18" s="72"/>
      <c r="I18" s="70"/>
      <c r="J18" s="70"/>
      <c r="K18" s="70"/>
      <c r="L18" s="70"/>
    </row>
    <row r="19" spans="1:12" x14ac:dyDescent="0.25">
      <c r="A19" s="66" t="s">
        <v>77</v>
      </c>
      <c r="B19" s="88">
        <f>IF(Berechnung!$Q$15&gt;=5,ABS(Donnees_Test!$C28-Berechnung!$G$9),1)</f>
        <v>1</v>
      </c>
      <c r="C19" s="89">
        <f>IF($B19=1,1,Berechnung!$H17)</f>
        <v>1</v>
      </c>
      <c r="D19" s="91"/>
      <c r="E19" s="77"/>
      <c r="F19" s="77"/>
      <c r="G19" s="72"/>
      <c r="I19" s="70"/>
      <c r="J19" s="70"/>
      <c r="K19" s="70"/>
      <c r="L19" s="70"/>
    </row>
    <row r="20" spans="1:12" x14ac:dyDescent="0.25">
      <c r="A20" s="66" t="s">
        <v>77</v>
      </c>
      <c r="B20" s="88">
        <f>IF(Berechnung!$Q$15&gt;=6,ABS(Donnees_Test!$C29-Berechnung!$G$9),1)</f>
        <v>1</v>
      </c>
      <c r="C20" s="89">
        <f>IF($B20=1,1,Berechnung!$H18)</f>
        <v>1</v>
      </c>
      <c r="D20" s="89"/>
      <c r="E20" s="77"/>
      <c r="F20" s="77"/>
      <c r="G20" s="72"/>
      <c r="I20" s="70"/>
      <c r="J20" s="70"/>
      <c r="K20" s="70"/>
      <c r="L20" s="70"/>
    </row>
    <row r="21" spans="1:12" x14ac:dyDescent="0.25">
      <c r="A21" s="66" t="s">
        <v>77</v>
      </c>
      <c r="B21" s="88">
        <f>IF(Berechnung!$Q$15&gt;=7,ABS(Donnees_Test!$C30-Berechnung!$G$9),1)</f>
        <v>1</v>
      </c>
      <c r="C21" s="89">
        <f>IF($B21=1,1,Berechnung!$H19)</f>
        <v>1</v>
      </c>
      <c r="D21" s="89"/>
      <c r="E21" s="77"/>
      <c r="F21" s="77"/>
      <c r="G21" s="72"/>
      <c r="I21" s="70"/>
      <c r="J21" s="70"/>
      <c r="K21" s="70"/>
      <c r="L21" s="70"/>
    </row>
    <row r="22" spans="1:12" x14ac:dyDescent="0.25">
      <c r="A22" s="66" t="s">
        <v>77</v>
      </c>
      <c r="B22" s="88">
        <f>IF(Berechnung!$Q$15&gt;=8,ABS(Donnees_Test!$C31-Berechnung!$G$9),1)</f>
        <v>1</v>
      </c>
      <c r="C22" s="89">
        <f>IF($B22=1,1,Berechnung!$H20)</f>
        <v>1</v>
      </c>
      <c r="D22" s="89"/>
      <c r="E22" s="77"/>
      <c r="F22" s="77"/>
      <c r="G22" s="72"/>
      <c r="I22" s="70"/>
      <c r="J22" s="70"/>
      <c r="K22" s="70"/>
      <c r="L22" s="70"/>
    </row>
    <row r="23" spans="1:12" x14ac:dyDescent="0.25">
      <c r="A23" s="66" t="s">
        <v>77</v>
      </c>
      <c r="B23" s="88">
        <f>IF(Berechnung!$Q$15&gt;=9,ABS(Donnees_Test!$C32-Berechnung!$G$9),1)</f>
        <v>1</v>
      </c>
      <c r="C23" s="89">
        <f>IF($B23=1,1,Berechnung!$H21)</f>
        <v>1</v>
      </c>
      <c r="D23" s="89"/>
      <c r="E23" s="77"/>
      <c r="F23" s="77"/>
      <c r="G23" s="72"/>
      <c r="I23" s="70"/>
      <c r="J23" s="70"/>
      <c r="K23" s="70"/>
      <c r="L23" s="70"/>
    </row>
    <row r="24" spans="1:12" x14ac:dyDescent="0.25">
      <c r="A24" s="66" t="s">
        <v>77</v>
      </c>
      <c r="B24" s="88">
        <f>IF(Berechnung!$Q$15&gt;=10,ABS(Donnees_Test!$C33-Berechnung!$G$9),1)</f>
        <v>1</v>
      </c>
      <c r="C24" s="89">
        <f>IF($B24=1,1,Berechnung!$H22)</f>
        <v>1</v>
      </c>
      <c r="D24" s="89"/>
      <c r="E24" s="77"/>
      <c r="F24" s="77"/>
      <c r="G24" s="72"/>
      <c r="I24" s="70"/>
      <c r="J24" s="70"/>
      <c r="K24" s="70"/>
      <c r="L24" s="70"/>
    </row>
    <row r="25" spans="1:12" x14ac:dyDescent="0.25">
      <c r="A25" s="66" t="s">
        <v>78</v>
      </c>
      <c r="B25" s="88">
        <f>IF(Berechnung!$Q$57&gt;=1,Donnees_Test!$I24-Berechnung!$G$51,1)</f>
        <v>1</v>
      </c>
      <c r="C25" s="89"/>
      <c r="D25" s="89">
        <f>IF($B25=1,1,Berechnung!$H55)</f>
        <v>1</v>
      </c>
      <c r="E25" s="77"/>
      <c r="F25" s="77"/>
      <c r="G25" s="72"/>
      <c r="I25" s="70"/>
      <c r="J25" s="70"/>
      <c r="K25" s="70"/>
      <c r="L25" s="70"/>
    </row>
    <row r="26" spans="1:12" x14ac:dyDescent="0.25">
      <c r="A26" s="66" t="s">
        <v>78</v>
      </c>
      <c r="B26" s="88">
        <f>IF(Berechnung!$Q$57&gt;=2,Donnees_Test!$I25-Berechnung!$G$51,1)</f>
        <v>1</v>
      </c>
      <c r="C26" s="89"/>
      <c r="D26" s="89">
        <f>IF($B26=1,1,Berechnung!$H56)</f>
        <v>1</v>
      </c>
      <c r="E26" s="77"/>
      <c r="F26" s="77"/>
      <c r="G26" s="72"/>
      <c r="I26" s="70"/>
      <c r="J26" s="70"/>
      <c r="K26" s="70"/>
      <c r="L26" s="70"/>
    </row>
    <row r="27" spans="1:12" ht="18" customHeight="1" x14ac:dyDescent="0.25">
      <c r="A27" s="66" t="s">
        <v>78</v>
      </c>
      <c r="B27" s="88">
        <f>IF(Berechnung!$Q$57&gt;=3,Donnees_Test!$I26-Berechnung!$G$51,1)</f>
        <v>1</v>
      </c>
      <c r="C27" s="89"/>
      <c r="D27" s="89">
        <f>IF($B27=1,1,Berechnung!$H57)</f>
        <v>1</v>
      </c>
      <c r="E27" s="77"/>
      <c r="F27" s="77"/>
      <c r="G27" s="72"/>
      <c r="I27" s="70"/>
      <c r="J27" s="70"/>
      <c r="K27" s="70"/>
      <c r="L27" s="70"/>
    </row>
    <row r="28" spans="1:12" ht="18" customHeight="1" x14ac:dyDescent="0.25">
      <c r="A28" s="66" t="s">
        <v>78</v>
      </c>
      <c r="B28" s="88">
        <f>IF(Berechnung!$Q$57&gt;=4,Donnees_Test!$I27-Berechnung!$G$51,1)</f>
        <v>1</v>
      </c>
      <c r="C28" s="89"/>
      <c r="D28" s="89">
        <f>IF($B28=1,1,Berechnung!$H58)</f>
        <v>1</v>
      </c>
      <c r="E28" s="77"/>
      <c r="F28" s="77"/>
      <c r="G28" s="72"/>
      <c r="I28" s="70"/>
      <c r="J28" s="70"/>
      <c r="K28" s="70"/>
      <c r="L28" s="70"/>
    </row>
    <row r="29" spans="1:12" x14ac:dyDescent="0.25">
      <c r="A29" s="66" t="s">
        <v>78</v>
      </c>
      <c r="B29" s="88">
        <f>IF(Berechnung!$Q$57&gt;=5,Donnees_Test!$I28-Berechnung!$G$51,1)</f>
        <v>1</v>
      </c>
      <c r="C29" s="89"/>
      <c r="D29" s="89">
        <f>IF($B29=1,1,Berechnung!$H59)</f>
        <v>1</v>
      </c>
      <c r="E29" s="77"/>
      <c r="F29" s="77"/>
      <c r="G29" s="72"/>
      <c r="I29" s="70"/>
      <c r="J29" s="70"/>
      <c r="K29" s="70"/>
      <c r="L29" s="70"/>
    </row>
    <row r="30" spans="1:12" ht="18" customHeight="1" x14ac:dyDescent="0.25">
      <c r="A30" s="66" t="s">
        <v>78</v>
      </c>
      <c r="B30" s="88">
        <f>IF(Berechnung!$Q$57&gt;=6,Donnees_Test!$I29-Berechnung!$G$51,1)</f>
        <v>1</v>
      </c>
      <c r="C30" s="89"/>
      <c r="D30" s="89">
        <f>IF($B30=1,1,Berechnung!$H60)</f>
        <v>1</v>
      </c>
      <c r="E30" s="77"/>
      <c r="F30" s="77"/>
      <c r="G30" s="72"/>
      <c r="I30" s="70"/>
      <c r="J30" s="70"/>
      <c r="K30" s="70"/>
      <c r="L30" s="70"/>
    </row>
    <row r="31" spans="1:12" ht="18" customHeight="1" x14ac:dyDescent="0.25">
      <c r="A31" s="66" t="s">
        <v>78</v>
      </c>
      <c r="B31" s="88">
        <f>IF(Berechnung!$Q$57&gt;=7,Donnees_Test!$I30-Berechnung!$G$51,1)</f>
        <v>1</v>
      </c>
      <c r="C31" s="89"/>
      <c r="D31" s="89">
        <f>IF($B31=1,1,Berechnung!$H61)</f>
        <v>1</v>
      </c>
      <c r="E31" s="77"/>
      <c r="F31" s="77"/>
      <c r="G31" s="72"/>
      <c r="I31" s="70"/>
      <c r="J31" s="70"/>
      <c r="K31" s="70"/>
      <c r="L31" s="70"/>
    </row>
    <row r="32" spans="1:12" ht="18" customHeight="1" x14ac:dyDescent="0.25">
      <c r="A32" s="66" t="s">
        <v>78</v>
      </c>
      <c r="B32" s="88">
        <f>IF(Berechnung!$Q$57&gt;=8,Donnees_Test!$I31-Berechnung!$G$51,1)</f>
        <v>1</v>
      </c>
      <c r="C32" s="89"/>
      <c r="D32" s="89">
        <f>IF($B32=1,1,Berechnung!$H62)</f>
        <v>1</v>
      </c>
      <c r="E32" s="77"/>
      <c r="F32" s="77"/>
      <c r="G32" s="72"/>
      <c r="I32" s="70"/>
      <c r="J32" s="70"/>
      <c r="K32" s="70"/>
      <c r="L32" s="70"/>
    </row>
    <row r="33" spans="1:12" ht="18" customHeight="1" x14ac:dyDescent="0.25">
      <c r="A33" s="66" t="s">
        <v>78</v>
      </c>
      <c r="B33" s="88">
        <f>IF(Berechnung!$Q$57&gt;=9,Donnees_Test!$I32-Berechnung!$G$51,1)</f>
        <v>1</v>
      </c>
      <c r="C33" s="89"/>
      <c r="D33" s="89">
        <f>IF($B33=1,1,Berechnung!$H63)</f>
        <v>1</v>
      </c>
      <c r="E33" s="77"/>
      <c r="F33" s="77"/>
      <c r="G33" s="72"/>
      <c r="I33" s="70"/>
      <c r="J33" s="70"/>
      <c r="K33" s="70"/>
      <c r="L33" s="70"/>
    </row>
    <row r="34" spans="1:12" ht="18.75" customHeight="1" thickBot="1" x14ac:dyDescent="0.3">
      <c r="A34" s="74" t="s">
        <v>78</v>
      </c>
      <c r="B34" s="88">
        <f>IF(Berechnung!$Q$57&gt;=10,Donnees_Test!$I33-Berechnung!$G$51,1)</f>
        <v>1</v>
      </c>
      <c r="C34" s="89"/>
      <c r="D34" s="89">
        <f>IF($B34=1,1,Berechnung!$H64)</f>
        <v>1</v>
      </c>
      <c r="E34" s="78"/>
      <c r="F34" s="78"/>
      <c r="G34" s="76"/>
      <c r="I34" s="70"/>
      <c r="J34" s="70"/>
      <c r="K34" s="70"/>
      <c r="L34" s="70"/>
    </row>
    <row r="35" spans="1:12" x14ac:dyDescent="0.25">
      <c r="B35" s="53" t="s">
        <v>19</v>
      </c>
      <c r="C35" s="75" t="s">
        <v>8</v>
      </c>
      <c r="D35" s="80" t="s">
        <v>79</v>
      </c>
      <c r="F35" s="53"/>
    </row>
    <row r="36" spans="1:12" ht="141" customHeight="1" x14ac:dyDescent="0.25">
      <c r="B36" s="53">
        <v>1</v>
      </c>
      <c r="C36" s="81">
        <v>1</v>
      </c>
      <c r="D36" s="81">
        <v>1</v>
      </c>
      <c r="F36" s="53"/>
    </row>
    <row r="37" spans="1:12" ht="87" customHeight="1" x14ac:dyDescent="0.25">
      <c r="F37" s="53"/>
    </row>
    <row r="38" spans="1:12" ht="87" customHeight="1" x14ac:dyDescent="0.25">
      <c r="F38" s="53"/>
    </row>
    <row r="39" spans="1:12" ht="87" customHeight="1" x14ac:dyDescent="0.25">
      <c r="B39" s="197" t="str">
        <f>language!B213</f>
        <v xml:space="preserve">Graphe des fuites d'air </v>
      </c>
      <c r="C39" s="55" t="str">
        <f>IF(Donnees_Test!C5="","",CONCATENATE(Batiment_Info!B7," ",Batiment_Info!B8))</f>
        <v xml:space="preserve"> </v>
      </c>
    </row>
    <row r="40" spans="1:12" ht="28.5" customHeight="1" x14ac:dyDescent="0.25">
      <c r="B40" s="434" t="str">
        <f>language!B214</f>
        <v>Fuite d'air par l'enveloppe Venv</v>
      </c>
    </row>
    <row r="41" spans="1:12" x14ac:dyDescent="0.25">
      <c r="B41" s="53" t="s">
        <v>539</v>
      </c>
    </row>
    <row r="43" spans="1:12" x14ac:dyDescent="0.25">
      <c r="B43" s="53" t="str">
        <f>language!B215</f>
        <v>Différence de pression du bâtiment</v>
      </c>
    </row>
    <row r="44" spans="1:12" x14ac:dyDescent="0.25">
      <c r="B44" s="53" t="s">
        <v>11</v>
      </c>
    </row>
  </sheetData>
  <phoneticPr fontId="41" type="noConversion"/>
  <pageMargins left="1.1811023622047245" right="0.78740157480314965" top="0.98425196850393704" bottom="0.98425196850393704" header="0.98425196850393704" footer="0.51181102362204722"/>
  <pageSetup paperSize="9" scale="20" orientation="portrait" horizontalDpi="360" verticalDpi="360" r:id="rId1"/>
  <headerFooter alignWithMargins="0">
    <oddHeader>&amp;C&amp;"Arial,Fett"&amp;26BLOWER-DOOR-&amp;28Meßauswertung</oddHeader>
    <oddFooter>&amp;C&amp;18Diagramm 1/2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9DB7E-DEEE-417C-B58B-2AE4CC993095}">
  <sheetPr codeName="Tabelle5">
    <pageSetUpPr fitToPage="1"/>
  </sheetPr>
  <dimension ref="A1:AE149"/>
  <sheetViews>
    <sheetView topLeftCell="N1" workbookViewId="0">
      <selection activeCell="AA81" sqref="AA81"/>
    </sheetView>
  </sheetViews>
  <sheetFormatPr baseColWidth="10" defaultRowHeight="12.75" x14ac:dyDescent="0.2"/>
  <cols>
    <col min="4" max="4" width="9.42578125" customWidth="1"/>
    <col min="5" max="5" width="11.42578125" style="2"/>
    <col min="6" max="6" width="14.28515625" style="2" customWidth="1"/>
    <col min="7" max="7" width="10.7109375" style="2" customWidth="1"/>
    <col min="8" max="8" width="12.85546875" style="2" customWidth="1"/>
    <col min="9" max="9" width="14.140625" style="2" customWidth="1"/>
    <col min="10" max="10" width="13.5703125" style="2" customWidth="1"/>
    <col min="11" max="11" width="12.5703125" customWidth="1"/>
    <col min="12" max="12" width="13.42578125" customWidth="1"/>
    <col min="13" max="13" width="14.42578125" customWidth="1"/>
    <col min="15" max="15" width="12.28515625" customWidth="1"/>
    <col min="16" max="16" width="17.85546875" customWidth="1"/>
    <col min="17" max="17" width="17.42578125" customWidth="1"/>
    <col min="18" max="18" width="14.42578125" customWidth="1"/>
    <col min="19" max="19" width="14.140625" customWidth="1"/>
    <col min="20" max="20" width="12.5703125" customWidth="1"/>
    <col min="22" max="22" width="12.5703125" customWidth="1"/>
    <col min="24" max="26" width="19.85546875" customWidth="1"/>
    <col min="27" max="27" width="14" customWidth="1"/>
    <col min="29" max="29" width="14.85546875" bestFit="1" customWidth="1"/>
    <col min="30" max="30" width="17.5703125" customWidth="1"/>
  </cols>
  <sheetData>
    <row r="1" spans="1:31" ht="20.25" x14ac:dyDescent="0.3">
      <c r="A1" s="42" t="s">
        <v>8</v>
      </c>
    </row>
    <row r="2" spans="1:31" ht="18" x14ac:dyDescent="0.25">
      <c r="I2" s="203" t="s">
        <v>289</v>
      </c>
      <c r="J2" s="198"/>
      <c r="K2" s="199"/>
      <c r="S2" s="35" t="s">
        <v>21</v>
      </c>
      <c r="T2" s="28"/>
      <c r="V2" s="657"/>
      <c r="W2" s="20"/>
      <c r="X2" s="20"/>
      <c r="Y2" s="20"/>
      <c r="Z2" s="40"/>
    </row>
    <row r="3" spans="1:31" ht="15.75" x14ac:dyDescent="0.3">
      <c r="C3" s="20"/>
      <c r="D3" s="20"/>
      <c r="E3" s="18"/>
      <c r="I3" s="115" t="s">
        <v>208</v>
      </c>
      <c r="J3" s="122">
        <v>20</v>
      </c>
      <c r="K3" s="37" t="s">
        <v>5</v>
      </c>
      <c r="L3" s="20"/>
      <c r="S3" s="9" t="s">
        <v>26</v>
      </c>
      <c r="T3" s="30" t="s">
        <v>27</v>
      </c>
      <c r="V3" s="20"/>
      <c r="W3" s="18"/>
      <c r="X3" s="18"/>
      <c r="Y3" s="18"/>
      <c r="Z3" s="112"/>
    </row>
    <row r="4" spans="1:31" ht="15.75" x14ac:dyDescent="0.25">
      <c r="A4" s="202" t="s">
        <v>209</v>
      </c>
      <c r="B4" s="96"/>
      <c r="C4" s="200"/>
      <c r="D4" s="200"/>
      <c r="E4" s="18"/>
      <c r="F4" s="5" t="s">
        <v>29</v>
      </c>
      <c r="G4" s="93" t="e">
        <f>(C5-(0.37802*C6/100*(EXP(59.484085-6790.4985/(Donnees_Test!E10+273.15)-5.02802*LN(Donnees_Test!E10+273.15)))))/(287.055*(Donnees_Test!E10+273.15))</f>
        <v>#VALUE!</v>
      </c>
      <c r="H4" s="12" t="s">
        <v>25</v>
      </c>
      <c r="I4" s="115" t="s">
        <v>18</v>
      </c>
      <c r="J4" s="122">
        <v>101325</v>
      </c>
      <c r="K4" s="117" t="s">
        <v>19</v>
      </c>
      <c r="S4" s="143" t="e">
        <f>I32*IF(Q$15=0,"",VLOOKUP($Q$15,$S$12:$T$22,2))</f>
        <v>#VALUE!</v>
      </c>
      <c r="T4" s="144" t="e">
        <f>I31*IF(Q$15=0,"",VLOOKUP($Q$15,$S$12:$T$22,2))</f>
        <v>#VALUE!</v>
      </c>
      <c r="V4" s="20"/>
      <c r="W4" s="20"/>
      <c r="X4" s="20"/>
      <c r="Y4" s="20"/>
      <c r="Z4" s="40"/>
    </row>
    <row r="5" spans="1:31" x14ac:dyDescent="0.2">
      <c r="B5" s="116" t="s">
        <v>18</v>
      </c>
      <c r="C5" s="121">
        <f>Donnees_Test!E12</f>
        <v>101325</v>
      </c>
      <c r="D5" s="86" t="s">
        <v>19</v>
      </c>
      <c r="E5" s="18"/>
      <c r="F5" s="5" t="s">
        <v>33</v>
      </c>
      <c r="G5" s="93" t="e">
        <f>(C5-(0.37802*C7/100*(EXP(59.484085-6790.4985/(Donnees_Test!E11+273.15)-5.02802*LN(Donnees_Test!E11+273.15)))))/(287.055*(Donnees_Test!E11+273.15))</f>
        <v>#VALUE!</v>
      </c>
      <c r="H5" s="12" t="s">
        <v>25</v>
      </c>
      <c r="I5" s="115" t="s">
        <v>23</v>
      </c>
      <c r="J5" s="122">
        <v>0</v>
      </c>
      <c r="K5" s="117" t="s">
        <v>14</v>
      </c>
      <c r="R5" s="5"/>
    </row>
    <row r="6" spans="1:31" x14ac:dyDescent="0.2">
      <c r="B6" s="116" t="s">
        <v>211</v>
      </c>
      <c r="C6" s="121">
        <v>0</v>
      </c>
      <c r="D6" s="86" t="s">
        <v>14</v>
      </c>
      <c r="E6" s="18"/>
      <c r="F6" s="2" t="s">
        <v>35</v>
      </c>
      <c r="G6" s="20" t="e">
        <f>(1.458*10^-6*SQRT(Donnees_Test!E10+273.15))/(1+110.4/(Donnees_Test!E10+273.15))</f>
        <v>#VALUE!</v>
      </c>
      <c r="H6" s="20" t="s">
        <v>31</v>
      </c>
      <c r="I6" s="115" t="s">
        <v>24</v>
      </c>
      <c r="J6" s="650">
        <v>1.204</v>
      </c>
      <c r="K6" s="37" t="s">
        <v>25</v>
      </c>
      <c r="Z6" s="112"/>
      <c r="AA6" s="112"/>
      <c r="AB6" s="112"/>
      <c r="AC6" s="111"/>
      <c r="AD6" s="112"/>
    </row>
    <row r="7" spans="1:31" x14ac:dyDescent="0.2">
      <c r="B7" s="116" t="s">
        <v>210</v>
      </c>
      <c r="C7" s="121">
        <v>0</v>
      </c>
      <c r="D7" s="86" t="s">
        <v>14</v>
      </c>
      <c r="E7" s="20"/>
      <c r="F7" t="s">
        <v>36</v>
      </c>
      <c r="G7" s="20" t="e">
        <f>(1.458*10^-6*SQRT(Donnees_Test!E11+273.15))/(1+110.4/(Donnees_Test!E11+273.15))</f>
        <v>#VALUE!</v>
      </c>
      <c r="H7" s="20" t="s">
        <v>31</v>
      </c>
      <c r="I7" s="118" t="s">
        <v>30</v>
      </c>
      <c r="J7" s="14">
        <f>(1.458*10^-6*SQRT(20+273.15))/(1+110.4/(20+273.15))</f>
        <v>1.8134058821488231E-5</v>
      </c>
      <c r="K7" s="38" t="s">
        <v>31</v>
      </c>
      <c r="Z7" s="111"/>
      <c r="AA7" s="111"/>
      <c r="AB7" s="111"/>
      <c r="AC7" s="111"/>
      <c r="AD7" s="111"/>
    </row>
    <row r="8" spans="1:31" x14ac:dyDescent="0.2">
      <c r="C8" s="20"/>
      <c r="D8" s="20"/>
      <c r="E8" s="20"/>
      <c r="F8" s="5" t="s">
        <v>41</v>
      </c>
      <c r="G8">
        <v>1.204</v>
      </c>
      <c r="H8" t="s">
        <v>25</v>
      </c>
      <c r="I8"/>
      <c r="J8"/>
      <c r="Z8" s="111"/>
      <c r="AA8" s="111"/>
      <c r="AB8" s="111"/>
      <c r="AC8" s="111"/>
      <c r="AD8" s="111"/>
    </row>
    <row r="9" spans="1:31" x14ac:dyDescent="0.2">
      <c r="E9"/>
      <c r="F9" s="5" t="s">
        <v>48</v>
      </c>
      <c r="G9">
        <f>(IF(Donnees_Test!C23=Donnees_Test!B130,0,Donnees_Test!C23)+IF(Donnees_Test!C34=Donnees_Test!B130,0,Donnees_Test!C34))/(IF(OR(Donnees_Test!C23=Donnees_Test!B130,Donnees_Test!C34=Donnees_Test!B130),1,2))</f>
        <v>0</v>
      </c>
      <c r="H9" t="s">
        <v>19</v>
      </c>
      <c r="I9"/>
      <c r="J9"/>
    </row>
    <row r="10" spans="1:31" ht="18.75" x14ac:dyDescent="0.3">
      <c r="A10" s="201" t="s">
        <v>49</v>
      </c>
      <c r="B10" s="96"/>
      <c r="C10" s="96"/>
      <c r="E10"/>
      <c r="F10"/>
      <c r="G10"/>
      <c r="H10"/>
      <c r="I10" s="2" t="s">
        <v>214</v>
      </c>
      <c r="K10" s="2"/>
      <c r="L10" s="2" t="s">
        <v>215</v>
      </c>
      <c r="M10" s="2"/>
      <c r="N10" s="2"/>
      <c r="O10" s="2"/>
      <c r="S10" s="6" t="s">
        <v>60</v>
      </c>
      <c r="V10" s="27"/>
      <c r="W10" s="33"/>
      <c r="X10" s="27" t="s">
        <v>37</v>
      </c>
      <c r="Y10" s="27" t="s">
        <v>38</v>
      </c>
      <c r="Z10" s="27" t="s">
        <v>39</v>
      </c>
      <c r="AA10" s="27" t="s">
        <v>40</v>
      </c>
      <c r="AB10" s="25"/>
      <c r="AD10" s="129" t="s">
        <v>282</v>
      </c>
    </row>
    <row r="11" spans="1:31" ht="41.25" thickBot="1" x14ac:dyDescent="0.4">
      <c r="A11" s="3" t="s">
        <v>52</v>
      </c>
      <c r="B11" s="11" t="s">
        <v>4</v>
      </c>
      <c r="C11" s="11" t="s">
        <v>28</v>
      </c>
      <c r="D11" s="7"/>
      <c r="E11" s="11" t="s">
        <v>4</v>
      </c>
      <c r="F11" s="11" t="s">
        <v>28</v>
      </c>
      <c r="G11" s="119" t="s">
        <v>212</v>
      </c>
      <c r="H11" s="119" t="s">
        <v>213</v>
      </c>
      <c r="I11" s="120" t="s">
        <v>216</v>
      </c>
      <c r="J11" s="120" t="s">
        <v>222</v>
      </c>
      <c r="K11" s="120" t="s">
        <v>224</v>
      </c>
      <c r="L11" s="119" t="s">
        <v>217</v>
      </c>
      <c r="M11" s="119" t="s">
        <v>223</v>
      </c>
      <c r="N11" s="119" t="s">
        <v>225</v>
      </c>
      <c r="O11" s="119" t="s">
        <v>226</v>
      </c>
      <c r="P11" s="11" t="s">
        <v>53</v>
      </c>
      <c r="R11" s="17"/>
      <c r="S11" s="128" t="s">
        <v>62</v>
      </c>
      <c r="T11" s="129">
        <v>0.95</v>
      </c>
      <c r="V11" s="4"/>
      <c r="W11" s="46" t="s">
        <v>42</v>
      </c>
      <c r="X11" s="4" t="s">
        <v>43</v>
      </c>
      <c r="Y11" s="4" t="s">
        <v>44</v>
      </c>
      <c r="Z11" s="45" t="s">
        <v>45</v>
      </c>
      <c r="AA11" s="4" t="s">
        <v>46</v>
      </c>
      <c r="AB11" s="7" t="s">
        <v>47</v>
      </c>
      <c r="AD11" s="188" t="s">
        <v>280</v>
      </c>
    </row>
    <row r="12" spans="1:31" x14ac:dyDescent="0.2">
      <c r="A12" s="4"/>
      <c r="B12" s="105" t="b">
        <f>IF($B$18=4,B125,(IF($B$18=3,B131,(IF($B$18="B",B137)))))</f>
        <v>0</v>
      </c>
      <c r="C12" s="105" t="b">
        <f>IF($B$18=4,C125,(IF($B$18=3,C131,(IF($B$18="B",C137)))))</f>
        <v>0</v>
      </c>
      <c r="D12" s="4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4"/>
      <c r="S12" s="9">
        <v>1</v>
      </c>
      <c r="T12" s="130">
        <v>12.706</v>
      </c>
      <c r="V12" s="175" t="e">
        <f>V$29*((Q$15-1)/Q$15*J$25+(LN(50)-I$24)^2)^(0.5)</f>
        <v>#VALUE!</v>
      </c>
      <c r="W12" s="175" t="e">
        <f>IF(V12="","",V12*IF($Q$15&gt;2,VLOOKUP($Q$15-2,$S$12:$T$22,2)))</f>
        <v>#VALUE!</v>
      </c>
      <c r="X12" s="176" t="e">
        <f>IF(W12="","",Donnees_Test!C42*EXP(-W12))</f>
        <v>#VALUE!</v>
      </c>
      <c r="Y12" s="177" t="e">
        <f>IF(W12="","",Donnees_Test!C42*EXP(W12))</f>
        <v>#VALUE!</v>
      </c>
      <c r="Z12" s="4" t="e">
        <f>IF(W12="","",Donnees_Test!C43*EXP(-W12))</f>
        <v>#VALUE!</v>
      </c>
      <c r="AA12" s="7" t="e">
        <f>IF(W12="","",Donnees_Test!C43*EXP(W12))</f>
        <v>#VALUE!</v>
      </c>
      <c r="AB12" s="7" t="e">
        <f>ABS(IF(Donnees_Test!C42="","",(Donnees_Test!C42-Berechnung!X12)/Berechnung!X12*100))</f>
        <v>#VALUE!</v>
      </c>
      <c r="AD12" s="189" t="e">
        <f>0.5*(EXP(W12)-EXP(-W12))</f>
        <v>#VALUE!</v>
      </c>
    </row>
    <row r="13" spans="1:31" x14ac:dyDescent="0.2">
      <c r="A13" s="9" t="s">
        <v>2</v>
      </c>
      <c r="B13" s="105" t="b">
        <f t="shared" ref="B13:C17" si="0">IF($B$18=4,B126,(IF($B$18=3,B132,(IF($B$18="B",B138)))))</f>
        <v>0</v>
      </c>
      <c r="C13" s="105" t="b">
        <f t="shared" si="0"/>
        <v>0</v>
      </c>
      <c r="D13" s="4"/>
      <c r="E13" s="9">
        <f>IF(Donnees_Test!$B$24="A",Berechnung!$B$13,IF(Donnees_Test!$B$24="B",Berechnung!$B$14,IF(Donnees_Test!$B$24="C",Berechnung!$B$15,IF(Donnees_Test!$B$24="D",Berechnung!$B$16,IF(Donnees_Test!$B$24="E",Berechnung!$B$17,IF(Donnees_Test!$B$24="",0,Berechnung!$B$12))))))</f>
        <v>0</v>
      </c>
      <c r="F13" s="9">
        <f>IF(Donnees_Test!B24="A",Berechnung!C$13,IF(Donnees_Test!B24="B",Berechnung!C$14,IF(Donnees_Test!B24="C",Berechnung!C$15,IF(Donnees_Test!B24="D",Berechnung!C$16,IF(Donnees_Test!B24="E",Berechnung!C$17,IF(Donnees_Test!B24="",1,Berechnung!C$12))))))</f>
        <v>1</v>
      </c>
      <c r="G13" s="9">
        <f>IF(OR((OR(Donnees_Test!C24=0,Donnees_Test!D24=0)),(OR(Donnees_Test!C24="",Donnees_Test!D24=""))),0,$E13*POWER(Donnees_Test!$D24,$F13))</f>
        <v>0</v>
      </c>
      <c r="H13" s="9" t="e">
        <f>G13*(G$4/G$5)*SQRT($G$8/$G$4)</f>
        <v>#VALUE!</v>
      </c>
      <c r="I13" s="9" t="str">
        <f>IF(Donnees_Test!$E24="","",LN(ABS(Donnees_Test!$C24-$G$9)))</f>
        <v/>
      </c>
      <c r="J13" s="9" t="str">
        <f>IF(Donnees_Test!E24="","",I13-$I$24)</f>
        <v/>
      </c>
      <c r="K13" s="9" t="str">
        <f>IF(Donnees_Test!E24="","",J13^2)</f>
        <v/>
      </c>
      <c r="L13" s="9" t="e">
        <f t="shared" ref="L13:L22" si="1">IF(H13=0,"",LN(H13))</f>
        <v>#VALUE!</v>
      </c>
      <c r="M13" s="9" t="e">
        <f>IF(H13=0,"",L13-$L$24)</f>
        <v>#VALUE!</v>
      </c>
      <c r="N13" s="9" t="e">
        <f>IF(H13=0,"",M13^2)</f>
        <v>#VALUE!</v>
      </c>
      <c r="O13" s="9" t="str">
        <f>IF(Donnees_Test!E24="","",J13*M13)</f>
        <v/>
      </c>
      <c r="P13" s="4" t="str">
        <f t="shared" ref="P13:P22" si="2">IF(I13="","",I13^2)</f>
        <v/>
      </c>
      <c r="S13" s="9">
        <v>2</v>
      </c>
      <c r="T13" s="130">
        <v>4.3026999999999997</v>
      </c>
      <c r="V13" s="29"/>
      <c r="W13" s="29"/>
      <c r="X13" s="29"/>
      <c r="Y13" s="29"/>
      <c r="Z13" s="29"/>
      <c r="AA13" s="29"/>
      <c r="AB13" s="26" t="e">
        <f>ABS(IF(Donnees_Test!C42="","",(Donnees_Test!C42-Berechnung!Y12)/Berechnung!Y12*100))</f>
        <v>#VALUE!</v>
      </c>
      <c r="AD13" s="40" t="e">
        <f>0.5*(Y12-X12)/Donnees_Test!C42</f>
        <v>#VALUE!</v>
      </c>
      <c r="AE13" t="s">
        <v>281</v>
      </c>
    </row>
    <row r="14" spans="1:31" ht="15.75" x14ac:dyDescent="0.3">
      <c r="A14" s="9" t="s">
        <v>3</v>
      </c>
      <c r="B14" s="105" t="b">
        <f t="shared" si="0"/>
        <v>0</v>
      </c>
      <c r="C14" s="105" t="b">
        <f t="shared" si="0"/>
        <v>0</v>
      </c>
      <c r="D14" s="4"/>
      <c r="E14" s="9">
        <f>IF(Donnees_Test!$B$25="A",Berechnung!$B$13,IF(Donnees_Test!$B$25="B",Berechnung!$B$14,IF(Donnees_Test!$B$25="C",Berechnung!$B$15,IF(Donnees_Test!$B$25="D",Berechnung!$B$16,IF(Donnees_Test!$B$25="E",Berechnung!$B$17,IF(Donnees_Test!$B$25="",0,Berechnung!$B$12))))))</f>
        <v>0</v>
      </c>
      <c r="F14" s="9">
        <f>IF(Donnees_Test!B25="A",Berechnung!C$13,IF(Donnees_Test!B25="B",Berechnung!C$14,IF(Donnees_Test!B25="C",Berechnung!C$15,IF(Donnees_Test!B25="D",Berechnung!C$16,IF(Donnees_Test!B25="E",Berechnung!C$17,IF(Donnees_Test!B25="",1,Berechnung!C$12))))))</f>
        <v>1</v>
      </c>
      <c r="G14" s="9">
        <f>IF(OR((OR(Donnees_Test!C25=0,Donnees_Test!D25=0)),(OR(Donnees_Test!C25="",Donnees_Test!D25=""))),0,$E14*POWER(Donnees_Test!$D25,$F14))</f>
        <v>0</v>
      </c>
      <c r="H14" s="9" t="e">
        <f t="shared" ref="H14:H22" si="3">G14*(G$4/G$5)*SQRT($G$8/$G$4)</f>
        <v>#VALUE!</v>
      </c>
      <c r="I14" s="9" t="str">
        <f>IF(Donnees_Test!$E25="","",LN(ABS(Donnees_Test!$C25-$G$9)))</f>
        <v/>
      </c>
      <c r="J14" s="9" t="str">
        <f>IF(Donnees_Test!E25="","",I14-$I$24)</f>
        <v/>
      </c>
      <c r="K14" s="9" t="str">
        <f>IF(Donnees_Test!E25="","",J14^2)</f>
        <v/>
      </c>
      <c r="L14" s="9" t="e">
        <f t="shared" si="1"/>
        <v>#VALUE!</v>
      </c>
      <c r="M14" s="9" t="e">
        <f t="shared" ref="M14:M22" si="4">IF(H14=0,"",L14-$L$24)</f>
        <v>#VALUE!</v>
      </c>
      <c r="N14" s="9" t="e">
        <f t="shared" ref="N14:N22" si="5">IF(H14=0,"",M14^2)</f>
        <v>#VALUE!</v>
      </c>
      <c r="O14" s="9" t="str">
        <f>IF(Donnees_Test!E25="","",J14*M14)</f>
        <v/>
      </c>
      <c r="P14" s="4" t="str">
        <f t="shared" si="2"/>
        <v/>
      </c>
      <c r="S14" s="9">
        <v>3</v>
      </c>
      <c r="T14" s="130">
        <v>3.1825000000000001</v>
      </c>
      <c r="V14" s="9" t="s">
        <v>54</v>
      </c>
      <c r="W14" s="9" t="s">
        <v>55</v>
      </c>
      <c r="X14" s="4" t="s">
        <v>56</v>
      </c>
      <c r="Y14" s="4" t="s">
        <v>57</v>
      </c>
      <c r="Z14" s="4"/>
      <c r="AD14" t="e">
        <f>SUM(AB12:AB13)*0.5/100</f>
        <v>#VALUE!</v>
      </c>
      <c r="AE14" t="s">
        <v>281</v>
      </c>
    </row>
    <row r="15" spans="1:31" x14ac:dyDescent="0.2">
      <c r="A15" s="9" t="s">
        <v>4</v>
      </c>
      <c r="B15" s="105" t="b">
        <f t="shared" si="0"/>
        <v>0</v>
      </c>
      <c r="C15" s="105" t="b">
        <f t="shared" si="0"/>
        <v>0</v>
      </c>
      <c r="D15" s="4"/>
      <c r="E15" s="9">
        <f>IF(Donnees_Test!$B$26="A",Berechnung!$B$13,IF(Donnees_Test!$B$26="B",Berechnung!$B$14,IF(Donnees_Test!$B$26="C",Berechnung!$B$15,IF(Donnees_Test!$B$26="D",Berechnung!$B$16,IF(Donnees_Test!$B$26="E",Berechnung!$B$17,IF(Donnees_Test!$B$26="",0,Berechnung!$B$12))))))</f>
        <v>0</v>
      </c>
      <c r="F15" s="9">
        <f>IF(Donnees_Test!B26="A",Berechnung!C$13,IF(Donnees_Test!B26="B",Berechnung!C$14,IF(Donnees_Test!B26="C",Berechnung!C$15,IF(Donnees_Test!B26="D",Berechnung!C$16,IF(Donnees_Test!B26="E",Berechnung!C$17,IF(Donnees_Test!B26="",1,Berechnung!C$12))))))</f>
        <v>1</v>
      </c>
      <c r="G15" s="9">
        <f>IF(OR((OR(Donnees_Test!C26=0,Donnees_Test!D26=0)),(OR(Donnees_Test!C26="",Donnees_Test!D26=""))),0,$E15*POWER(Donnees_Test!$D26,$F15))</f>
        <v>0</v>
      </c>
      <c r="H15" s="9" t="e">
        <f t="shared" si="3"/>
        <v>#VALUE!</v>
      </c>
      <c r="I15" s="9" t="str">
        <f>IF(Donnees_Test!$E26="","",LN(ABS(Donnees_Test!$C26-$G$9)))</f>
        <v/>
      </c>
      <c r="J15" s="9" t="str">
        <f>IF(Donnees_Test!E26="","",I15-$I$24)</f>
        <v/>
      </c>
      <c r="K15" s="9" t="str">
        <f>IF(Donnees_Test!E26="","",J15^2)</f>
        <v/>
      </c>
      <c r="L15" s="9" t="e">
        <f t="shared" si="1"/>
        <v>#VALUE!</v>
      </c>
      <c r="M15" s="9" t="e">
        <f t="shared" si="4"/>
        <v>#VALUE!</v>
      </c>
      <c r="N15" s="9" t="e">
        <f t="shared" si="5"/>
        <v>#VALUE!</v>
      </c>
      <c r="O15" s="9" t="str">
        <f>IF(Donnees_Test!E26="","",J15*M15)</f>
        <v/>
      </c>
      <c r="P15" s="4" t="str">
        <f t="shared" si="2"/>
        <v/>
      </c>
      <c r="Q15" s="94">
        <f>10-COUNTBLANK(Donnees_Test!E24:E33)</f>
        <v>0</v>
      </c>
      <c r="R15" s="643" t="s">
        <v>758</v>
      </c>
      <c r="S15" s="9">
        <v>4</v>
      </c>
      <c r="T15" s="130">
        <v>2.7764000000000002</v>
      </c>
      <c r="V15" s="24"/>
      <c r="W15" s="24"/>
      <c r="X15" s="27"/>
      <c r="Y15" s="25"/>
    </row>
    <row r="16" spans="1:31" x14ac:dyDescent="0.2">
      <c r="A16" s="9" t="s">
        <v>6</v>
      </c>
      <c r="B16" s="105" t="b">
        <f t="shared" si="0"/>
        <v>0</v>
      </c>
      <c r="C16" s="105" t="b">
        <f t="shared" si="0"/>
        <v>0</v>
      </c>
      <c r="D16" s="4"/>
      <c r="E16" s="9">
        <f>IF(Donnees_Test!$B$27="A",Berechnung!$B$13,IF(Donnees_Test!$B$27="B",Berechnung!$B$14,IF(Donnees_Test!$B$27="C",Berechnung!$B$15,IF(Donnees_Test!$B$27="D",Berechnung!$B$16,IF(Donnees_Test!$B$27="E",Berechnung!$B$17,IF(Donnees_Test!$B$27="",0,Berechnung!$B$12))))))</f>
        <v>0</v>
      </c>
      <c r="F16" s="9">
        <f>IF(Donnees_Test!B27="A",Berechnung!C$13,IF(Donnees_Test!B27="B",Berechnung!C$14,IF(Donnees_Test!B27="C",Berechnung!C$15,IF(Donnees_Test!B27="D",Berechnung!C$16,IF(Donnees_Test!B27="E",Berechnung!C$17,IF(Donnees_Test!B27="",1,Berechnung!C$12))))))</f>
        <v>1</v>
      </c>
      <c r="G16" s="9">
        <f>IF(OR((OR(Donnees_Test!C27=0,Donnees_Test!D27=0)),(OR(Donnees_Test!C27="",Donnees_Test!D27=""))),0,$E16*POWER(Donnees_Test!$D27,$F16))</f>
        <v>0</v>
      </c>
      <c r="H16" s="9" t="e">
        <f t="shared" si="3"/>
        <v>#VALUE!</v>
      </c>
      <c r="I16" s="9" t="str">
        <f>IF(Donnees_Test!$E27="","",LN(ABS(Donnees_Test!$C27-$G$9)))</f>
        <v/>
      </c>
      <c r="J16" s="9" t="str">
        <f>IF(Donnees_Test!E27="","",I16-$I$24)</f>
        <v/>
      </c>
      <c r="K16" s="9" t="str">
        <f>IF(Donnees_Test!E27="","",J16^2)</f>
        <v/>
      </c>
      <c r="L16" s="9" t="e">
        <f t="shared" si="1"/>
        <v>#VALUE!</v>
      </c>
      <c r="M16" s="9" t="e">
        <f t="shared" si="4"/>
        <v>#VALUE!</v>
      </c>
      <c r="N16" s="9" t="e">
        <f t="shared" si="5"/>
        <v>#VALUE!</v>
      </c>
      <c r="O16" s="9" t="str">
        <f>IF(Donnees_Test!E27="","",J16*M16)</f>
        <v/>
      </c>
      <c r="P16" s="4" t="str">
        <f t="shared" si="2"/>
        <v/>
      </c>
      <c r="S16" s="9">
        <v>5</v>
      </c>
      <c r="T16" s="130">
        <v>2.5706000000000002</v>
      </c>
      <c r="V16" s="175" t="str">
        <f t="shared" ref="V16:V25" si="6">IF(I13="","",V$29*((Q$15-1)/Q$15*J$25+(I13-I$24)^2)^(0.5))</f>
        <v/>
      </c>
      <c r="W16" s="175" t="str">
        <f>IF(V16="","",V16*IF($Q$15&gt;2,VLOOKUP($Q$15-2,$S$12:$T$22,2),""))</f>
        <v/>
      </c>
      <c r="X16" s="4" t="str">
        <f t="shared" ref="X16:X21" si="7">IF(W16="","",A29*EXP(-W16))</f>
        <v/>
      </c>
      <c r="Y16" s="7" t="str">
        <f t="shared" ref="Y16:Y21" si="8">IF(W16="","",A29*EXP(W16))</f>
        <v/>
      </c>
    </row>
    <row r="17" spans="1:28" x14ac:dyDescent="0.2">
      <c r="A17" s="10" t="s">
        <v>7</v>
      </c>
      <c r="B17" s="193" t="b">
        <f t="shared" si="0"/>
        <v>0</v>
      </c>
      <c r="C17" s="193" t="b">
        <f t="shared" si="0"/>
        <v>0</v>
      </c>
      <c r="D17" s="4"/>
      <c r="E17" s="9">
        <f>IF(Donnees_Test!$B$28="A",Berechnung!$B$13,IF(Donnees_Test!$B$28="B",Berechnung!$B$14,IF(Donnees_Test!$B$28="C",Berechnung!$B$15,IF(Donnees_Test!$B$28="D",Berechnung!$B$16,IF(Donnees_Test!$B$28="E",Berechnung!$B$17,IF(Donnees_Test!$B$28="",0,Berechnung!$B$12))))))</f>
        <v>0</v>
      </c>
      <c r="F17" s="9">
        <f>IF(Donnees_Test!B28="A",Berechnung!C$13,IF(Donnees_Test!B28="B",Berechnung!C$14,IF(Donnees_Test!B28="C",Berechnung!C$15,IF(Donnees_Test!B28="D",Berechnung!C$16,IF(Donnees_Test!B28="E",Berechnung!C$17,IF(Donnees_Test!B28="",1,Berechnung!C$12))))))</f>
        <v>1</v>
      </c>
      <c r="G17" s="9">
        <f>IF(OR((OR(Donnees_Test!C28=0,Donnees_Test!D28=0)),(OR(Donnees_Test!C28="",Donnees_Test!D28=""))),0,$E17*POWER(Donnees_Test!$D28,$F17))</f>
        <v>0</v>
      </c>
      <c r="H17" s="9" t="e">
        <f t="shared" si="3"/>
        <v>#VALUE!</v>
      </c>
      <c r="I17" s="9" t="str">
        <f>IF(Donnees_Test!$E28="","",LN(ABS(Donnees_Test!$C28-$G$9)))</f>
        <v/>
      </c>
      <c r="J17" s="9" t="str">
        <f>IF(Donnees_Test!E28="","",I17-$I$24)</f>
        <v/>
      </c>
      <c r="K17" s="9" t="str">
        <f>IF(Donnees_Test!E28="","",J17^2)</f>
        <v/>
      </c>
      <c r="L17" s="9" t="e">
        <f t="shared" si="1"/>
        <v>#VALUE!</v>
      </c>
      <c r="M17" s="9" t="e">
        <f t="shared" si="4"/>
        <v>#VALUE!</v>
      </c>
      <c r="N17" s="9" t="e">
        <f t="shared" si="5"/>
        <v>#VALUE!</v>
      </c>
      <c r="O17" s="9" t="str">
        <f>IF(Donnees_Test!E28="","",J17*M17)</f>
        <v/>
      </c>
      <c r="P17" s="4" t="str">
        <f t="shared" si="2"/>
        <v/>
      </c>
      <c r="Q17" t="str">
        <f>I32</f>
        <v/>
      </c>
      <c r="S17" s="9">
        <v>6</v>
      </c>
      <c r="T17" s="130">
        <v>2.4468999999999999</v>
      </c>
      <c r="V17" s="175" t="str">
        <f t="shared" si="6"/>
        <v/>
      </c>
      <c r="W17" s="175" t="str">
        <f t="shared" ref="W17:W25" si="9">IF(V17="","",V17*IF($Q$15&gt;2,VLOOKUP($Q$15-2,$S$12:$T$22,2),""))</f>
        <v/>
      </c>
      <c r="X17" s="4" t="str">
        <f t="shared" si="7"/>
        <v/>
      </c>
      <c r="Y17" s="7" t="str">
        <f t="shared" si="8"/>
        <v/>
      </c>
    </row>
    <row r="18" spans="1:28" x14ac:dyDescent="0.2">
      <c r="A18" t="s">
        <v>284</v>
      </c>
      <c r="B18">
        <f>VLOOKUP(Batiment_Info!C57,Batiment_Info!Q84:S96,3,FALSE)</f>
        <v>0</v>
      </c>
      <c r="E18" s="9">
        <f>IF(Donnees_Test!$B$29="A",Berechnung!$B$13,IF(Donnees_Test!$B$29="B",Berechnung!$B$14,IF(Donnees_Test!$B$29="C",Berechnung!$B$15,IF(Donnees_Test!$B$29="D",Berechnung!$B$16,IF(Donnees_Test!$B$29="E",Berechnung!$B$17,IF(Donnees_Test!$B$29="",0,Berechnung!$B$12))))))</f>
        <v>0</v>
      </c>
      <c r="F18" s="9">
        <f>IF(Donnees_Test!B29="A",Berechnung!C$13,IF(Donnees_Test!B29="B",Berechnung!C$14,IF(Donnees_Test!B29="C",Berechnung!C$15,IF(Donnees_Test!B29="D",Berechnung!C$16,IF(Donnees_Test!B29="E",Berechnung!C$17,IF(Donnees_Test!B29="",1,Berechnung!C$12))))))</f>
        <v>1</v>
      </c>
      <c r="G18" s="9">
        <f>IF(OR((OR(Donnees_Test!C29=0,Donnees_Test!D29=0)),(OR(Donnees_Test!C29="",Donnees_Test!D29=""))),0,$E18*POWER(Donnees_Test!$D29,$F18))</f>
        <v>0</v>
      </c>
      <c r="H18" s="9" t="e">
        <f t="shared" si="3"/>
        <v>#VALUE!</v>
      </c>
      <c r="I18" s="9" t="str">
        <f>IF(Donnees_Test!$E29="","",LN(ABS(Donnees_Test!$C29-$G$9)))</f>
        <v/>
      </c>
      <c r="J18" s="9" t="str">
        <f>IF(Donnees_Test!E29="","",I18-$I$24)</f>
        <v/>
      </c>
      <c r="K18" s="9" t="str">
        <f>IF(Donnees_Test!E29="","",J18^2)</f>
        <v/>
      </c>
      <c r="L18" s="9" t="e">
        <f t="shared" si="1"/>
        <v>#VALUE!</v>
      </c>
      <c r="M18" s="9" t="e">
        <f t="shared" si="4"/>
        <v>#VALUE!</v>
      </c>
      <c r="N18" s="9" t="e">
        <f t="shared" si="5"/>
        <v>#VALUE!</v>
      </c>
      <c r="O18" s="9" t="str">
        <f>IF(Donnees_Test!E29="","",J18*M18)</f>
        <v/>
      </c>
      <c r="P18" s="4" t="str">
        <f t="shared" si="2"/>
        <v/>
      </c>
      <c r="S18" s="9">
        <v>7</v>
      </c>
      <c r="T18" s="130">
        <v>2.3645999999999998</v>
      </c>
      <c r="V18" s="175" t="str">
        <f t="shared" si="6"/>
        <v/>
      </c>
      <c r="W18" s="175" t="str">
        <f t="shared" si="9"/>
        <v/>
      </c>
      <c r="X18" s="4" t="str">
        <f t="shared" si="7"/>
        <v/>
      </c>
      <c r="Y18" s="7" t="str">
        <f t="shared" si="8"/>
        <v/>
      </c>
    </row>
    <row r="19" spans="1:28" x14ac:dyDescent="0.2">
      <c r="E19" s="9">
        <f>IF(Donnees_Test!$B30="A",Berechnung!$B$13,IF(Donnees_Test!$B30="B",Berechnung!$B$14,IF(Donnees_Test!$B30="C",Berechnung!$B$15,IF(Donnees_Test!$B30="D",Berechnung!$B$16,IF(Donnees_Test!$B30="E",Berechnung!$B$17,IF(Donnees_Test!$B30="",0,Berechnung!$B$12))))))</f>
        <v>0</v>
      </c>
      <c r="F19" s="9">
        <f>IF(Donnees_Test!B30="A",Berechnung!C$13,IF(Donnees_Test!B30="B",Berechnung!C$14,IF(Donnees_Test!B30="C",Berechnung!C$15,IF(Donnees_Test!B30="D",Berechnung!C$16,IF(Donnees_Test!B30="E",Berechnung!C$17,IF(Donnees_Test!B30="",1,Berechnung!C$12))))))</f>
        <v>1</v>
      </c>
      <c r="G19" s="9">
        <f>IF(OR((OR(Donnees_Test!C30=0,Donnees_Test!D30=0)),(OR(Donnees_Test!C30="",Donnees_Test!D30=""))),0,$E19*POWER(Donnees_Test!$D30,$F19))</f>
        <v>0</v>
      </c>
      <c r="H19" s="9" t="e">
        <f t="shared" si="3"/>
        <v>#VALUE!</v>
      </c>
      <c r="I19" s="9" t="str">
        <f>IF(Donnees_Test!$E30="","",LN(ABS(Donnees_Test!$C30-$G$9)))</f>
        <v/>
      </c>
      <c r="J19" s="9" t="str">
        <f>IF(Donnees_Test!E30="","",I19-$I$24)</f>
        <v/>
      </c>
      <c r="K19" s="9" t="str">
        <f>IF(Donnees_Test!E30="","",J19^2)</f>
        <v/>
      </c>
      <c r="L19" s="9" t="e">
        <f t="shared" si="1"/>
        <v>#VALUE!</v>
      </c>
      <c r="M19" s="9" t="e">
        <f t="shared" si="4"/>
        <v>#VALUE!</v>
      </c>
      <c r="N19" s="9" t="e">
        <f t="shared" si="5"/>
        <v>#VALUE!</v>
      </c>
      <c r="O19" s="9" t="str">
        <f>IF(Donnees_Test!E30="","",J19*M19)</f>
        <v/>
      </c>
      <c r="P19" s="4" t="str">
        <f t="shared" si="2"/>
        <v/>
      </c>
      <c r="S19" s="9">
        <v>8</v>
      </c>
      <c r="T19" s="130">
        <v>2.306</v>
      </c>
      <c r="V19" s="175" t="str">
        <f t="shared" si="6"/>
        <v/>
      </c>
      <c r="W19" s="175" t="str">
        <f t="shared" si="9"/>
        <v/>
      </c>
      <c r="X19" s="4" t="str">
        <f t="shared" si="7"/>
        <v/>
      </c>
      <c r="Y19" s="7" t="str">
        <f t="shared" si="8"/>
        <v/>
      </c>
    </row>
    <row r="20" spans="1:28" x14ac:dyDescent="0.2">
      <c r="E20" s="9">
        <f>IF(Donnees_Test!$B31="A",Berechnung!$B$13,IF(Donnees_Test!$B31="B",Berechnung!$B$14,IF(Donnees_Test!$B31="C",Berechnung!$B$15,IF(Donnees_Test!$B31="D",Berechnung!$B$16,IF(Donnees_Test!$B31="E",Berechnung!$B$17,IF(Donnees_Test!$B31="",0,Berechnung!$B$12))))))</f>
        <v>0</v>
      </c>
      <c r="F20" s="9">
        <f>IF(Donnees_Test!B31="A",Berechnung!C$13,IF(Donnees_Test!B31="B",Berechnung!C$14,IF(Donnees_Test!B31="C",Berechnung!C$15,IF(Donnees_Test!B31="D",Berechnung!C$16,IF(Donnees_Test!B31="E",Berechnung!C$17,IF(Donnees_Test!B31="",1,Berechnung!C$12))))))</f>
        <v>1</v>
      </c>
      <c r="G20" s="9">
        <f>IF(OR((OR(Donnees_Test!C31=0,Donnees_Test!D31=0)),(OR(Donnees_Test!C31="",Donnees_Test!D31=""))),0,$E20*POWER(Donnees_Test!$D31,$F20))</f>
        <v>0</v>
      </c>
      <c r="H20" s="9" t="e">
        <f t="shared" si="3"/>
        <v>#VALUE!</v>
      </c>
      <c r="I20" s="9" t="str">
        <f>IF(Donnees_Test!$E31="","",LN(ABS(Donnees_Test!$C31-$G$9)))</f>
        <v/>
      </c>
      <c r="J20" s="9" t="str">
        <f>IF(Donnees_Test!E31="","",I20-$I$24)</f>
        <v/>
      </c>
      <c r="K20" s="9" t="str">
        <f>IF(Donnees_Test!E31="","",J20^2)</f>
        <v/>
      </c>
      <c r="L20" s="9" t="e">
        <f>IF(H20=0,"",LN(H20))</f>
        <v>#VALUE!</v>
      </c>
      <c r="M20" s="9" t="e">
        <f t="shared" si="4"/>
        <v>#VALUE!</v>
      </c>
      <c r="N20" s="9" t="e">
        <f t="shared" si="5"/>
        <v>#VALUE!</v>
      </c>
      <c r="O20" s="9" t="str">
        <f>IF(Donnees_Test!E31="","",J20*M20)</f>
        <v/>
      </c>
      <c r="P20" s="4" t="str">
        <f>IF(I20="","",I20^2)</f>
        <v/>
      </c>
      <c r="S20" s="9">
        <v>9</v>
      </c>
      <c r="T20" s="130">
        <v>2.2622</v>
      </c>
      <c r="V20" s="175" t="str">
        <f t="shared" si="6"/>
        <v/>
      </c>
      <c r="W20" s="175" t="str">
        <f t="shared" si="9"/>
        <v/>
      </c>
      <c r="X20" s="4" t="str">
        <f t="shared" si="7"/>
        <v/>
      </c>
      <c r="Y20" s="7" t="str">
        <f t="shared" si="8"/>
        <v/>
      </c>
    </row>
    <row r="21" spans="1:28" x14ac:dyDescent="0.2">
      <c r="E21" s="9">
        <f>IF(Donnees_Test!$B32="A",Berechnung!$B$13,IF(Donnees_Test!$B32="B",Berechnung!$B$14,IF(Donnees_Test!$B32="C",Berechnung!$B$15,IF(Donnees_Test!$B32="D",Berechnung!$B$16,IF(Donnees_Test!$B32="E",Berechnung!$B$17,IF(Donnees_Test!$B32="",0,Berechnung!$B$12))))))</f>
        <v>0</v>
      </c>
      <c r="F21" s="9">
        <f>IF(Donnees_Test!B32="A",Berechnung!C$13,IF(Donnees_Test!B32="B",Berechnung!C$14,IF(Donnees_Test!B32="C",Berechnung!C$15,IF(Donnees_Test!B32="D",Berechnung!C$16,IF(Donnees_Test!B32="E",Berechnung!C$17,IF(Donnees_Test!B32="",1,Berechnung!C$12))))))</f>
        <v>1</v>
      </c>
      <c r="G21" s="9">
        <f>IF(OR((OR(Donnees_Test!C32=0,Donnees_Test!D32=0)),(OR(Donnees_Test!C32="",Donnees_Test!D32=""))),0,$E21*POWER(Donnees_Test!$D32,$F21))</f>
        <v>0</v>
      </c>
      <c r="H21" s="9" t="e">
        <f t="shared" si="3"/>
        <v>#VALUE!</v>
      </c>
      <c r="I21" s="9" t="str">
        <f>IF(Donnees_Test!$E32="","",LN(ABS(Donnees_Test!$C32-$G$9)))</f>
        <v/>
      </c>
      <c r="J21" s="9" t="str">
        <f>IF(Donnees_Test!E32="","",I21-$I$24)</f>
        <v/>
      </c>
      <c r="K21" s="9" t="str">
        <f>IF(Donnees_Test!E32="","",J21^2)</f>
        <v/>
      </c>
      <c r="L21" s="9" t="e">
        <f>IF(H21=0,"",LN(H21))</f>
        <v>#VALUE!</v>
      </c>
      <c r="M21" s="9" t="e">
        <f t="shared" si="4"/>
        <v>#VALUE!</v>
      </c>
      <c r="N21" s="9" t="e">
        <f t="shared" si="5"/>
        <v>#VALUE!</v>
      </c>
      <c r="O21" s="9" t="str">
        <f>IF(Donnees_Test!E32="","",J21*M21)</f>
        <v/>
      </c>
      <c r="P21" s="4" t="str">
        <f>IF(I21="","",I21^2)</f>
        <v/>
      </c>
      <c r="S21" s="9">
        <v>10</v>
      </c>
      <c r="T21" s="130">
        <v>2.2281</v>
      </c>
      <c r="V21" s="175" t="str">
        <f t="shared" si="6"/>
        <v/>
      </c>
      <c r="W21" s="175" t="str">
        <f t="shared" si="9"/>
        <v/>
      </c>
      <c r="X21" s="4" t="str">
        <f t="shared" si="7"/>
        <v/>
      </c>
      <c r="Y21" s="7" t="str">
        <f t="shared" si="8"/>
        <v/>
      </c>
    </row>
    <row r="22" spans="1:28" x14ac:dyDescent="0.2">
      <c r="E22" s="10">
        <f>IF(Donnees_Test!$B$33="A",Berechnung!$B$13,IF(Donnees_Test!$B$33="B",Berechnung!$B$14,IF(Donnees_Test!$B$33="C",Berechnung!$B$15,IF(Donnees_Test!$B$33="D",Berechnung!$B$16,IF(Donnees_Test!$B$33="E",Berechnung!$B$17,IF(Donnees_Test!$B$33="",0,Berechnung!$B$12))))))</f>
        <v>0</v>
      </c>
      <c r="F22" s="10">
        <f>IF(Donnees_Test!B33="A",Berechnung!C$13,IF(Donnees_Test!B33="B",Berechnung!C$14,IF(Donnees_Test!B33="C",Berechnung!C$15,IF(Donnees_Test!B33="D",Berechnung!C$16,IF(Donnees_Test!B33="E",Berechnung!C$17,IF(Donnees_Test!B33="",1,Berechnung!C$12))))))</f>
        <v>1</v>
      </c>
      <c r="G22" s="9">
        <f>IF(OR((OR(Donnees_Test!C33=0,Donnees_Test!D33=0)),(OR(Donnees_Test!C33="",Donnees_Test!D33=""))),0,$E22*POWER(Donnees_Test!$D33,$F22))</f>
        <v>0</v>
      </c>
      <c r="H22" s="9" t="e">
        <f t="shared" si="3"/>
        <v>#VALUE!</v>
      </c>
      <c r="I22" s="9" t="str">
        <f>IF(Donnees_Test!$E33="","",LN(ABS(Donnees_Test!$C33-$G$9)))</f>
        <v/>
      </c>
      <c r="J22" s="10" t="str">
        <f>IF(Donnees_Test!E33="","",I22-$I$24)</f>
        <v/>
      </c>
      <c r="K22" s="10" t="str">
        <f>IF(Donnees_Test!E33="","",J22^2)</f>
        <v/>
      </c>
      <c r="L22" s="10" t="e">
        <f t="shared" si="1"/>
        <v>#VALUE!</v>
      </c>
      <c r="M22" s="10" t="e">
        <f t="shared" si="4"/>
        <v>#VALUE!</v>
      </c>
      <c r="N22" s="10" t="e">
        <f t="shared" si="5"/>
        <v>#VALUE!</v>
      </c>
      <c r="O22" s="10" t="str">
        <f>IF(Donnees_Test!E33="","",J22*M22)</f>
        <v/>
      </c>
      <c r="P22" s="29" t="str">
        <f t="shared" si="2"/>
        <v/>
      </c>
      <c r="S22" s="10" t="s">
        <v>69</v>
      </c>
      <c r="T22" s="131">
        <v>1.96</v>
      </c>
      <c r="V22" s="175" t="str">
        <f t="shared" si="6"/>
        <v/>
      </c>
      <c r="W22" s="175" t="str">
        <f t="shared" si="9"/>
        <v/>
      </c>
      <c r="X22" s="4" t="str">
        <f>IF(W22="","",A37*EXP(-W22))</f>
        <v/>
      </c>
      <c r="Y22" s="7" t="str">
        <f>IF(W22="","",A37*EXP(W22))</f>
        <v/>
      </c>
    </row>
    <row r="23" spans="1:28" ht="15.75" x14ac:dyDescent="0.3">
      <c r="E23" s="13"/>
      <c r="F23" s="123"/>
      <c r="G23" s="9"/>
      <c r="J23" s="132" t="s">
        <v>227</v>
      </c>
      <c r="K23" s="134">
        <f>SUM(K12:K22)</f>
        <v>0</v>
      </c>
      <c r="L23" s="132"/>
      <c r="M23" s="132" t="s">
        <v>228</v>
      </c>
      <c r="N23" s="134" t="e">
        <f>SUM(N12:N22)</f>
        <v>#VALUE!</v>
      </c>
      <c r="O23" s="134">
        <f>SUM(O12:O22)</f>
        <v>0</v>
      </c>
      <c r="P23" s="134">
        <f>SUM(P12:P22)</f>
        <v>0</v>
      </c>
      <c r="Q23" s="141" t="s">
        <v>238</v>
      </c>
      <c r="V23" s="175" t="str">
        <f t="shared" si="6"/>
        <v/>
      </c>
      <c r="W23" s="175" t="str">
        <f t="shared" si="9"/>
        <v/>
      </c>
      <c r="X23" s="4"/>
      <c r="Y23" s="7"/>
    </row>
    <row r="24" spans="1:28" x14ac:dyDescent="0.2">
      <c r="D24" s="124"/>
      <c r="G24" s="9"/>
      <c r="H24" s="5" t="s">
        <v>58</v>
      </c>
      <c r="I24" s="134" t="e">
        <f>AVERAGE(I12:I22)</f>
        <v>#DIV/0!</v>
      </c>
      <c r="J24" s="137" t="s">
        <v>234</v>
      </c>
      <c r="K24" s="2"/>
      <c r="L24" s="134" t="e">
        <f>AVERAGE(L12:L22)</f>
        <v>#VALUE!</v>
      </c>
      <c r="M24" s="137" t="s">
        <v>235</v>
      </c>
      <c r="N24" s="2"/>
      <c r="O24" s="133" t="s">
        <v>229</v>
      </c>
      <c r="S24" t="s">
        <v>763</v>
      </c>
      <c r="T24" t="e">
        <f>VLOOKUP(Q15-2,S12:T21,2,FALSE)</f>
        <v>#N/A</v>
      </c>
      <c r="V24" s="175" t="str">
        <f t="shared" si="6"/>
        <v/>
      </c>
      <c r="W24" s="175" t="str">
        <f t="shared" si="9"/>
        <v/>
      </c>
      <c r="X24" s="4"/>
      <c r="Y24" s="7"/>
    </row>
    <row r="25" spans="1:28" ht="15.75" x14ac:dyDescent="0.3">
      <c r="D25" s="125"/>
      <c r="H25" s="5" t="s">
        <v>59</v>
      </c>
      <c r="I25" s="135">
        <f>IF(I14="",1,VARP(I12:I22))</f>
        <v>1</v>
      </c>
      <c r="J25" s="134">
        <f>IF(I14="",1,1/(Q15-1)*K23)</f>
        <v>1</v>
      </c>
      <c r="K25" s="137" t="s">
        <v>232</v>
      </c>
      <c r="L25" s="135">
        <f>IF(I14="",1,VARP(L12:L22))</f>
        <v>1</v>
      </c>
      <c r="M25" s="134">
        <f>IF(I14="",1,1/(Q15-1)*N23)</f>
        <v>1</v>
      </c>
      <c r="N25" s="137" t="s">
        <v>233</v>
      </c>
      <c r="O25" s="2"/>
      <c r="S25" s="20"/>
      <c r="T25" s="20"/>
      <c r="U25" s="20"/>
      <c r="V25" s="175" t="str">
        <f t="shared" si="6"/>
        <v/>
      </c>
      <c r="W25" s="175" t="str">
        <f t="shared" si="9"/>
        <v/>
      </c>
      <c r="X25" s="29" t="str">
        <f>IF(W25="","",A38*EXP(-W25))</f>
        <v/>
      </c>
      <c r="Y25" s="7" t="str">
        <f>IF(W25="","",A38*EXP(W25))</f>
        <v/>
      </c>
    </row>
    <row r="26" spans="1:28" x14ac:dyDescent="0.2">
      <c r="F26" s="18"/>
      <c r="I26" s="135"/>
      <c r="N26" s="2"/>
      <c r="O26" s="2"/>
      <c r="S26" s="20"/>
      <c r="T26" s="18"/>
      <c r="U26" s="20"/>
    </row>
    <row r="27" spans="1:28" x14ac:dyDescent="0.2">
      <c r="A27" s="21" t="s">
        <v>63</v>
      </c>
      <c r="B27" s="22"/>
      <c r="C27" s="23"/>
      <c r="D27" s="20"/>
      <c r="E27" s="18"/>
      <c r="F27" s="20"/>
      <c r="G27" s="18"/>
      <c r="I27" s="135"/>
      <c r="N27" s="18"/>
      <c r="O27" s="18"/>
      <c r="S27" s="20"/>
      <c r="T27" s="18"/>
      <c r="U27" s="20"/>
    </row>
    <row r="28" spans="1:28" x14ac:dyDescent="0.2">
      <c r="A28" s="18"/>
      <c r="B28" s="20"/>
      <c r="F28"/>
      <c r="I28" s="135"/>
      <c r="R28" s="20"/>
      <c r="S28" s="86" t="s">
        <v>790</v>
      </c>
      <c r="T28" s="20"/>
      <c r="AA28" t="s">
        <v>785</v>
      </c>
      <c r="AB28" t="s">
        <v>786</v>
      </c>
    </row>
    <row r="29" spans="1:28" ht="15.75" x14ac:dyDescent="0.3">
      <c r="A29" s="18" t="e">
        <f>IF(Q15=1,$T30*POWER((50),$T29),$T30*POWER(ABS((Donnees_Test!C24-$G9)),Berechnung!$T29))</f>
        <v>#VALUE!</v>
      </c>
      <c r="C29" t="s">
        <v>1</v>
      </c>
      <c r="F29"/>
      <c r="H29" s="5" t="s">
        <v>61</v>
      </c>
      <c r="I29" s="135">
        <f>IF(I14="",1,COVAR(I12:I22,L12:L22))</f>
        <v>1</v>
      </c>
      <c r="J29" s="140">
        <f>IF(I14="",1,1/(Q15-1)*O23)</f>
        <v>1</v>
      </c>
      <c r="K29" s="137" t="s">
        <v>230</v>
      </c>
      <c r="L29" s="2"/>
      <c r="M29" s="2"/>
      <c r="S29" s="644" t="s">
        <v>768</v>
      </c>
      <c r="T29" s="645">
        <f>IF(I14="",2/3,J29/J25)</f>
        <v>0.66666666666666663</v>
      </c>
      <c r="U29" s="5" t="s">
        <v>764</v>
      </c>
      <c r="V29" s="140" t="str">
        <f>IF(Q15&gt;2,1/SQRT(J25)*((M25-T29*J29)/(Q15-2))^0.5,"")</f>
        <v/>
      </c>
      <c r="W29" s="5" t="s">
        <v>766</v>
      </c>
      <c r="X29" s="142" t="str">
        <f>IF(Q15&gt;2,V29*VLOOKUP(Q15-2,S12:T22,2),"")</f>
        <v/>
      </c>
      <c r="Z29" s="644" t="s">
        <v>777</v>
      </c>
      <c r="AA29" s="651" t="str">
        <f>IF(X29="","",T29-X29)</f>
        <v/>
      </c>
      <c r="AB29" s="651" t="str">
        <f>IF(X29="","",T29+X29)</f>
        <v/>
      </c>
    </row>
    <row r="30" spans="1:28" ht="15" customHeight="1" x14ac:dyDescent="0.3">
      <c r="A30" s="18" t="str">
        <f>IF(Donnees_Test!C25="","",$T$30*POWER(ABS((Donnees_Test!C25-$G$9)),Berechnung!$T$29))</f>
        <v/>
      </c>
      <c r="F30"/>
      <c r="H30" s="15" t="s">
        <v>64</v>
      </c>
      <c r="I30" s="136">
        <f>IF(I14="",1,I29/(I25^0.5*L25^0.5))</f>
        <v>1</v>
      </c>
      <c r="K30" s="138" t="s">
        <v>231</v>
      </c>
      <c r="L30" s="8"/>
      <c r="M30" s="18"/>
      <c r="S30" s="644" t="s">
        <v>769</v>
      </c>
      <c r="T30" s="645" t="e">
        <f>EXP(L24-T29*I24)</f>
        <v>#VALUE!</v>
      </c>
      <c r="U30" s="5" t="s">
        <v>765</v>
      </c>
      <c r="V30" s="134" t="str">
        <f>IF(Q15&gt;2,V29*(P23/Q15)^0.5,"")</f>
        <v/>
      </c>
      <c r="W30" s="5" t="s">
        <v>767</v>
      </c>
      <c r="X30" s="142" t="str">
        <f>IF(Q15&gt;2,V30*VLOOKUP(Q15-2,S12:T22,2),"")</f>
        <v/>
      </c>
      <c r="Z30" s="644" t="s">
        <v>776</v>
      </c>
      <c r="AA30" s="652" t="str">
        <f>IF(X30="","",T30*EXP(-$X$30))</f>
        <v/>
      </c>
      <c r="AB30" s="652" t="str">
        <f>IF(X30="","",T30*EXP($X$30))</f>
        <v/>
      </c>
    </row>
    <row r="31" spans="1:28" ht="15.75" x14ac:dyDescent="0.3">
      <c r="A31" s="18" t="str">
        <f>IF(Donnees_Test!C26="","",$T$30*POWER(ABS((Donnees_Test!C26-$G$9)),Berechnung!$T$29))</f>
        <v/>
      </c>
      <c r="F31"/>
      <c r="H31" s="5" t="s">
        <v>65</v>
      </c>
      <c r="I31" s="135" t="str">
        <f>IF(Q15&gt;2,(1/SQRT(I25))*(POWER((L25-T29*I29)/(Q15-2),0.5)),"")</f>
        <v/>
      </c>
      <c r="K31" s="137" t="s">
        <v>236</v>
      </c>
      <c r="L31" s="2"/>
      <c r="S31" s="644" t="s">
        <v>770</v>
      </c>
      <c r="T31" s="645" t="e">
        <f>T30*POWER((G5/J6),1-T29)</f>
        <v>#VALUE!</v>
      </c>
      <c r="V31" s="20"/>
      <c r="Z31" s="644" t="s">
        <v>778</v>
      </c>
      <c r="AA31" s="652" t="str">
        <f>IF(X30="","",T31*EXP(-$X$30))</f>
        <v/>
      </c>
      <c r="AB31" s="652" t="str">
        <f>IF(X30="","",T31*EXP($X$30))</f>
        <v/>
      </c>
    </row>
    <row r="32" spans="1:28" ht="15.75" x14ac:dyDescent="0.3">
      <c r="A32" s="18" t="str">
        <f>IF(Donnees_Test!C27="","",$T$30*POWER(ABS((Donnees_Test!C27-$G$9)),Berechnung!$T$29))</f>
        <v/>
      </c>
      <c r="F32"/>
      <c r="H32" s="16" t="s">
        <v>66</v>
      </c>
      <c r="I32" s="135" t="str">
        <f>IF(Q15&gt;2,I31*POWER(((SUM(P12:P22))/(Q15)),0.5),"")</f>
        <v/>
      </c>
      <c r="K32" s="139" t="s">
        <v>237</v>
      </c>
      <c r="L32" s="2"/>
      <c r="S32" s="20"/>
      <c r="T32" s="18"/>
      <c r="Z32" s="20"/>
    </row>
    <row r="33" spans="1:30" x14ac:dyDescent="0.2">
      <c r="A33" s="18" t="str">
        <f>IF(Donnees_Test!C28="","",$T$30*POWER(ABS((Donnees_Test!C28-$G$9)),Berechnung!$T$29))</f>
        <v/>
      </c>
      <c r="F33"/>
      <c r="K33" s="2"/>
      <c r="L33" s="2"/>
      <c r="P33" s="20"/>
      <c r="S33" s="644" t="s">
        <v>771</v>
      </c>
      <c r="T33" s="658">
        <f>IF(I14="",1,J29/(J25*M25)^0.5)</f>
        <v>1</v>
      </c>
      <c r="Z33" s="653"/>
      <c r="AA33" s="111"/>
    </row>
    <row r="34" spans="1:30" x14ac:dyDescent="0.2">
      <c r="A34" s="18" t="str">
        <f>IF(Donnees_Test!C29="","",$T$30*POWER(ABS((Donnees_Test!C29-$G$9)),Berechnung!$T$29))</f>
        <v/>
      </c>
      <c r="F34"/>
      <c r="H34" t="s">
        <v>67</v>
      </c>
      <c r="I34" t="e">
        <f>SLOPE(L13:L22,I13:I22)</f>
        <v>#VALUE!</v>
      </c>
      <c r="J34"/>
      <c r="L34" s="2"/>
      <c r="O34" s="20"/>
      <c r="P34" s="18"/>
      <c r="S34" s="20"/>
      <c r="Z34" s="20"/>
    </row>
    <row r="35" spans="1:30" ht="15.75" x14ac:dyDescent="0.3">
      <c r="A35" s="18" t="str">
        <f>IF(Donnees_Test!C30="","",$T$30*POWER(ABS((Donnees_Test!C30-$G$9)),Berechnung!$T$29))</f>
        <v/>
      </c>
      <c r="F35"/>
      <c r="H35" s="5" t="s">
        <v>68</v>
      </c>
      <c r="I35" s="2" t="e">
        <f>EXP(INTERCEPT(L13:L22,I13:I22))</f>
        <v>#VALUE!</v>
      </c>
      <c r="K35" s="2"/>
      <c r="L35" s="2"/>
      <c r="O35" s="20"/>
      <c r="P35" s="18"/>
      <c r="S35" s="644" t="s">
        <v>772</v>
      </c>
      <c r="T35" s="624" t="str">
        <f>IF(Q15=0,"",$T$31*50^$T$29)</f>
        <v/>
      </c>
      <c r="U35" s="5" t="s">
        <v>759</v>
      </c>
      <c r="V35" s="624" t="e">
        <f>$V$29*SQRT(($Q$15-1)/$Q$15*$J$25+(LN(50)-$I$24)^2)</f>
        <v>#VALUE!</v>
      </c>
      <c r="W35" s="5" t="s">
        <v>761</v>
      </c>
      <c r="X35" s="624" t="e">
        <f>V35*$T$24</f>
        <v>#VALUE!</v>
      </c>
      <c r="Z35" s="644" t="s">
        <v>779</v>
      </c>
      <c r="AA35" s="656" t="e">
        <f>T35*EXP(-X35)</f>
        <v>#VALUE!</v>
      </c>
      <c r="AB35" s="656" t="e">
        <f>T35*EXP(X35)</f>
        <v>#VALUE!</v>
      </c>
      <c r="AC35" s="5" t="s">
        <v>788</v>
      </c>
      <c r="AD35" s="654" t="e">
        <f>1/2*(EXP(X35)-EXP(-X35))</f>
        <v>#VALUE!</v>
      </c>
    </row>
    <row r="36" spans="1:30" x14ac:dyDescent="0.2">
      <c r="A36" s="18" t="str">
        <f>IF(Donnees_Test!C31="","",$T$30*POWER(ABS((Donnees_Test!C31-$G$9)),Berechnung!$T$29))</f>
        <v/>
      </c>
      <c r="F36"/>
      <c r="K36" s="2"/>
      <c r="O36" s="20"/>
      <c r="P36" s="18"/>
      <c r="S36" s="644" t="s">
        <v>773</v>
      </c>
      <c r="T36" s="624" t="str">
        <f>IF(OR(Q15=0,Batiment_Info!$C$37=""),"",T35/Batiment_Info!$C$37)</f>
        <v/>
      </c>
      <c r="Z36" s="644" t="s">
        <v>780</v>
      </c>
      <c r="AA36" s="655" t="e">
        <f>$T$36*(1-$AD$36)</f>
        <v>#VALUE!</v>
      </c>
      <c r="AB36" s="655" t="e">
        <f>$T$36*(1+$AD$36)</f>
        <v>#VALUE!</v>
      </c>
      <c r="AC36" s="5" t="s">
        <v>787</v>
      </c>
      <c r="AD36" s="654" t="e">
        <f>SQRT(AD35^2+(Batiment_Info!$E$37/100)^2)</f>
        <v>#VALUE!</v>
      </c>
    </row>
    <row r="37" spans="1:30" x14ac:dyDescent="0.2">
      <c r="A37" s="18" t="str">
        <f>IF(Donnees_Test!C32="","",$T$30*POWER(ABS((Donnees_Test!C32-$G$9)),Berechnung!$T$29))</f>
        <v/>
      </c>
      <c r="F37"/>
      <c r="N37" s="20"/>
      <c r="O37" s="18"/>
      <c r="P37" s="20"/>
      <c r="AC37" s="5"/>
    </row>
    <row r="38" spans="1:30" ht="15.75" x14ac:dyDescent="0.3">
      <c r="A38" s="18" t="str">
        <f>IF(Donnees_Test!C33="","",$T$30*POWER(ABS((Donnees_Test!C33-$G$9)),Berechnung!$T$29))</f>
        <v/>
      </c>
      <c r="F38"/>
      <c r="N38" s="20"/>
      <c r="O38" s="18"/>
      <c r="P38" s="20"/>
      <c r="S38" s="644" t="s">
        <v>774</v>
      </c>
      <c r="T38" s="624" t="str">
        <f>IF(Q15=0,"",T31*4^T29)</f>
        <v/>
      </c>
      <c r="U38" s="5" t="s">
        <v>760</v>
      </c>
      <c r="V38" s="624" t="e">
        <f>$V$29*SQRT(($Q$15-1)/$Q$15*$J$25+(LN(4)-$I$24)^2)</f>
        <v>#VALUE!</v>
      </c>
      <c r="W38" s="5" t="s">
        <v>762</v>
      </c>
      <c r="X38" s="624" t="e">
        <f>V38*$T$24</f>
        <v>#VALUE!</v>
      </c>
      <c r="Z38" s="644" t="s">
        <v>781</v>
      </c>
      <c r="AA38" s="656" t="e">
        <f>T38*EXP(-X38)</f>
        <v>#VALUE!</v>
      </c>
      <c r="AB38" s="656" t="e">
        <f>T38*EXP(X38)</f>
        <v>#VALUE!</v>
      </c>
      <c r="AC38" s="5" t="s">
        <v>788</v>
      </c>
      <c r="AD38" s="654" t="e">
        <f>1/2*(EXP(X38)-EXP(-X38))</f>
        <v>#VALUE!</v>
      </c>
    </row>
    <row r="39" spans="1:30" x14ac:dyDescent="0.2">
      <c r="A39" s="18"/>
      <c r="F39"/>
      <c r="N39" s="20"/>
      <c r="O39" s="18"/>
      <c r="S39" s="644" t="s">
        <v>775</v>
      </c>
      <c r="T39" s="624" t="str">
        <f>IF(OR(Q15=0,Batiment_Info!$C$41=""),"",T38/Batiment_Info!$C$41)</f>
        <v/>
      </c>
      <c r="Z39" s="644" t="s">
        <v>782</v>
      </c>
      <c r="AA39" s="655" t="e">
        <f>$T$39*(1-$AD$39)</f>
        <v>#VALUE!</v>
      </c>
      <c r="AB39" s="655" t="e">
        <f>$T$39*(1+$AD$39)</f>
        <v>#VALUE!</v>
      </c>
      <c r="AC39" s="5" t="s">
        <v>789</v>
      </c>
      <c r="AD39" s="654" t="e">
        <f>SQRT(AD38^2+(Batiment_Info!$E$41/100)^2)</f>
        <v>#VALUE!</v>
      </c>
    </row>
    <row r="43" spans="1:30" ht="20.25" x14ac:dyDescent="0.3">
      <c r="A43" s="42" t="s">
        <v>9</v>
      </c>
    </row>
    <row r="44" spans="1:30" ht="18" x14ac:dyDescent="0.25">
      <c r="I44" s="39" t="s">
        <v>20</v>
      </c>
      <c r="J44" s="36"/>
      <c r="K44" s="28"/>
      <c r="S44" s="35" t="s">
        <v>21</v>
      </c>
      <c r="T44" s="28"/>
      <c r="V44" s="34" t="s">
        <v>22</v>
      </c>
      <c r="W44" s="33"/>
      <c r="X44" s="33"/>
      <c r="Y44" s="28"/>
    </row>
    <row r="45" spans="1:30" ht="15.75" x14ac:dyDescent="0.3">
      <c r="I45" s="115" t="s">
        <v>208</v>
      </c>
      <c r="J45" s="116">
        <f>J3</f>
        <v>20</v>
      </c>
      <c r="K45" s="37" t="s">
        <v>5</v>
      </c>
      <c r="L45" s="20"/>
      <c r="S45" s="9" t="s">
        <v>26</v>
      </c>
      <c r="T45" s="30" t="s">
        <v>27</v>
      </c>
      <c r="V45" s="4"/>
      <c r="W45" s="18" t="s">
        <v>28</v>
      </c>
      <c r="X45" s="18" t="s">
        <v>239</v>
      </c>
      <c r="Y45" s="30" t="s">
        <v>240</v>
      </c>
    </row>
    <row r="46" spans="1:30" ht="15" x14ac:dyDescent="0.2">
      <c r="A46" s="82" t="s">
        <v>209</v>
      </c>
      <c r="C46" s="20"/>
      <c r="D46" s="20"/>
      <c r="F46" s="5" t="s">
        <v>29</v>
      </c>
      <c r="G46" s="92" t="e">
        <f>(C47-(0.37802*C48/100*(EXP(59.484085-6790.4985/(Donnees_Test!$E$10+273.15)-5.02802*LN(Donnees_Test!$E$10+273.15)))))/(287.055*(Donnees_Test!$E$10+273.15))</f>
        <v>#VALUE!</v>
      </c>
      <c r="H46" s="12" t="s">
        <v>25</v>
      </c>
      <c r="I46" s="115" t="s">
        <v>18</v>
      </c>
      <c r="J46" s="116">
        <f>J4</f>
        <v>101325</v>
      </c>
      <c r="K46" s="117" t="s">
        <v>19</v>
      </c>
      <c r="S46" s="143" t="e">
        <f>I74*IF($Q$57=0,"",VLOOKUP($Q$57,$S$54:$T$64,2))</f>
        <v>#VALUE!</v>
      </c>
      <c r="T46" s="144" t="e">
        <f>I73*IF($Q$57=0,"",VLOOKUP($Q$57,$S$54:$T$64,2))</f>
        <v>#VALUE!</v>
      </c>
      <c r="V46" s="4" t="s">
        <v>32</v>
      </c>
    </row>
    <row r="47" spans="1:30" x14ac:dyDescent="0.2">
      <c r="B47" s="116" t="s">
        <v>18</v>
      </c>
      <c r="C47" s="111">
        <f>C5</f>
        <v>101325</v>
      </c>
      <c r="D47" s="86" t="s">
        <v>19</v>
      </c>
      <c r="F47" s="5" t="s">
        <v>33</v>
      </c>
      <c r="G47" s="92" t="e">
        <f>(C47-(0.37802*C49/100*(EXP(59.484085-6790.4985/(Donnees_Test!$E$11+273.15)-5.02802*LN(Donnees_Test!$E$11+273.15)))))/(287.055*(Donnees_Test!$E$11+273.15))</f>
        <v>#VALUE!</v>
      </c>
      <c r="H47" s="12" t="s">
        <v>25</v>
      </c>
      <c r="I47" s="115" t="s">
        <v>23</v>
      </c>
      <c r="J47" s="116">
        <f>J5</f>
        <v>0</v>
      </c>
      <c r="K47" s="117" t="s">
        <v>14</v>
      </c>
      <c r="R47" s="5"/>
      <c r="V47" s="29" t="s">
        <v>34</v>
      </c>
    </row>
    <row r="48" spans="1:30" x14ac:dyDescent="0.2">
      <c r="B48" s="116" t="s">
        <v>211</v>
      </c>
      <c r="C48" s="111">
        <f>C6</f>
        <v>0</v>
      </c>
      <c r="D48" s="86" t="s">
        <v>14</v>
      </c>
      <c r="F48" s="2" t="s">
        <v>35</v>
      </c>
      <c r="G48" s="20" t="e">
        <f>(1.458*10^-6*SQRT(Donnees_Test!$E$10+273.15))/(1+110.4/(Donnees_Test!$E$10+273.15))</f>
        <v>#VALUE!</v>
      </c>
      <c r="H48" s="20" t="s">
        <v>31</v>
      </c>
      <c r="I48" s="115" t="s">
        <v>24</v>
      </c>
      <c r="J48" s="650">
        <v>1.204</v>
      </c>
      <c r="K48" s="37" t="s">
        <v>25</v>
      </c>
    </row>
    <row r="49" spans="1:31" x14ac:dyDescent="0.2">
      <c r="B49" s="116" t="s">
        <v>210</v>
      </c>
      <c r="C49" s="111">
        <f>C7</f>
        <v>0</v>
      </c>
      <c r="D49" s="86" t="s">
        <v>14</v>
      </c>
      <c r="E49"/>
      <c r="F49" t="s">
        <v>36</v>
      </c>
      <c r="G49" s="20" t="e">
        <f>(1.458*10^-6*SQRT(Donnees_Test!$E$11+273.15))/(1+110.4/(Donnees_Test!$E$11+273.15))</f>
        <v>#VALUE!</v>
      </c>
      <c r="H49" s="20" t="s">
        <v>31</v>
      </c>
      <c r="I49" s="118" t="s">
        <v>30</v>
      </c>
      <c r="J49" s="15">
        <f>(1.458*10^-6*SQRT(20+273.15))/(1+110.4/(20+273.15))</f>
        <v>1.8134058821488231E-5</v>
      </c>
      <c r="K49" s="38" t="s">
        <v>31</v>
      </c>
    </row>
    <row r="50" spans="1:31" x14ac:dyDescent="0.2">
      <c r="E50"/>
      <c r="F50" s="5" t="s">
        <v>41</v>
      </c>
      <c r="G50">
        <v>1.204</v>
      </c>
      <c r="H50" t="s">
        <v>25</v>
      </c>
      <c r="I50"/>
      <c r="J50"/>
    </row>
    <row r="51" spans="1:31" ht="18" x14ac:dyDescent="0.25">
      <c r="A51" s="1" t="s">
        <v>49</v>
      </c>
      <c r="E51"/>
      <c r="F51" s="5" t="s">
        <v>48</v>
      </c>
      <c r="G51">
        <f>(IF(Donnees_Test!$I$23=Donnees_Test!B130,0,Donnees_Test!$I$23)+IF(Donnees_Test!$I$34=Donnees_Test!B130,0,Donnees_Test!$I$34))/(IF(OR(Donnees_Test!I23=Donnees_Test!B130,Donnees_Test!I34=Donnees_Test!B130),1,2))</f>
        <v>0</v>
      </c>
      <c r="H51" t="s">
        <v>19</v>
      </c>
      <c r="I51"/>
      <c r="J51"/>
    </row>
    <row r="52" spans="1:31" ht="18.75" x14ac:dyDescent="0.3">
      <c r="E52"/>
      <c r="F52"/>
      <c r="G52"/>
      <c r="H52"/>
      <c r="I52" s="2" t="s">
        <v>50</v>
      </c>
      <c r="K52" s="2"/>
      <c r="L52" s="2" t="s">
        <v>51</v>
      </c>
      <c r="M52" s="2"/>
      <c r="N52" s="2"/>
      <c r="O52" s="2"/>
      <c r="S52" s="6" t="s">
        <v>60</v>
      </c>
      <c r="V52" s="27"/>
      <c r="W52" s="33"/>
      <c r="X52" s="27" t="s">
        <v>70</v>
      </c>
      <c r="Y52" s="27" t="s">
        <v>71</v>
      </c>
      <c r="Z52" s="27" t="s">
        <v>72</v>
      </c>
      <c r="AA52" s="27" t="s">
        <v>73</v>
      </c>
      <c r="AB52" s="25"/>
      <c r="AD52" s="129" t="s">
        <v>282</v>
      </c>
    </row>
    <row r="53" spans="1:31" ht="41.25" thickBot="1" x14ac:dyDescent="0.4">
      <c r="A53" s="3" t="s">
        <v>52</v>
      </c>
      <c r="B53" s="11" t="s">
        <v>4</v>
      </c>
      <c r="C53" s="11" t="s">
        <v>28</v>
      </c>
      <c r="D53" s="7"/>
      <c r="E53" s="11" t="s">
        <v>4</v>
      </c>
      <c r="F53" s="11" t="s">
        <v>28</v>
      </c>
      <c r="G53" s="119" t="s">
        <v>212</v>
      </c>
      <c r="H53" s="119" t="s">
        <v>213</v>
      </c>
      <c r="I53" s="120" t="s">
        <v>216</v>
      </c>
      <c r="J53" s="120" t="s">
        <v>222</v>
      </c>
      <c r="K53" s="120" t="s">
        <v>224</v>
      </c>
      <c r="L53" s="119" t="s">
        <v>217</v>
      </c>
      <c r="M53" s="119" t="s">
        <v>223</v>
      </c>
      <c r="N53" s="119" t="s">
        <v>225</v>
      </c>
      <c r="O53" s="119" t="s">
        <v>226</v>
      </c>
      <c r="P53" s="11" t="s">
        <v>53</v>
      </c>
      <c r="R53" s="17"/>
      <c r="S53" s="128" t="s">
        <v>62</v>
      </c>
      <c r="T53" s="129">
        <v>0.95</v>
      </c>
      <c r="V53" s="4"/>
      <c r="W53" s="46" t="s">
        <v>42</v>
      </c>
      <c r="X53" s="4" t="s">
        <v>43</v>
      </c>
      <c r="Y53" s="4" t="s">
        <v>44</v>
      </c>
      <c r="Z53" s="45" t="s">
        <v>45</v>
      </c>
      <c r="AA53" s="4" t="s">
        <v>46</v>
      </c>
      <c r="AB53" s="7" t="s">
        <v>47</v>
      </c>
      <c r="AD53" s="188" t="s">
        <v>280</v>
      </c>
    </row>
    <row r="54" spans="1:31" x14ac:dyDescent="0.2">
      <c r="A54" s="4"/>
      <c r="B54" s="9" t="b">
        <f>+B12</f>
        <v>0</v>
      </c>
      <c r="C54" s="9" t="b">
        <f>+C12</f>
        <v>0</v>
      </c>
      <c r="D54" s="4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4"/>
      <c r="S54" s="9">
        <v>1</v>
      </c>
      <c r="T54" s="130">
        <v>12.706</v>
      </c>
      <c r="V54" s="175" t="e">
        <f>$V$71*(($Q$57-1)/$Q$57*$J$67+(LN(50)-$I$66)^2)^(0.5)</f>
        <v>#VALUE!</v>
      </c>
      <c r="W54" s="175" t="e">
        <f>IF(V54="","",V54*IF($Q$57&gt;2,VLOOKUP($Q$57-2,$S$54:$T$64,2),""))</f>
        <v>#VALUE!</v>
      </c>
      <c r="X54" s="176" t="e">
        <f>IF(W54="","",Donnees_Test!I42*EXP(-W54))</f>
        <v>#VALUE!</v>
      </c>
      <c r="Y54" s="177" t="e">
        <f>IF(W54="","",Donnees_Test!I42*EXP(W54))</f>
        <v>#VALUE!</v>
      </c>
      <c r="Z54" s="4" t="e">
        <f>IF(W54="","",Donnees_Test!I43*EXP(-W54))</f>
        <v>#VALUE!</v>
      </c>
      <c r="AA54" s="7" t="e">
        <f>IF(W54="","",Donnees_Test!I43*EXP(W54))</f>
        <v>#VALUE!</v>
      </c>
      <c r="AB54" s="7" t="e">
        <f>ABS(IF(Donnees_Test!I42="","",(Donnees_Test!I42-Berechnung!X54)/Berechnung!X54*100))</f>
        <v>#VALUE!</v>
      </c>
      <c r="AD54" s="189" t="e">
        <f>0.5*(EXP(W54)-EXP(-W54))</f>
        <v>#VALUE!</v>
      </c>
    </row>
    <row r="55" spans="1:31" x14ac:dyDescent="0.2">
      <c r="A55" s="9" t="s">
        <v>2</v>
      </c>
      <c r="B55" s="9" t="b">
        <f t="shared" ref="B55:C59" si="10">+B13</f>
        <v>0</v>
      </c>
      <c r="C55" s="9" t="b">
        <f t="shared" si="10"/>
        <v>0</v>
      </c>
      <c r="D55" s="4"/>
      <c r="E55" s="9">
        <f>IF(Donnees_Test!$H$24="A",Berechnung!$B$13,IF(Donnees_Test!$H$24="B",Berechnung!$B$14,IF(Donnees_Test!$H$24="C",Berechnung!$B$15,IF(Donnees_Test!$H$24="D",Berechnung!$B$16,IF(Donnees_Test!$H$24="E",Berechnung!$B$17,IF(Donnees_Test!$H$24="",0,Berechnung!$B$12))))))</f>
        <v>0</v>
      </c>
      <c r="F55" s="9">
        <f>IF(Donnees_Test!$H$24="A",$C$55,IF(Donnees_Test!$H$24="B",$C$56,IF(Donnees_Test!$H$24="C",$C$57,IF(Donnees_Test!$H$24="D",$C$58,IF(Donnees_Test!$H$24="E",$C$59,IF(Donnees_Test!$H$24="",0,$C$54))))))</f>
        <v>0</v>
      </c>
      <c r="G55" s="9">
        <f>IF(OR(OR(Donnees_Test!I24=0,Donnees_Test!J24=0),(OR(Donnees_Test!I24="",Donnees_Test!J24=""))),0,Berechnung!E55*POWER(Donnees_Test!J24,Berechnung!F55))</f>
        <v>0</v>
      </c>
      <c r="H55" s="9" t="e">
        <f>G55*($G$47/$G$46)*SQRT($G$50/$G$47)</f>
        <v>#VALUE!</v>
      </c>
      <c r="I55" s="9" t="str">
        <f>IF(Donnees_Test!K24="","",LN(Donnees_Test!I24-$G$51))</f>
        <v/>
      </c>
      <c r="J55" s="9" t="str">
        <f>IF(Donnees_Test!K24="","",I55-$I$66)</f>
        <v/>
      </c>
      <c r="K55" s="9" t="str">
        <f>IF(Donnees_Test!K24="","",J55^2)</f>
        <v/>
      </c>
      <c r="L55" s="9" t="e">
        <f t="shared" ref="L55:L64" si="11">IF(H55=0,"",LN(H55))</f>
        <v>#VALUE!</v>
      </c>
      <c r="M55" s="9" t="e">
        <f>IF(H55=0,"",L55-$L$66)</f>
        <v>#VALUE!</v>
      </c>
      <c r="N55" s="9" t="e">
        <f>IF(H55=0,"",M55^2)</f>
        <v>#VALUE!</v>
      </c>
      <c r="O55" s="9" t="str">
        <f>IF(Donnees_Test!K24="","",J55*M55)</f>
        <v/>
      </c>
      <c r="P55" s="4" t="str">
        <f t="shared" ref="P55:P64" si="12">IF(I55="","",I55^2)</f>
        <v/>
      </c>
      <c r="S55" s="9">
        <v>2</v>
      </c>
      <c r="T55" s="130">
        <v>4.3026999999999997</v>
      </c>
      <c r="V55" s="29"/>
      <c r="W55" s="29"/>
      <c r="X55" s="29"/>
      <c r="Y55" s="29"/>
      <c r="Z55" s="29"/>
      <c r="AA55" s="29"/>
      <c r="AB55" s="26" t="e">
        <f>ABS(IF(Donnees_Test!I42="","",(Donnees_Test!I42-Berechnung!Y54)/Berechnung!Y54*100))</f>
        <v>#VALUE!</v>
      </c>
      <c r="AD55" s="40" t="e">
        <f>0.5*(Y54-X54)/Donnees_Test!I42</f>
        <v>#VALUE!</v>
      </c>
      <c r="AE55" t="s">
        <v>281</v>
      </c>
    </row>
    <row r="56" spans="1:31" ht="15.75" x14ac:dyDescent="0.3">
      <c r="A56" s="9" t="s">
        <v>3</v>
      </c>
      <c r="B56" s="9" t="b">
        <f t="shared" si="10"/>
        <v>0</v>
      </c>
      <c r="C56" s="9" t="b">
        <f t="shared" si="10"/>
        <v>0</v>
      </c>
      <c r="D56" s="4"/>
      <c r="E56" s="9">
        <f>IF(Donnees_Test!$H$25="A",Berechnung!$B$13,IF(Donnees_Test!$H$25="B",Berechnung!$B$14,IF(Donnees_Test!$H$25="C",Berechnung!$B$15,IF(Donnees_Test!$H$25="D",Berechnung!$B$16,IF(Donnees_Test!$H$25="E",Berechnung!$B$17,IF(Donnees_Test!$H$25="",0,Berechnung!$B$12))))))</f>
        <v>0</v>
      </c>
      <c r="F56" s="9">
        <f>IF(Donnees_Test!$H$25="A",$C$55,IF(Donnees_Test!$H$25="B",$C$56,IF(Donnees_Test!$H$25="C",$C$57,IF(Donnees_Test!$H$25="D",$C$58,IF(Donnees_Test!$H$25="E",$C$59,IF(Donnees_Test!$H$25="",0,$C$54))))))</f>
        <v>0</v>
      </c>
      <c r="G56" s="9">
        <f>IF(OR(OR(Donnees_Test!I25=0,Donnees_Test!J25=0),(OR(Donnees_Test!I25="",Donnees_Test!J25=""))),0,Berechnung!E56*POWER(Donnees_Test!J25,Berechnung!F56))</f>
        <v>0</v>
      </c>
      <c r="H56" s="9" t="e">
        <f t="shared" ref="H56:H64" si="13">G56*($G$47/$G$46)*SQRT($G$50/$G$47)</f>
        <v>#VALUE!</v>
      </c>
      <c r="I56" s="9" t="str">
        <f>IF(Donnees_Test!K25="","",LN(Donnees_Test!I25-$G$51))</f>
        <v/>
      </c>
      <c r="J56" s="9" t="str">
        <f>IF(Donnees_Test!K25="","",I56-$I$66)</f>
        <v/>
      </c>
      <c r="K56" s="9" t="str">
        <f>IF(Donnees_Test!K25="","",J56^2)</f>
        <v/>
      </c>
      <c r="L56" s="9" t="e">
        <f t="shared" si="11"/>
        <v>#VALUE!</v>
      </c>
      <c r="M56" s="9" t="e">
        <f t="shared" ref="M56:M64" si="14">IF(H56=0,"",L56-$L$66)</f>
        <v>#VALUE!</v>
      </c>
      <c r="N56" s="9" t="e">
        <f t="shared" ref="N56:N64" si="15">IF(H56=0,"",M56^2)</f>
        <v>#VALUE!</v>
      </c>
      <c r="O56" s="9" t="str">
        <f>IF(Donnees_Test!K25="","",J56*M56)</f>
        <v/>
      </c>
      <c r="P56" s="4" t="str">
        <f t="shared" si="12"/>
        <v/>
      </c>
      <c r="S56" s="9">
        <v>3</v>
      </c>
      <c r="T56" s="130">
        <v>3.1825000000000001</v>
      </c>
      <c r="V56" s="9" t="s">
        <v>54</v>
      </c>
      <c r="W56" s="9" t="s">
        <v>55</v>
      </c>
      <c r="X56" s="4" t="s">
        <v>56</v>
      </c>
      <c r="Y56" s="4" t="s">
        <v>57</v>
      </c>
      <c r="Z56" s="4"/>
      <c r="AD56" t="e">
        <f>SUM(AB54:AB55)*0.5/100</f>
        <v>#VALUE!</v>
      </c>
      <c r="AE56" t="s">
        <v>281</v>
      </c>
    </row>
    <row r="57" spans="1:31" x14ac:dyDescent="0.2">
      <c r="A57" s="9" t="s">
        <v>4</v>
      </c>
      <c r="B57" s="9" t="b">
        <f t="shared" si="10"/>
        <v>0</v>
      </c>
      <c r="C57" s="9" t="b">
        <f t="shared" si="10"/>
        <v>0</v>
      </c>
      <c r="D57" s="4"/>
      <c r="E57" s="9">
        <f>IF(Donnees_Test!$H$26="A",Berechnung!$B$13,IF(Donnees_Test!$H$26="B",Berechnung!$B$14,IF(Donnees_Test!$H$26="C",Berechnung!$B$15,IF(Donnees_Test!$H$26="D",Berechnung!$B$16,IF(Donnees_Test!$H$26="E",Berechnung!$B$17,IF(Donnees_Test!$H$26="",0,Berechnung!$B$12))))))</f>
        <v>0</v>
      </c>
      <c r="F57" s="9">
        <f>IF(Donnees_Test!$H$26="A",$C$55,IF(Donnees_Test!$H$26="B",$C$56,IF(Donnees_Test!$H$26="C",$C$57,IF(Donnees_Test!$H$26="D",$C$58,IF(Donnees_Test!$H$26="E",$C$59,IF(Donnees_Test!$H$26="",0,$C$54))))))</f>
        <v>0</v>
      </c>
      <c r="G57" s="9">
        <f>IF(OR(OR(Donnees_Test!I26=0,Donnees_Test!J26=0),(OR(Donnees_Test!I26="",Donnees_Test!J26=""))),0,Berechnung!E57*POWER(Donnees_Test!J26,Berechnung!F57))</f>
        <v>0</v>
      </c>
      <c r="H57" s="9" t="e">
        <f t="shared" si="13"/>
        <v>#VALUE!</v>
      </c>
      <c r="I57" s="9" t="str">
        <f>IF(Donnees_Test!K26="","",LN(Donnees_Test!I26-$G$51))</f>
        <v/>
      </c>
      <c r="J57" s="9" t="str">
        <f>IF(Donnees_Test!K26="","",I57-$I$66)</f>
        <v/>
      </c>
      <c r="K57" s="9" t="str">
        <f>IF(Donnees_Test!K26="","",J57^2)</f>
        <v/>
      </c>
      <c r="L57" s="9" t="e">
        <f t="shared" si="11"/>
        <v>#VALUE!</v>
      </c>
      <c r="M57" s="9" t="e">
        <f t="shared" si="14"/>
        <v>#VALUE!</v>
      </c>
      <c r="N57" s="9" t="e">
        <f t="shared" si="15"/>
        <v>#VALUE!</v>
      </c>
      <c r="O57" s="9" t="str">
        <f>IF(Donnees_Test!K26="","",J57*M57)</f>
        <v/>
      </c>
      <c r="P57" s="4" t="str">
        <f t="shared" si="12"/>
        <v/>
      </c>
      <c r="Q57" s="94">
        <f>10-COUNTBLANK(Donnees_Test!K24:K33)</f>
        <v>0</v>
      </c>
      <c r="R57" s="32" t="e">
        <f xml:space="preserve"> Anzahl Messwerte</f>
        <v>#NAME?</v>
      </c>
      <c r="S57" s="9">
        <v>4</v>
      </c>
      <c r="T57" s="130">
        <v>2.7764000000000002</v>
      </c>
      <c r="V57" s="24"/>
      <c r="W57" s="24"/>
      <c r="X57" s="27"/>
      <c r="Y57" s="25"/>
    </row>
    <row r="58" spans="1:31" x14ac:dyDescent="0.2">
      <c r="A58" s="9" t="s">
        <v>6</v>
      </c>
      <c r="B58" s="9" t="b">
        <f>+B16</f>
        <v>0</v>
      </c>
      <c r="C58" s="9" t="b">
        <f t="shared" si="10"/>
        <v>0</v>
      </c>
      <c r="D58" s="4"/>
      <c r="E58" s="9">
        <f>IF(Donnees_Test!$H$27="A",Berechnung!$B$13,IF(Donnees_Test!$H$27="B",Berechnung!$B$14,IF(Donnees_Test!$H$27="C",Berechnung!$B$15,IF(Donnees_Test!$H$27="D",Berechnung!$B$16,IF(Donnees_Test!$H$27="E",Berechnung!$B$17,IF(Donnees_Test!$H$27="",0,Berechnung!$B$12))))))</f>
        <v>0</v>
      </c>
      <c r="F58" s="9">
        <f>IF(Donnees_Test!$H$27="A",$C$55,IF(Donnees_Test!$H$27="B",$C$56,IF(Donnees_Test!$H$27="C",$C$57,IF(Donnees_Test!$H$27="D",$C$58,IF(Donnees_Test!$H$27="E",$C$59,IF(Donnees_Test!$H$27="",0,$C$54))))))</f>
        <v>0</v>
      </c>
      <c r="G58" s="9">
        <f>IF(OR(OR(Donnees_Test!I27=0,Donnees_Test!J27=0),(OR(Donnees_Test!I27="",Donnees_Test!J27=""))),0,Berechnung!E58*POWER(Donnees_Test!J27,Berechnung!F58))</f>
        <v>0</v>
      </c>
      <c r="H58" s="9" t="e">
        <f t="shared" si="13"/>
        <v>#VALUE!</v>
      </c>
      <c r="I58" s="9" t="str">
        <f>IF(Donnees_Test!K27="","",LN(Donnees_Test!I27-$G$51))</f>
        <v/>
      </c>
      <c r="J58" s="9" t="str">
        <f>IF(Donnees_Test!K27="","",I58-$I$66)</f>
        <v/>
      </c>
      <c r="K58" s="9" t="str">
        <f>IF(Donnees_Test!K27="","",J58^2)</f>
        <v/>
      </c>
      <c r="L58" s="9" t="e">
        <f t="shared" si="11"/>
        <v>#VALUE!</v>
      </c>
      <c r="M58" s="9" t="e">
        <f t="shared" si="14"/>
        <v>#VALUE!</v>
      </c>
      <c r="N58" s="9" t="e">
        <f t="shared" si="15"/>
        <v>#VALUE!</v>
      </c>
      <c r="O58" s="9" t="str">
        <f>IF(Donnees_Test!K27="","",J58*M58)</f>
        <v/>
      </c>
      <c r="P58" s="4" t="str">
        <f t="shared" si="12"/>
        <v/>
      </c>
      <c r="S58" s="9">
        <v>5</v>
      </c>
      <c r="T58" s="130">
        <v>2.5706000000000002</v>
      </c>
      <c r="V58" s="175" t="str">
        <f t="shared" ref="V58:V67" si="16">IF(I55="","",$V$71*(($Q$57-1)/$Q$57*$J$67+(I55-$I$66)^2)^(0.5))</f>
        <v/>
      </c>
      <c r="W58" s="175" t="str">
        <f>IF(V58="","",V58*IF($Q$57&gt;2,VLOOKUP($Q$57-2,$S$54:$T$64,2),""))</f>
        <v/>
      </c>
      <c r="X58" s="4" t="str">
        <f t="shared" ref="X58:X64" si="17">IF(W58="","",A71*EXP(-W58))</f>
        <v/>
      </c>
      <c r="Y58" s="7" t="str">
        <f t="shared" ref="Y58:Y64" si="18">IF(W58="","",A71*EXP(W58))</f>
        <v/>
      </c>
    </row>
    <row r="59" spans="1:31" x14ac:dyDescent="0.2">
      <c r="A59" s="10" t="s">
        <v>7</v>
      </c>
      <c r="B59" s="10" t="b">
        <f t="shared" si="10"/>
        <v>0</v>
      </c>
      <c r="C59" s="19" t="b">
        <f t="shared" si="10"/>
        <v>0</v>
      </c>
      <c r="D59" s="4"/>
      <c r="E59" s="9">
        <f>IF(Donnees_Test!$H$28="A",Berechnung!$B$13,IF(Donnees_Test!$H$28="B",Berechnung!$B$14,IF(Donnees_Test!$H$28="C",Berechnung!$B$15,IF(Donnees_Test!$H$28="D",Berechnung!$B$16,IF(Donnees_Test!$H$28="E",Berechnung!$B$17,IF(Donnees_Test!$H$28="",0,Berechnung!$B$12))))))</f>
        <v>0</v>
      </c>
      <c r="F59" s="9">
        <f>IF(Donnees_Test!$H$28="A",$C$55,IF(Donnees_Test!$H$28="B",$C$56,IF(Donnees_Test!$H$28="C",$C$57,IF(Donnees_Test!$H$28="D",$C$58,IF(Donnees_Test!$H$28="E",$C$59,IF(Donnees_Test!$H$28="",0,$C$54))))))</f>
        <v>0</v>
      </c>
      <c r="G59" s="9">
        <f>IF(OR(OR(Donnees_Test!I28=0,Donnees_Test!J28=0),(OR(Donnees_Test!I28="",Donnees_Test!J28=""))),0,Berechnung!E59*POWER(Donnees_Test!J28,Berechnung!F59))</f>
        <v>0</v>
      </c>
      <c r="H59" s="9" t="e">
        <f t="shared" si="13"/>
        <v>#VALUE!</v>
      </c>
      <c r="I59" s="9" t="str">
        <f>IF(Donnees_Test!K28="","",LN(Donnees_Test!I28-$G$51))</f>
        <v/>
      </c>
      <c r="J59" s="9" t="str">
        <f>IF(Donnees_Test!K28="","",I59-$I$66)</f>
        <v/>
      </c>
      <c r="K59" s="9" t="str">
        <f>IF(Donnees_Test!K28="","",J59^2)</f>
        <v/>
      </c>
      <c r="L59" s="9" t="e">
        <f t="shared" si="11"/>
        <v>#VALUE!</v>
      </c>
      <c r="M59" s="9" t="e">
        <f t="shared" si="14"/>
        <v>#VALUE!</v>
      </c>
      <c r="N59" s="9" t="e">
        <f t="shared" si="15"/>
        <v>#VALUE!</v>
      </c>
      <c r="O59" s="9" t="str">
        <f>IF(Donnees_Test!K28="","",J59*M59)</f>
        <v/>
      </c>
      <c r="P59" s="4" t="str">
        <f t="shared" si="12"/>
        <v/>
      </c>
      <c r="S59" s="9">
        <v>6</v>
      </c>
      <c r="T59" s="130">
        <v>2.4468999999999999</v>
      </c>
      <c r="V59" s="175" t="str">
        <f t="shared" si="16"/>
        <v/>
      </c>
      <c r="W59" s="175" t="str">
        <f t="shared" ref="W59:W67" si="19">IF(V59="","",V59*IF($Q$57&gt;2,VLOOKUP($Q$57-2,$S$54:$T$64,2),""))</f>
        <v/>
      </c>
      <c r="X59" s="4" t="str">
        <f t="shared" si="17"/>
        <v/>
      </c>
      <c r="Y59" s="7" t="str">
        <f t="shared" si="18"/>
        <v/>
      </c>
    </row>
    <row r="60" spans="1:31" x14ac:dyDescent="0.2">
      <c r="E60" s="9">
        <f>IF(Donnees_Test!$H$29="A",Berechnung!$B$13,IF(Donnees_Test!$H$29="B",Berechnung!$B$14,IF(Donnees_Test!$H$29="C",Berechnung!$B$15,IF(Donnees_Test!$H$29="D",Berechnung!$B$16,IF(Donnees_Test!$H$29="E",Berechnung!$B$17,IF(Donnees_Test!$H$29="",0,Berechnung!$B$12))))))</f>
        <v>0</v>
      </c>
      <c r="F60" s="9">
        <f>IF(Donnees_Test!$H$29="A",$C$55,IF(Donnees_Test!$H$29="B",$C$56,IF(Donnees_Test!$H$29="C",$C$57,IF(Donnees_Test!$H$29="D",$C$58,IF(Donnees_Test!$H$29="E",$C$59,IF(Donnees_Test!$H$29="",0,$C$54))))))</f>
        <v>0</v>
      </c>
      <c r="G60" s="9">
        <f>IF(OR(OR(Donnees_Test!I29=0,Donnees_Test!J29=0),(OR(Donnees_Test!I29="",Donnees_Test!J29=""))),0,Berechnung!E60*POWER(Donnees_Test!J29,Berechnung!F60))</f>
        <v>0</v>
      </c>
      <c r="H60" s="9" t="e">
        <f t="shared" si="13"/>
        <v>#VALUE!</v>
      </c>
      <c r="I60" s="9" t="str">
        <f>IF(Donnees_Test!K29="","",LN(Donnees_Test!I29-$G$51))</f>
        <v/>
      </c>
      <c r="J60" s="9" t="str">
        <f>IF(Donnees_Test!K29="","",I60-$I$66)</f>
        <v/>
      </c>
      <c r="K60" s="9" t="str">
        <f>IF(Donnees_Test!K29="","",J60^2)</f>
        <v/>
      </c>
      <c r="L60" s="9" t="e">
        <f t="shared" si="11"/>
        <v>#VALUE!</v>
      </c>
      <c r="M60" s="9" t="e">
        <f t="shared" si="14"/>
        <v>#VALUE!</v>
      </c>
      <c r="N60" s="9" t="e">
        <f t="shared" si="15"/>
        <v>#VALUE!</v>
      </c>
      <c r="O60" s="9" t="str">
        <f>IF(Donnees_Test!K29="","",J60*M60)</f>
        <v/>
      </c>
      <c r="P60" s="4" t="str">
        <f t="shared" si="12"/>
        <v/>
      </c>
      <c r="S60" s="9">
        <v>7</v>
      </c>
      <c r="T60" s="130">
        <v>2.3645999999999998</v>
      </c>
      <c r="V60" s="175" t="str">
        <f t="shared" si="16"/>
        <v/>
      </c>
      <c r="W60" s="175" t="str">
        <f t="shared" si="19"/>
        <v/>
      </c>
      <c r="X60" s="4" t="str">
        <f t="shared" si="17"/>
        <v/>
      </c>
      <c r="Y60" s="7" t="str">
        <f t="shared" si="18"/>
        <v/>
      </c>
    </row>
    <row r="61" spans="1:31" x14ac:dyDescent="0.2">
      <c r="E61" s="9">
        <f>IF(Donnees_Test!$H30="A",Berechnung!$B$13,IF(Donnees_Test!$H30="B",Berechnung!$B$14,IF(Donnees_Test!$H30="C",Berechnung!$B$15,IF(Donnees_Test!$H30="D",Berechnung!$B$16,IF(Donnees_Test!$H30="E",Berechnung!$B$17,IF(Donnees_Test!$H30="",0,Berechnung!$B$12))))))</f>
        <v>0</v>
      </c>
      <c r="F61" s="9">
        <f>IF(Donnees_Test!$H30="A",$C$55,IF(Donnees_Test!$H30="B",$C$56,IF(Donnees_Test!$H30="C",$C$57,IF(Donnees_Test!$H30="D",$C$58,IF(Donnees_Test!$H30="E",$C$59,IF(Donnees_Test!$H30="",0,$C$54))))))</f>
        <v>0</v>
      </c>
      <c r="G61" s="9">
        <f>IF(OR(OR(Donnees_Test!I30=0,Donnees_Test!J30=0),(OR(Donnees_Test!I30="",Donnees_Test!J30=""))),0,Berechnung!E61*POWER(Donnees_Test!J30,Berechnung!F61))</f>
        <v>0</v>
      </c>
      <c r="H61" s="9" t="e">
        <f t="shared" si="13"/>
        <v>#VALUE!</v>
      </c>
      <c r="I61" s="9" t="str">
        <f>IF(Donnees_Test!K30="","",LN(Donnees_Test!I30-$G$51))</f>
        <v/>
      </c>
      <c r="J61" s="9" t="str">
        <f>IF(Donnees_Test!K30="","",I61-$I$66)</f>
        <v/>
      </c>
      <c r="K61" s="9" t="str">
        <f>IF(Donnees_Test!K30="","",J61^2)</f>
        <v/>
      </c>
      <c r="L61" s="9" t="e">
        <f t="shared" si="11"/>
        <v>#VALUE!</v>
      </c>
      <c r="M61" s="9" t="e">
        <f t="shared" si="14"/>
        <v>#VALUE!</v>
      </c>
      <c r="N61" s="9" t="e">
        <f t="shared" si="15"/>
        <v>#VALUE!</v>
      </c>
      <c r="O61" s="9" t="str">
        <f>IF(Donnees_Test!K30="","",J61*M61)</f>
        <v/>
      </c>
      <c r="P61" s="4" t="str">
        <f t="shared" si="12"/>
        <v/>
      </c>
      <c r="S61" s="9">
        <v>8</v>
      </c>
      <c r="T61" s="130">
        <v>2.306</v>
      </c>
      <c r="V61" s="175" t="str">
        <f t="shared" si="16"/>
        <v/>
      </c>
      <c r="W61" s="175" t="str">
        <f t="shared" si="19"/>
        <v/>
      </c>
      <c r="X61" s="4" t="str">
        <f t="shared" si="17"/>
        <v/>
      </c>
      <c r="Y61" s="7" t="str">
        <f t="shared" si="18"/>
        <v/>
      </c>
    </row>
    <row r="62" spans="1:31" x14ac:dyDescent="0.2">
      <c r="E62" s="9">
        <f>IF(Donnees_Test!$H31="A",Berechnung!$B$13,IF(Donnees_Test!$H31="B",Berechnung!$B$14,IF(Donnees_Test!$H31="C",Berechnung!$B$15,IF(Donnees_Test!$H31="D",Berechnung!$B$16,IF(Donnees_Test!$H31="E",Berechnung!$B$17,IF(Donnees_Test!$H31="",0,Berechnung!$B$12))))))</f>
        <v>0</v>
      </c>
      <c r="F62" s="9">
        <f>IF(Donnees_Test!$H31="A",$C$55,IF(Donnees_Test!$H31="B",$C$56,IF(Donnees_Test!$H31="C",$C$57,IF(Donnees_Test!$H31="D",$C$58,IF(Donnees_Test!$H31="E",$C$59,IF(Donnees_Test!$H31="",0,$C$54))))))</f>
        <v>0</v>
      </c>
      <c r="G62" s="9">
        <f>IF(OR(OR(Donnees_Test!I31=0,Donnees_Test!J31=0),(OR(Donnees_Test!I31="",Donnees_Test!J31=""))),0,Berechnung!E62*POWER(Donnees_Test!J31,Berechnung!F62))</f>
        <v>0</v>
      </c>
      <c r="H62" s="9" t="e">
        <f t="shared" si="13"/>
        <v>#VALUE!</v>
      </c>
      <c r="I62" s="9" t="str">
        <f>IF(Donnees_Test!K31="","",LN(Donnees_Test!I31-$G$51))</f>
        <v/>
      </c>
      <c r="J62" s="9" t="str">
        <f>IF(Donnees_Test!K31="","",I62-$I$66)</f>
        <v/>
      </c>
      <c r="K62" s="9" t="str">
        <f>IF(Donnees_Test!K31="","",J62^2)</f>
        <v/>
      </c>
      <c r="L62" s="9" t="e">
        <f>IF(H62=0,"",LN(H62))</f>
        <v>#VALUE!</v>
      </c>
      <c r="M62" s="9" t="e">
        <f t="shared" si="14"/>
        <v>#VALUE!</v>
      </c>
      <c r="N62" s="9" t="e">
        <f t="shared" si="15"/>
        <v>#VALUE!</v>
      </c>
      <c r="O62" s="9" t="str">
        <f>IF(Donnees_Test!K31="","",J62*M62)</f>
        <v/>
      </c>
      <c r="P62" s="4" t="str">
        <f>IF(I62="","",I62^2)</f>
        <v/>
      </c>
      <c r="S62" s="9">
        <v>9</v>
      </c>
      <c r="T62" s="130">
        <v>2.2622</v>
      </c>
      <c r="V62" s="175" t="str">
        <f t="shared" si="16"/>
        <v/>
      </c>
      <c r="W62" s="175" t="str">
        <f t="shared" si="19"/>
        <v/>
      </c>
      <c r="X62" s="4" t="str">
        <f t="shared" si="17"/>
        <v/>
      </c>
      <c r="Y62" s="7" t="str">
        <f t="shared" si="18"/>
        <v/>
      </c>
    </row>
    <row r="63" spans="1:31" x14ac:dyDescent="0.2">
      <c r="E63" s="9">
        <f>IF(Donnees_Test!$H32="A",Berechnung!$B$13,IF(Donnees_Test!$H32="B",Berechnung!$B$14,IF(Donnees_Test!$H32="C",Berechnung!$B$15,IF(Donnees_Test!$H32="D",Berechnung!$B$16,IF(Donnees_Test!$H32="E",Berechnung!$B$17,IF(Donnees_Test!$H32="",0,Berechnung!$B$12))))))</f>
        <v>0</v>
      </c>
      <c r="F63" s="9">
        <f>IF(Donnees_Test!$H32="A",$C$55,IF(Donnees_Test!$H32="B",$C$56,IF(Donnees_Test!$H32="C",$C$57,IF(Donnees_Test!$H32="D",$C$58,IF(Donnees_Test!$H32="E",$C$59,IF(Donnees_Test!$H32="",0,$C$54))))))</f>
        <v>0</v>
      </c>
      <c r="G63" s="9">
        <f>IF(OR(OR(Donnees_Test!I32=0,Donnees_Test!J32=0),(OR(Donnees_Test!I32="",Donnees_Test!J32=""))),0,Berechnung!E63*POWER(Donnees_Test!J32,Berechnung!F63))</f>
        <v>0</v>
      </c>
      <c r="H63" s="9" t="e">
        <f t="shared" si="13"/>
        <v>#VALUE!</v>
      </c>
      <c r="I63" s="9" t="str">
        <f>IF(Donnees_Test!K32="","",LN(Donnees_Test!I32-$G$51))</f>
        <v/>
      </c>
      <c r="J63" s="9" t="str">
        <f>IF(Donnees_Test!K32="","",I63-$I$66)</f>
        <v/>
      </c>
      <c r="K63" s="9" t="str">
        <f>IF(Donnees_Test!K32="","",J63^2)</f>
        <v/>
      </c>
      <c r="L63" s="9" t="e">
        <f>IF(H63=0,"",LN(H63))</f>
        <v>#VALUE!</v>
      </c>
      <c r="M63" s="9" t="e">
        <f t="shared" si="14"/>
        <v>#VALUE!</v>
      </c>
      <c r="N63" s="9" t="e">
        <f t="shared" si="15"/>
        <v>#VALUE!</v>
      </c>
      <c r="O63" s="9" t="str">
        <f>IF(Donnees_Test!K32="","",J63*M63)</f>
        <v/>
      </c>
      <c r="P63" s="4" t="str">
        <f>IF(I63="","",I63^2)</f>
        <v/>
      </c>
      <c r="S63" s="9">
        <v>10</v>
      </c>
      <c r="T63" s="130">
        <v>2.2281</v>
      </c>
      <c r="V63" s="175" t="str">
        <f t="shared" si="16"/>
        <v/>
      </c>
      <c r="W63" s="175" t="str">
        <f t="shared" si="19"/>
        <v/>
      </c>
      <c r="X63" s="4" t="str">
        <f t="shared" si="17"/>
        <v/>
      </c>
      <c r="Y63" s="7" t="str">
        <f t="shared" si="18"/>
        <v/>
      </c>
    </row>
    <row r="64" spans="1:31" x14ac:dyDescent="0.2">
      <c r="E64" s="10">
        <f>IF(Donnees_Test!$H$33="A",Berechnung!$B$13,IF(Donnees_Test!$H$33="B",Berechnung!$B$14,IF(Donnees_Test!$H$33="C",Berechnung!$B$15,IF(Donnees_Test!$H$33="D",Berechnung!$B$16,IF(Donnees_Test!$H$33="E",Berechnung!$B$17,IF(Donnees_Test!$H$33="",0,Berechnung!$B$12))))))</f>
        <v>0</v>
      </c>
      <c r="F64" s="10">
        <f>IF(Donnees_Test!$H$33="A",$C$55,IF(Donnees_Test!$H$33="B",$C$56,IF(Donnees_Test!$H$33="C",$C$57,IF(Donnees_Test!$H$33="D",$C$58,IF(Donnees_Test!$H$33="E",$C$59,IF(Donnees_Test!$H$33="",0,$C$54))))))</f>
        <v>0</v>
      </c>
      <c r="G64" s="9">
        <f>IF(OR(OR(Donnees_Test!I33=0,Donnees_Test!J33=0),(OR(Donnees_Test!I33="",Donnees_Test!J33=""))),0,Berechnung!E64*POWER(Donnees_Test!J33,Berechnung!F64))</f>
        <v>0</v>
      </c>
      <c r="H64" s="9" t="e">
        <f t="shared" si="13"/>
        <v>#VALUE!</v>
      </c>
      <c r="I64" s="10" t="str">
        <f>IF(Donnees_Test!K33="","",LN(Donnees_Test!I33-$G$51))</f>
        <v/>
      </c>
      <c r="J64" s="10" t="str">
        <f>IF(Donnees_Test!K33="","",I64-$I$66)</f>
        <v/>
      </c>
      <c r="K64" s="10" t="str">
        <f>IF(Donnees_Test!K33="","",J64^2)</f>
        <v/>
      </c>
      <c r="L64" s="10" t="e">
        <f t="shared" si="11"/>
        <v>#VALUE!</v>
      </c>
      <c r="M64" s="10" t="e">
        <f t="shared" si="14"/>
        <v>#VALUE!</v>
      </c>
      <c r="N64" s="10" t="e">
        <f t="shared" si="15"/>
        <v>#VALUE!</v>
      </c>
      <c r="O64" s="10" t="str">
        <f>IF(Donnees_Test!K33="","",J64*M64)</f>
        <v/>
      </c>
      <c r="P64" s="29" t="str">
        <f t="shared" si="12"/>
        <v/>
      </c>
      <c r="S64" s="10" t="s">
        <v>69</v>
      </c>
      <c r="T64" s="131">
        <v>1.96</v>
      </c>
      <c r="V64" s="175" t="str">
        <f t="shared" si="16"/>
        <v/>
      </c>
      <c r="W64" s="175" t="str">
        <f t="shared" si="19"/>
        <v/>
      </c>
      <c r="X64" s="4" t="str">
        <f t="shared" si="17"/>
        <v/>
      </c>
      <c r="Y64" s="7" t="str">
        <f t="shared" si="18"/>
        <v/>
      </c>
    </row>
    <row r="65" spans="1:30" ht="15.75" x14ac:dyDescent="0.3">
      <c r="E65" s="13"/>
      <c r="F65" s="123"/>
      <c r="G65" s="9"/>
      <c r="J65" s="132" t="s">
        <v>227</v>
      </c>
      <c r="K65" s="134">
        <f>SUM(K54:K64)</f>
        <v>0</v>
      </c>
      <c r="M65" s="132" t="s">
        <v>228</v>
      </c>
      <c r="N65" s="134" t="e">
        <f>SUM(N54:N64)</f>
        <v>#VALUE!</v>
      </c>
      <c r="O65" s="134">
        <f>SUM(O54:O64)</f>
        <v>0</v>
      </c>
      <c r="P65" s="134">
        <f>SUM(P54:P64)</f>
        <v>0</v>
      </c>
      <c r="Q65" s="141" t="s">
        <v>238</v>
      </c>
      <c r="V65" s="175" t="str">
        <f t="shared" si="16"/>
        <v/>
      </c>
      <c r="W65" s="175" t="str">
        <f t="shared" si="19"/>
        <v/>
      </c>
      <c r="X65" s="4"/>
      <c r="Y65" s="7"/>
    </row>
    <row r="66" spans="1:30" x14ac:dyDescent="0.2">
      <c r="B66" s="20"/>
      <c r="C66" s="20"/>
      <c r="D66" s="659"/>
      <c r="E66" s="18"/>
      <c r="F66" s="18"/>
      <c r="G66" s="18"/>
      <c r="H66" s="5" t="s">
        <v>58</v>
      </c>
      <c r="I66" s="134" t="e">
        <f>AVERAGE(I54:I64)</f>
        <v>#DIV/0!</v>
      </c>
      <c r="J66" s="139" t="s">
        <v>234</v>
      </c>
      <c r="K66" s="2"/>
      <c r="L66" s="134" t="e">
        <f>AVERAGE(L54:L64)</f>
        <v>#VALUE!</v>
      </c>
      <c r="M66" s="133" t="s">
        <v>235</v>
      </c>
      <c r="N66" s="2"/>
      <c r="O66" s="133" t="s">
        <v>229</v>
      </c>
      <c r="S66" t="s">
        <v>763</v>
      </c>
      <c r="T66" t="e">
        <f>VLOOKUP(Q57-2,S54:T63,2,FALSE)</f>
        <v>#N/A</v>
      </c>
      <c r="V66" s="175" t="str">
        <f t="shared" si="16"/>
        <v/>
      </c>
      <c r="W66" s="175" t="str">
        <f t="shared" si="19"/>
        <v/>
      </c>
      <c r="X66" s="4"/>
      <c r="Y66" s="7"/>
    </row>
    <row r="67" spans="1:30" ht="15.75" x14ac:dyDescent="0.3">
      <c r="B67" s="20"/>
      <c r="C67" s="20"/>
      <c r="D67" s="659"/>
      <c r="E67" s="18"/>
      <c r="F67" s="18"/>
      <c r="H67" s="5" t="s">
        <v>59</v>
      </c>
      <c r="I67" s="204" t="e">
        <f>VARP(I54:I64)</f>
        <v>#DIV/0!</v>
      </c>
      <c r="J67" s="134">
        <f>1/(Q57-1)*K65</f>
        <v>0</v>
      </c>
      <c r="K67" s="137" t="s">
        <v>232</v>
      </c>
      <c r="L67" s="204" t="e">
        <f>VARP(L54:L64)</f>
        <v>#VALUE!</v>
      </c>
      <c r="M67" s="134" t="e">
        <f>1/(Q57-1)*N65</f>
        <v>#VALUE!</v>
      </c>
      <c r="N67" s="137" t="s">
        <v>233</v>
      </c>
      <c r="O67" s="2"/>
      <c r="V67" s="175" t="str">
        <f t="shared" si="16"/>
        <v/>
      </c>
      <c r="W67" s="175" t="str">
        <f t="shared" si="19"/>
        <v/>
      </c>
      <c r="X67" s="29" t="str">
        <f>IF(W67="","",A78*EXP(-W67))</f>
        <v/>
      </c>
      <c r="Y67" s="26" t="str">
        <f>IF(W67="","",A78*EXP(W67))</f>
        <v/>
      </c>
    </row>
    <row r="68" spans="1:30" x14ac:dyDescent="0.2">
      <c r="F68" s="18"/>
      <c r="M68" s="2"/>
      <c r="N68" s="2"/>
      <c r="O68" s="2"/>
      <c r="S68" s="20"/>
      <c r="T68" s="18"/>
    </row>
    <row r="69" spans="1:30" x14ac:dyDescent="0.2">
      <c r="A69" s="21" t="s">
        <v>74</v>
      </c>
      <c r="B69" s="22"/>
      <c r="C69" s="23"/>
      <c r="D69" s="20"/>
      <c r="E69" s="18"/>
      <c r="F69" s="20"/>
      <c r="G69" s="18"/>
      <c r="M69" s="18"/>
      <c r="N69" s="18"/>
      <c r="O69" s="18"/>
      <c r="S69" s="20"/>
      <c r="T69" s="18"/>
    </row>
    <row r="70" spans="1:30" x14ac:dyDescent="0.2">
      <c r="A70" s="18"/>
      <c r="B70" s="20"/>
      <c r="F70"/>
      <c r="M70" s="2"/>
      <c r="N70" s="2"/>
      <c r="O70" s="2"/>
      <c r="S70" s="86" t="s">
        <v>791</v>
      </c>
      <c r="T70" s="20"/>
    </row>
    <row r="71" spans="1:30" ht="15.75" x14ac:dyDescent="0.3">
      <c r="A71" s="18" t="e">
        <f>IF(Q57=1,$T72*POWER((50),$T71),Berechnung!$T72*POWER((Donnees_Test!I24-$G51),Berechnung!$T71))</f>
        <v>#VALUE!</v>
      </c>
      <c r="F71"/>
      <c r="H71" s="5" t="s">
        <v>61</v>
      </c>
      <c r="I71" s="204" t="e">
        <f>COVAR(I54:I64,L54:L64)</f>
        <v>#VALUE!</v>
      </c>
      <c r="J71" s="134">
        <f>1/(Q57-1)*O65</f>
        <v>0</v>
      </c>
      <c r="K71" s="137" t="s">
        <v>230</v>
      </c>
      <c r="L71" s="2"/>
      <c r="M71" s="2"/>
      <c r="N71" s="2"/>
      <c r="O71" s="2"/>
      <c r="S71" s="644" t="s">
        <v>768</v>
      </c>
      <c r="T71" s="645">
        <f>IF(I56="",2/3,J71/J67)</f>
        <v>0.66666666666666663</v>
      </c>
      <c r="U71" s="5" t="s">
        <v>764</v>
      </c>
      <c r="V71" s="140" t="str">
        <f>IF(Q57&gt;2,1/SQRT(J67)*((M67-T71*J71)/(Q57-2))^0.5,"")</f>
        <v/>
      </c>
      <c r="W71" s="5" t="s">
        <v>766</v>
      </c>
      <c r="X71" s="142" t="str">
        <f>IF(Q57&gt;2,V71*VLOOKUP(Q57-2,S54:T64,2),"")</f>
        <v/>
      </c>
      <c r="Z71" s="644" t="s">
        <v>777</v>
      </c>
      <c r="AA71" s="651" t="str">
        <f>IF(X71="","",T71-X71)</f>
        <v/>
      </c>
      <c r="AB71" s="651" t="str">
        <f>IF(X71="","",T71+X71)</f>
        <v/>
      </c>
    </row>
    <row r="72" spans="1:30" ht="15.75" x14ac:dyDescent="0.3">
      <c r="A72" s="18" t="str">
        <f>IF(Donnees_Test!I25="","",Berechnung!$T$72*POWER((Donnees_Test!I25-Berechnung!$G$51),Berechnung!$T$71))</f>
        <v/>
      </c>
      <c r="F72"/>
      <c r="H72" s="15" t="s">
        <v>64</v>
      </c>
      <c r="I72" s="205" t="e">
        <f>I71/(I67^0.5*L67^0.5)</f>
        <v>#VALUE!</v>
      </c>
      <c r="K72" s="138" t="s">
        <v>231</v>
      </c>
      <c r="L72" s="8"/>
      <c r="M72" s="2"/>
      <c r="N72" s="2"/>
      <c r="O72" s="2"/>
      <c r="S72" s="644" t="s">
        <v>769</v>
      </c>
      <c r="T72" s="645" t="e">
        <f>EXP(L66-T71*I66)</f>
        <v>#VALUE!</v>
      </c>
      <c r="U72" s="5" t="s">
        <v>765</v>
      </c>
      <c r="V72" s="134" t="str">
        <f>IF(Q57&gt;2,V71*(P65/Q57)^0.5,"")</f>
        <v/>
      </c>
      <c r="W72" s="5" t="s">
        <v>767</v>
      </c>
      <c r="X72" s="142" t="str">
        <f>IF(Q57&gt;2,V72*VLOOKUP(Q57-2,S54:T64,2),"")</f>
        <v/>
      </c>
      <c r="Z72" s="644" t="s">
        <v>776</v>
      </c>
      <c r="AA72" s="652" t="str">
        <f>IF(X72="","",T72*EXP(-$X$72))</f>
        <v/>
      </c>
      <c r="AB72" s="652" t="str">
        <f>IF(X72="","",T72*EXP($X$72))</f>
        <v/>
      </c>
    </row>
    <row r="73" spans="1:30" ht="15.75" x14ac:dyDescent="0.3">
      <c r="A73" s="18" t="str">
        <f>IF(Donnees_Test!I26="","",Berechnung!$T$72*POWER((Donnees_Test!I26-Berechnung!$G$51),Berechnung!$T$71))</f>
        <v/>
      </c>
      <c r="F73"/>
      <c r="H73" s="5" t="s">
        <v>65</v>
      </c>
      <c r="I73" s="135" t="str">
        <f>IF(Q57&gt;2,(1/SQRT(I67))*(POWER((L67-T71*I71)/(Q57-2),0.5)),"")</f>
        <v/>
      </c>
      <c r="K73" s="137" t="s">
        <v>236</v>
      </c>
      <c r="L73" s="2"/>
      <c r="M73" s="2"/>
      <c r="N73" s="2"/>
      <c r="O73" s="2"/>
      <c r="S73" s="644" t="s">
        <v>770</v>
      </c>
      <c r="T73" s="645" t="e">
        <f>T72*POWER((G46/J48),1-T71)</f>
        <v>#VALUE!</v>
      </c>
      <c r="V73" s="20"/>
      <c r="Z73" s="644" t="s">
        <v>778</v>
      </c>
      <c r="AA73" s="652" t="str">
        <f>IF(X72="","",T73*EXP(-$X$72))</f>
        <v/>
      </c>
      <c r="AB73" s="652" t="str">
        <f>IF(X72="","",T73*EXP($X$72))</f>
        <v/>
      </c>
    </row>
    <row r="74" spans="1:30" ht="15.75" x14ac:dyDescent="0.3">
      <c r="A74" s="18" t="str">
        <f>IF(Donnees_Test!I27="","",Berechnung!$T$72*POWER((Donnees_Test!I27-Berechnung!$G$51),Berechnung!$T$71))</f>
        <v/>
      </c>
      <c r="F74"/>
      <c r="H74" s="16" t="s">
        <v>66</v>
      </c>
      <c r="I74" s="135" t="str">
        <f>IF(Q57&gt;2,I73*POWER(((SUM(P54:P64))/(Q57)),0.5),"")</f>
        <v/>
      </c>
      <c r="K74" s="139" t="s">
        <v>237</v>
      </c>
      <c r="L74" s="2"/>
      <c r="M74" s="2"/>
      <c r="N74" s="2"/>
      <c r="O74" s="2"/>
      <c r="S74" s="20"/>
      <c r="T74" s="18"/>
      <c r="Z74" s="20"/>
    </row>
    <row r="75" spans="1:30" x14ac:dyDescent="0.2">
      <c r="A75" s="18" t="str">
        <f>IF(Donnees_Test!I28="","",Berechnung!$T$72*POWER((Donnees_Test!I28-Berechnung!$G$51),Berechnung!$T$71))</f>
        <v/>
      </c>
      <c r="F75"/>
      <c r="K75" s="2"/>
      <c r="L75" s="2"/>
      <c r="M75" s="2"/>
      <c r="N75" s="2"/>
      <c r="R75" s="20"/>
      <c r="S75" s="644" t="s">
        <v>771</v>
      </c>
      <c r="T75" s="658" t="e">
        <f>J71/(J67*M67)^0.5</f>
        <v>#VALUE!</v>
      </c>
      <c r="Z75" s="653"/>
      <c r="AA75" s="111"/>
    </row>
    <row r="76" spans="1:30" x14ac:dyDescent="0.2">
      <c r="A76" s="18" t="str">
        <f>IF(Donnees_Test!I29="","",Berechnung!$T$72*POWER((Donnees_Test!I29-Berechnung!$G$51),Berechnung!$T$71))</f>
        <v/>
      </c>
      <c r="F76"/>
      <c r="H76"/>
      <c r="I76"/>
      <c r="J76"/>
      <c r="L76" s="2"/>
      <c r="N76" s="20"/>
      <c r="O76" s="18"/>
      <c r="S76" s="20"/>
      <c r="Z76" s="20"/>
    </row>
    <row r="77" spans="1:30" ht="15.75" x14ac:dyDescent="0.3">
      <c r="A77" s="18" t="str">
        <f>IF(Donnees_Test!I30="","",Berechnung!$T$72*POWER((Donnees_Test!I30-Berechnung!$G$51),Berechnung!$T$71))</f>
        <v/>
      </c>
      <c r="F77"/>
      <c r="H77" s="5"/>
      <c r="I77" s="2">
        <f>Q57</f>
        <v>0</v>
      </c>
      <c r="K77" s="2"/>
      <c r="L77" s="2"/>
      <c r="N77" s="20"/>
      <c r="O77" s="18"/>
      <c r="S77" s="644" t="s">
        <v>772</v>
      </c>
      <c r="T77" s="624" t="str">
        <f>IF(Q57=0,"",$T$73*50^$T$71)</f>
        <v/>
      </c>
      <c r="U77" s="5" t="s">
        <v>759</v>
      </c>
      <c r="V77" s="624" t="e">
        <f>$V$71*SQRT(($Q$57-1)/$Q$57*$J$67+(LN(50)-$I$66)^2)</f>
        <v>#VALUE!</v>
      </c>
      <c r="W77" s="5" t="s">
        <v>761</v>
      </c>
      <c r="X77" s="624" t="e">
        <f>V77*$T$66</f>
        <v>#VALUE!</v>
      </c>
      <c r="Z77" s="644" t="s">
        <v>779</v>
      </c>
      <c r="AA77" s="656" t="e">
        <f>T77*EXP(-X77)</f>
        <v>#VALUE!</v>
      </c>
      <c r="AB77" s="656" t="e">
        <f>T77*EXP(X77)</f>
        <v>#VALUE!</v>
      </c>
      <c r="AC77" s="5" t="s">
        <v>788</v>
      </c>
      <c r="AD77" s="654" t="e">
        <f>1/2*(EXP(X77)-EXP(-X77))</f>
        <v>#VALUE!</v>
      </c>
    </row>
    <row r="78" spans="1:30" x14ac:dyDescent="0.2">
      <c r="A78" s="18" t="str">
        <f>IF(Donnees_Test!I31="","",Berechnung!$T$72*POWER((Donnees_Test!I31-Berechnung!$G$51),Berechnung!$T$71))</f>
        <v/>
      </c>
      <c r="F78"/>
      <c r="N78" s="20"/>
      <c r="O78" s="18"/>
      <c r="S78" s="644" t="s">
        <v>773</v>
      </c>
      <c r="T78" s="624" t="str">
        <f>IF(OR(Q57=0,Batiment_Info!$C$37=""),"",T77/Batiment_Info!$C$37)</f>
        <v/>
      </c>
      <c r="Z78" s="644" t="s">
        <v>780</v>
      </c>
      <c r="AA78" s="655" t="e">
        <f>T78*(1-AD78)</f>
        <v>#VALUE!</v>
      </c>
      <c r="AB78" s="655" t="e">
        <f>T78*(1+AD78)</f>
        <v>#VALUE!</v>
      </c>
      <c r="AC78" s="5" t="s">
        <v>787</v>
      </c>
      <c r="AD78" s="654" t="e">
        <f>SQRT(AD77^2+(Batiment_Info!$E$37/100)^2)</f>
        <v>#VALUE!</v>
      </c>
    </row>
    <row r="79" spans="1:30" x14ac:dyDescent="0.2">
      <c r="A79" s="18" t="str">
        <f>IF(Donnees_Test!I32="","",Berechnung!$T$72*POWER((Donnees_Test!I32-Berechnung!$G$51),Berechnung!$T$71))</f>
        <v/>
      </c>
      <c r="N79" s="20"/>
      <c r="O79" s="18"/>
      <c r="AC79" s="5"/>
    </row>
    <row r="80" spans="1:30" ht="15.75" x14ac:dyDescent="0.3">
      <c r="A80" s="18" t="str">
        <f>IF(Donnees_Test!I33="","",Berechnung!$T$72*POWER((Donnees_Test!I33-Berechnung!$G$51),Berechnung!$T$71))</f>
        <v/>
      </c>
      <c r="N80" s="20"/>
      <c r="O80" s="20"/>
      <c r="S80" s="644" t="s">
        <v>774</v>
      </c>
      <c r="T80" s="624" t="str">
        <f>IF(Q57=0,"",T73*4^T71)</f>
        <v/>
      </c>
      <c r="U80" s="5" t="s">
        <v>760</v>
      </c>
      <c r="V80" s="624" t="e">
        <f>$V$71*SQRT(($Q$57-1)/$Q$57*$J$67+(LN(4)-$I$66)^2)</f>
        <v>#VALUE!</v>
      </c>
      <c r="W80" s="5" t="s">
        <v>762</v>
      </c>
      <c r="X80" s="624" t="e">
        <f>V80*$T$66</f>
        <v>#VALUE!</v>
      </c>
      <c r="Z80" s="644" t="s">
        <v>781</v>
      </c>
      <c r="AA80" s="656" t="e">
        <f>T80*EXP(-X80)</f>
        <v>#VALUE!</v>
      </c>
      <c r="AB80" s="656" t="e">
        <f>T80*EXP(X80)</f>
        <v>#VALUE!</v>
      </c>
      <c r="AC80" s="5" t="s">
        <v>788</v>
      </c>
      <c r="AD80" s="654" t="e">
        <f>1/2*(EXP(X80)-EXP(-X80))</f>
        <v>#VALUE!</v>
      </c>
    </row>
    <row r="81" spans="1:30" x14ac:dyDescent="0.2">
      <c r="N81" s="20"/>
      <c r="O81" s="20"/>
      <c r="S81" s="644" t="s">
        <v>775</v>
      </c>
      <c r="T81" s="624" t="str">
        <f>IF(OR(Q57=0,Batiment_Info!$C$41=""),"",T80/Batiment_Info!$C$41)</f>
        <v/>
      </c>
      <c r="Z81" s="644" t="s">
        <v>782</v>
      </c>
      <c r="AA81" s="655" t="e">
        <f>T81*(1-AD81)</f>
        <v>#VALUE!</v>
      </c>
      <c r="AB81" s="655" t="e">
        <f>T81*(1+AD81)</f>
        <v>#VALUE!</v>
      </c>
      <c r="AC81" s="5" t="s">
        <v>789</v>
      </c>
      <c r="AD81" s="654" t="e">
        <f>SQRT(AD80^2+(Batiment_Info!$E$41/100)^2)</f>
        <v>#VALUE!</v>
      </c>
    </row>
    <row r="82" spans="1:30" x14ac:dyDescent="0.2">
      <c r="N82" s="20"/>
      <c r="O82" s="20"/>
    </row>
    <row r="87" spans="1:30" ht="20.25" x14ac:dyDescent="0.3">
      <c r="A87" s="42" t="s">
        <v>267</v>
      </c>
      <c r="F87"/>
    </row>
    <row r="88" spans="1:30" x14ac:dyDescent="0.2">
      <c r="A88" s="18"/>
      <c r="B88" s="5"/>
      <c r="C88" s="2"/>
    </row>
    <row r="89" spans="1:30" x14ac:dyDescent="0.2">
      <c r="A89" s="146" t="s">
        <v>246</v>
      </c>
      <c r="B89" s="5"/>
      <c r="C89" s="2"/>
    </row>
    <row r="90" spans="1:30" x14ac:dyDescent="0.2">
      <c r="B90" s="5"/>
      <c r="C90" s="2"/>
    </row>
    <row r="91" spans="1:30" x14ac:dyDescent="0.2">
      <c r="A91" s="153" t="s">
        <v>249</v>
      </c>
      <c r="B91" s="154"/>
      <c r="C91" s="155"/>
      <c r="E91" s="153" t="s">
        <v>250</v>
      </c>
      <c r="F91" s="155"/>
    </row>
    <row r="92" spans="1:30" x14ac:dyDescent="0.2">
      <c r="A92" s="156" t="s">
        <v>241</v>
      </c>
      <c r="B92" s="20"/>
      <c r="C92" s="30">
        <f>Donnees_Test!L12</f>
        <v>1</v>
      </c>
      <c r="E92" s="156" t="s">
        <v>247</v>
      </c>
      <c r="F92" s="30">
        <f>VLOOKUP(E98,A100:B108,2)</f>
        <v>0</v>
      </c>
    </row>
    <row r="93" spans="1:30" x14ac:dyDescent="0.2">
      <c r="A93" s="156" t="s">
        <v>242</v>
      </c>
      <c r="B93" s="20"/>
      <c r="C93" s="157" t="str">
        <f>Donnees_Test!J11</f>
        <v>Choisir</v>
      </c>
      <c r="E93" s="158" t="s">
        <v>263</v>
      </c>
      <c r="F93" s="31"/>
    </row>
    <row r="94" spans="1:30" x14ac:dyDescent="0.2">
      <c r="A94" s="158" t="s">
        <v>254</v>
      </c>
      <c r="B94" s="14"/>
      <c r="C94" s="159">
        <f>Donnees_Test!H10</f>
        <v>0</v>
      </c>
    </row>
    <row r="95" spans="1:30" x14ac:dyDescent="0.2">
      <c r="A95" s="18" t="e">
        <f>IF(Donnees_Test!I34="","",Berechnung!$T$72*POWER((Donnees_Test!I34-Berechnung!$G$51),Berechnung!$T$71))</f>
        <v>#VALUE!</v>
      </c>
    </row>
    <row r="96" spans="1:30" x14ac:dyDescent="0.2">
      <c r="A96" s="108" t="s">
        <v>255</v>
      </c>
      <c r="B96" s="2"/>
      <c r="E96"/>
    </row>
    <row r="98" spans="1:9" x14ac:dyDescent="0.2">
      <c r="A98" s="27" t="s">
        <v>256</v>
      </c>
      <c r="B98" s="36"/>
      <c r="C98" s="33"/>
      <c r="D98" s="33"/>
      <c r="E98" s="155">
        <f>C94*2</f>
        <v>0</v>
      </c>
    </row>
    <row r="99" spans="1:9" ht="6.75" customHeight="1" x14ac:dyDescent="0.2">
      <c r="A99" s="4"/>
      <c r="B99" s="18"/>
      <c r="C99" s="20"/>
      <c r="D99" s="20"/>
      <c r="E99" s="37"/>
    </row>
    <row r="100" spans="1:9" x14ac:dyDescent="0.2">
      <c r="A100" s="167" t="s">
        <v>251</v>
      </c>
      <c r="B100" s="168" t="s">
        <v>252</v>
      </c>
      <c r="C100" s="20"/>
      <c r="D100" s="20"/>
      <c r="E100" s="30"/>
    </row>
    <row r="101" spans="1:9" ht="13.5" thickBot="1" x14ac:dyDescent="0.25">
      <c r="A101" s="169" t="s">
        <v>257</v>
      </c>
      <c r="B101" s="170" t="s">
        <v>247</v>
      </c>
      <c r="C101" s="20"/>
      <c r="D101" s="20"/>
      <c r="E101" s="30"/>
    </row>
    <row r="102" spans="1:9" x14ac:dyDescent="0.2">
      <c r="A102" s="179">
        <v>0</v>
      </c>
      <c r="B102" s="116">
        <v>0</v>
      </c>
      <c r="C102" s="20"/>
      <c r="D102" s="20"/>
      <c r="E102" s="30"/>
    </row>
    <row r="103" spans="1:9" x14ac:dyDescent="0.2">
      <c r="A103" s="179">
        <v>0.45</v>
      </c>
      <c r="B103" s="116">
        <v>1</v>
      </c>
      <c r="C103" s="20"/>
      <c r="D103" s="20"/>
      <c r="E103" s="30"/>
      <c r="G103"/>
      <c r="H103"/>
    </row>
    <row r="104" spans="1:9" x14ac:dyDescent="0.2">
      <c r="A104" s="179">
        <v>1.35</v>
      </c>
      <c r="B104" s="116">
        <v>2</v>
      </c>
      <c r="C104" s="20"/>
      <c r="D104" s="20"/>
      <c r="E104" s="30"/>
    </row>
    <row r="105" spans="1:9" x14ac:dyDescent="0.2">
      <c r="A105" s="179">
        <v>3.11</v>
      </c>
      <c r="B105" s="116">
        <v>3</v>
      </c>
      <c r="C105" s="20"/>
      <c r="D105" s="20"/>
      <c r="E105" s="30"/>
    </row>
    <row r="106" spans="1:9" x14ac:dyDescent="0.2">
      <c r="A106" s="179">
        <v>5.41</v>
      </c>
      <c r="B106" s="116">
        <v>4</v>
      </c>
      <c r="C106" s="20"/>
      <c r="D106" s="20"/>
      <c r="E106" s="30"/>
    </row>
    <row r="107" spans="1:9" x14ac:dyDescent="0.2">
      <c r="A107" s="179">
        <v>8.01</v>
      </c>
      <c r="B107" s="116">
        <v>5</v>
      </c>
      <c r="C107" s="20"/>
      <c r="D107" s="20"/>
      <c r="E107" s="30"/>
    </row>
    <row r="108" spans="1:9" x14ac:dyDescent="0.2">
      <c r="A108" s="180">
        <v>10.71</v>
      </c>
      <c r="B108" s="15" t="s">
        <v>253</v>
      </c>
      <c r="C108" s="14"/>
      <c r="D108" s="14"/>
      <c r="E108" s="31"/>
    </row>
    <row r="110" spans="1:9" x14ac:dyDescent="0.2">
      <c r="A110" s="146" t="s">
        <v>292</v>
      </c>
    </row>
    <row r="111" spans="1:9" x14ac:dyDescent="0.2">
      <c r="A111" s="18"/>
    </row>
    <row r="112" spans="1:9" x14ac:dyDescent="0.2">
      <c r="A112" s="126" t="s">
        <v>264</v>
      </c>
      <c r="B112" s="33"/>
      <c r="C112" s="33"/>
      <c r="D112" s="155"/>
      <c r="F112" s="126" t="s">
        <v>265</v>
      </c>
      <c r="G112" s="33"/>
      <c r="H112" s="33"/>
      <c r="I112" s="155"/>
    </row>
    <row r="113" spans="1:9" x14ac:dyDescent="0.2">
      <c r="A113" s="4"/>
      <c r="B113" s="20"/>
      <c r="C113" s="20"/>
      <c r="D113" s="37"/>
      <c r="F113" s="9"/>
      <c r="G113" s="18"/>
      <c r="H113" s="18"/>
      <c r="I113" s="30"/>
    </row>
    <row r="114" spans="1:9" x14ac:dyDescent="0.2">
      <c r="A114" s="160" t="s">
        <v>247</v>
      </c>
      <c r="B114" s="148" t="s">
        <v>266</v>
      </c>
      <c r="C114" s="149"/>
      <c r="D114" s="161"/>
      <c r="F114" s="160" t="s">
        <v>247</v>
      </c>
      <c r="G114" s="148" t="s">
        <v>266</v>
      </c>
      <c r="H114" s="147"/>
      <c r="I114" s="151"/>
    </row>
    <row r="115" spans="1:9" ht="13.5" thickBot="1" x14ac:dyDescent="0.25">
      <c r="A115" s="162" t="s">
        <v>248</v>
      </c>
      <c r="B115" s="150" t="s">
        <v>2</v>
      </c>
      <c r="C115" s="150" t="s">
        <v>3</v>
      </c>
      <c r="D115" s="152" t="s">
        <v>4</v>
      </c>
      <c r="F115" s="162" t="s">
        <v>248</v>
      </c>
      <c r="G115" s="150" t="s">
        <v>2</v>
      </c>
      <c r="H115" s="150" t="s">
        <v>3</v>
      </c>
      <c r="I115" s="152" t="s">
        <v>4</v>
      </c>
    </row>
    <row r="116" spans="1:9" x14ac:dyDescent="0.2">
      <c r="A116" s="13">
        <v>0</v>
      </c>
      <c r="B116" s="163">
        <v>0</v>
      </c>
      <c r="C116" s="163">
        <v>0</v>
      </c>
      <c r="D116" s="164">
        <v>0</v>
      </c>
      <c r="F116" s="13">
        <v>0</v>
      </c>
      <c r="G116" s="163">
        <v>0</v>
      </c>
      <c r="H116" s="163">
        <v>0</v>
      </c>
      <c r="I116" s="164">
        <v>0</v>
      </c>
    </row>
    <row r="117" spans="1:9" x14ac:dyDescent="0.2">
      <c r="A117" s="13">
        <v>1</v>
      </c>
      <c r="B117" s="163">
        <v>0</v>
      </c>
      <c r="C117" s="163">
        <v>0</v>
      </c>
      <c r="D117" s="164">
        <v>0</v>
      </c>
      <c r="F117" s="13">
        <v>1</v>
      </c>
      <c r="G117" s="163">
        <v>0</v>
      </c>
      <c r="H117" s="163">
        <v>0</v>
      </c>
      <c r="I117" s="164">
        <v>0</v>
      </c>
    </row>
    <row r="118" spans="1:9" x14ac:dyDescent="0.2">
      <c r="A118" s="13">
        <v>2</v>
      </c>
      <c r="B118" s="163">
        <v>1</v>
      </c>
      <c r="C118" s="163">
        <v>2</v>
      </c>
      <c r="D118" s="164">
        <v>3</v>
      </c>
      <c r="F118" s="13">
        <v>2</v>
      </c>
      <c r="G118" s="163">
        <v>0</v>
      </c>
      <c r="H118" s="163">
        <v>1</v>
      </c>
      <c r="I118" s="164">
        <v>2</v>
      </c>
    </row>
    <row r="119" spans="1:9" x14ac:dyDescent="0.2">
      <c r="A119" s="13">
        <v>3</v>
      </c>
      <c r="B119" s="163">
        <v>4</v>
      </c>
      <c r="C119" s="163">
        <v>9</v>
      </c>
      <c r="D119" s="164">
        <v>11</v>
      </c>
      <c r="F119" s="13">
        <v>3</v>
      </c>
      <c r="G119" s="163">
        <v>2</v>
      </c>
      <c r="H119" s="163">
        <v>5</v>
      </c>
      <c r="I119" s="164">
        <v>6</v>
      </c>
    </row>
    <row r="120" spans="1:9" x14ac:dyDescent="0.2">
      <c r="A120" s="13">
        <v>4</v>
      </c>
      <c r="B120" s="163">
        <v>8</v>
      </c>
      <c r="C120" s="163">
        <v>24</v>
      </c>
      <c r="D120" s="164">
        <v>27</v>
      </c>
      <c r="F120" s="13">
        <v>4</v>
      </c>
      <c r="G120" s="163">
        <v>5</v>
      </c>
      <c r="H120" s="163">
        <v>20</v>
      </c>
      <c r="I120" s="164">
        <v>23</v>
      </c>
    </row>
    <row r="121" spans="1:9" x14ac:dyDescent="0.2">
      <c r="A121" s="19">
        <v>5</v>
      </c>
      <c r="B121" s="165">
        <v>15</v>
      </c>
      <c r="C121" s="165">
        <v>40</v>
      </c>
      <c r="D121" s="166">
        <v>50</v>
      </c>
      <c r="F121" s="19">
        <v>5</v>
      </c>
      <c r="G121" s="165">
        <v>10</v>
      </c>
      <c r="H121" s="165">
        <v>35</v>
      </c>
      <c r="I121" s="166">
        <v>40</v>
      </c>
    </row>
    <row r="123" spans="1:9" ht="20.25" x14ac:dyDescent="0.3">
      <c r="A123" s="42" t="s">
        <v>783</v>
      </c>
    </row>
    <row r="124" spans="1:9" ht="13.5" thickBot="1" x14ac:dyDescent="0.25">
      <c r="A124" s="5" t="s">
        <v>284</v>
      </c>
    </row>
    <row r="125" spans="1:9" x14ac:dyDescent="0.2">
      <c r="A125" s="190">
        <v>4</v>
      </c>
      <c r="B125" s="646">
        <v>745.3</v>
      </c>
      <c r="C125" s="191">
        <v>0.48480000000000001</v>
      </c>
      <c r="D125" s="112" t="s">
        <v>784</v>
      </c>
      <c r="E125" s="112"/>
    </row>
    <row r="126" spans="1:9" x14ac:dyDescent="0.2">
      <c r="A126" s="171"/>
      <c r="B126" s="648">
        <v>273.2</v>
      </c>
      <c r="C126" s="173">
        <v>0.49519999999999997</v>
      </c>
      <c r="D126" s="112" t="s">
        <v>2</v>
      </c>
      <c r="E126" s="112"/>
    </row>
    <row r="127" spans="1:9" x14ac:dyDescent="0.2">
      <c r="A127" s="171"/>
      <c r="B127" s="90">
        <v>81.680000000000007</v>
      </c>
      <c r="C127" s="173">
        <v>0.49680000000000002</v>
      </c>
      <c r="D127" s="112" t="s">
        <v>3</v>
      </c>
      <c r="E127" s="112"/>
    </row>
    <row r="128" spans="1:9" x14ac:dyDescent="0.2">
      <c r="A128" s="171"/>
      <c r="B128" s="90">
        <v>19.3</v>
      </c>
      <c r="C128" s="173">
        <v>0.51570000000000005</v>
      </c>
      <c r="D128" s="112" t="s">
        <v>4</v>
      </c>
      <c r="E128" s="112"/>
    </row>
    <row r="129" spans="1:5" x14ac:dyDescent="0.2">
      <c r="A129" s="171"/>
      <c r="B129" s="90">
        <v>12.31</v>
      </c>
      <c r="C129" s="173">
        <v>0.50319999999999998</v>
      </c>
      <c r="D129" s="112" t="s">
        <v>6</v>
      </c>
      <c r="E129" s="112"/>
    </row>
    <row r="130" spans="1:5" ht="13.5" thickBot="1" x14ac:dyDescent="0.25">
      <c r="A130" s="145"/>
      <c r="B130" s="647">
        <v>4.76</v>
      </c>
      <c r="C130" s="172">
        <v>0.51659999999999995</v>
      </c>
      <c r="D130" s="112" t="s">
        <v>7</v>
      </c>
      <c r="E130" s="112"/>
    </row>
    <row r="131" spans="1:5" x14ac:dyDescent="0.2">
      <c r="A131" s="190">
        <v>3</v>
      </c>
      <c r="B131" s="646">
        <v>847.6</v>
      </c>
      <c r="C131" s="191">
        <v>0.49180000000000001</v>
      </c>
      <c r="D131" s="112" t="s">
        <v>784</v>
      </c>
      <c r="E131" s="18"/>
    </row>
    <row r="132" spans="1:5" x14ac:dyDescent="0.2">
      <c r="A132" s="171"/>
      <c r="B132" s="648">
        <v>322.89999999999998</v>
      </c>
      <c r="C132" s="173">
        <v>0.4889</v>
      </c>
      <c r="D132" s="112" t="s">
        <v>2</v>
      </c>
      <c r="E132" s="18"/>
    </row>
    <row r="133" spans="1:5" x14ac:dyDescent="0.2">
      <c r="A133" s="171"/>
      <c r="B133" s="648">
        <v>102.5</v>
      </c>
      <c r="C133" s="173">
        <v>0.49580000000000002</v>
      </c>
      <c r="D133" s="112" t="s">
        <v>3</v>
      </c>
      <c r="E133" s="18"/>
    </row>
    <row r="134" spans="1:5" x14ac:dyDescent="0.2">
      <c r="A134" s="171"/>
      <c r="B134" s="90">
        <v>34.770000000000003</v>
      </c>
      <c r="C134" s="173">
        <v>0.51780000000000004</v>
      </c>
      <c r="D134" s="112" t="s">
        <v>4</v>
      </c>
      <c r="E134" s="18"/>
    </row>
    <row r="135" spans="1:5" x14ac:dyDescent="0.2">
      <c r="A135" s="171"/>
      <c r="B135" s="90">
        <v>11.67</v>
      </c>
      <c r="C135" s="173">
        <v>0.50219999999999998</v>
      </c>
      <c r="D135" s="112" t="s">
        <v>6</v>
      </c>
      <c r="E135" s="18"/>
    </row>
    <row r="136" spans="1:5" ht="13.5" thickBot="1" x14ac:dyDescent="0.25">
      <c r="A136" s="145"/>
      <c r="B136" s="647">
        <v>4.7859999999999996</v>
      </c>
      <c r="C136" s="172">
        <v>0.51390000000000002</v>
      </c>
      <c r="D136" s="112" t="s">
        <v>7</v>
      </c>
      <c r="E136" s="18"/>
    </row>
    <row r="137" spans="1:5" x14ac:dyDescent="0.2">
      <c r="A137" s="192" t="s">
        <v>3</v>
      </c>
      <c r="B137" s="646">
        <v>184.6</v>
      </c>
      <c r="C137" s="191">
        <v>0.50319999999999998</v>
      </c>
      <c r="D137" s="112" t="s">
        <v>784</v>
      </c>
      <c r="E137" s="18"/>
    </row>
    <row r="138" spans="1:5" x14ac:dyDescent="0.2">
      <c r="A138" s="171"/>
      <c r="B138" s="90">
        <v>68.81</v>
      </c>
      <c r="C138" s="173">
        <v>0.50380000000000003</v>
      </c>
      <c r="D138" s="112">
        <v>1</v>
      </c>
      <c r="E138" s="18"/>
    </row>
    <row r="139" spans="1:5" x14ac:dyDescent="0.2">
      <c r="A139" s="171"/>
      <c r="B139" s="90">
        <v>25.94</v>
      </c>
      <c r="C139" s="173">
        <v>0.50639999999999996</v>
      </c>
      <c r="D139" s="112">
        <v>2</v>
      </c>
      <c r="E139" s="18"/>
    </row>
    <row r="140" spans="1:5" x14ac:dyDescent="0.2">
      <c r="A140" s="171"/>
      <c r="B140" s="649">
        <v>9.9220000000000006</v>
      </c>
      <c r="C140" s="295">
        <v>0.51400000000000001</v>
      </c>
      <c r="D140" s="112">
        <v>3</v>
      </c>
      <c r="E140" s="18"/>
    </row>
    <row r="141" spans="1:5" x14ac:dyDescent="0.2">
      <c r="A141" s="171"/>
      <c r="B141" s="20">
        <v>0</v>
      </c>
      <c r="C141" s="173">
        <v>0</v>
      </c>
      <c r="D141" s="112"/>
      <c r="E141" s="18"/>
    </row>
    <row r="142" spans="1:5" ht="13.5" thickBot="1" x14ac:dyDescent="0.25">
      <c r="A142" s="145"/>
      <c r="B142" s="43">
        <v>0</v>
      </c>
      <c r="C142" s="172">
        <v>0</v>
      </c>
      <c r="D142" s="112"/>
      <c r="E142" s="18"/>
    </row>
    <row r="149" spans="1:1" ht="20.25" x14ac:dyDescent="0.3">
      <c r="A149" s="42"/>
    </row>
  </sheetData>
  <phoneticPr fontId="41" type="noConversion"/>
  <printOptions headings="1" gridLines="1" gridLinesSet="0"/>
  <pageMargins left="0.78740157480314965" right="0.78740157480314965" top="0.98425196850393704" bottom="0.98425196850393704" header="0.51181102362204722" footer="0.51181102362204722"/>
  <pageSetup paperSize="9" scale="87" orientation="landscape" horizontalDpi="300" verticalDpi="300" r:id="rId1"/>
  <headerFooter alignWithMargins="0">
    <oddHeader>&amp;A</oddHeader>
    <oddFooter>Seite &amp;P</oddFooter>
  </headerFooter>
  <rowBreaks count="2" manualBreakCount="2">
    <brk id="35" max="65535" man="1"/>
    <brk id="36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11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28" baseType="lpstr">
      <vt:lpstr>Debut</vt:lpstr>
      <vt:lpstr>Batiment_Info</vt:lpstr>
      <vt:lpstr>Donnees_Test</vt:lpstr>
      <vt:lpstr>Baseline</vt:lpstr>
      <vt:lpstr>Commentaires</vt:lpstr>
      <vt:lpstr>Rapport</vt:lpstr>
      <vt:lpstr>Aide</vt:lpstr>
      <vt:lpstr>bld_file</vt:lpstr>
      <vt:lpstr>language</vt:lpstr>
      <vt:lpstr>DS</vt:lpstr>
      <vt:lpstr>Berechnung</vt:lpstr>
      <vt:lpstr>Graphe</vt:lpstr>
      <vt:lpstr>Ua</vt:lpstr>
      <vt:lpstr>Üa</vt:lpstr>
      <vt:lpstr>Ub</vt:lpstr>
      <vt:lpstr>Üb</vt:lpstr>
      <vt:lpstr>Uc</vt:lpstr>
      <vt:lpstr>Üc</vt:lpstr>
      <vt:lpstr>Ud</vt:lpstr>
      <vt:lpstr>Üd</vt:lpstr>
      <vt:lpstr>Üe</vt:lpstr>
      <vt:lpstr>Üg</vt:lpstr>
      <vt:lpstr>Baseline!Zone_d_impression</vt:lpstr>
      <vt:lpstr>Batiment_Info!Zone_d_impression</vt:lpstr>
      <vt:lpstr>Berechnung!Zone_d_impression</vt:lpstr>
      <vt:lpstr>bld_file!Zone_d_impression</vt:lpstr>
      <vt:lpstr>Donnees_Test!Zone_d_impression</vt:lpstr>
      <vt:lpstr>Rapport!Zone_d_impression</vt:lpstr>
    </vt:vector>
  </TitlesOfParts>
  <Company>BlowerDoor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BlowerDoor Test</dc:title>
  <dc:creator>user</dc:creator>
  <cp:lastModifiedBy>user</cp:lastModifiedBy>
  <cp:lastPrinted>2022-05-24T13:13:10Z</cp:lastPrinted>
  <dcterms:created xsi:type="dcterms:W3CDTF">2000-08-14T09:54:36Z</dcterms:created>
  <dcterms:modified xsi:type="dcterms:W3CDTF">2022-06-06T15:53:42Z</dcterms:modified>
</cp:coreProperties>
</file>