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16007753\Documents\documents utiles\"/>
    </mc:Choice>
  </mc:AlternateContent>
  <bookViews>
    <workbookView xWindow="0" yWindow="0" windowWidth="19200" windowHeight="6900"/>
  </bookViews>
  <sheets>
    <sheet name="pointage MAI 2022" sheetId="4" r:id="rId1"/>
    <sheet name="Pointages JUIN" sheetId="14" r:id="rId2"/>
    <sheet name="Template rev 0.6" sheetId="13" r:id="rId3"/>
    <sheet name="explication d'utilisation" sheetId="3" r:id="rId4"/>
  </sheets>
  <definedNames>
    <definedName name="Semaines" localSheetId="1">'Pointages JUIN'!$C$5:$C$50</definedName>
    <definedName name="Semaines" localSheetId="2">'Template rev 0.6'!$C$5:$C$50</definedName>
    <definedName name="Semaine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11" i="14" l="1"/>
  <c r="AE9" i="14"/>
  <c r="AE13" i="14"/>
  <c r="AE15" i="14"/>
  <c r="AE17" i="14"/>
  <c r="AE19" i="14"/>
  <c r="AE21" i="14"/>
  <c r="AE23" i="14"/>
  <c r="AE25" i="14"/>
  <c r="AE27" i="14"/>
  <c r="AE29" i="14"/>
  <c r="AE31" i="14"/>
  <c r="AE33" i="14"/>
  <c r="AE35" i="14"/>
  <c r="AE37" i="14"/>
  <c r="AE39" i="14"/>
  <c r="AE41" i="14"/>
  <c r="AE43" i="14"/>
  <c r="AE45" i="14"/>
  <c r="AE47" i="14"/>
  <c r="AE49" i="14"/>
  <c r="D45" i="14" l="1"/>
  <c r="D47" i="14"/>
  <c r="D49" i="14"/>
  <c r="D13" i="13"/>
  <c r="D15" i="13" s="1"/>
  <c r="D17" i="13" s="1"/>
  <c r="D19" i="13" s="1"/>
  <c r="D21" i="13" s="1"/>
  <c r="D23" i="13" s="1"/>
  <c r="D25" i="13" s="1"/>
  <c r="D27" i="13" s="1"/>
  <c r="D29" i="13" s="1"/>
  <c r="D31" i="13" s="1"/>
  <c r="D33" i="13" s="1"/>
  <c r="D35" i="13" s="1"/>
  <c r="D37" i="13" s="1"/>
  <c r="D39" i="13" s="1"/>
  <c r="D41" i="13" s="1"/>
  <c r="D43" i="13" s="1"/>
  <c r="D45" i="13" s="1"/>
  <c r="D47" i="13" s="1"/>
  <c r="D49" i="13" s="1"/>
  <c r="D51" i="13" s="1"/>
  <c r="D11" i="13"/>
  <c r="D9" i="13"/>
  <c r="D7" i="13"/>
  <c r="D5" i="13"/>
  <c r="AT2" i="14" l="1"/>
  <c r="AS2" i="14"/>
  <c r="AR2" i="14"/>
  <c r="AQ2" i="14"/>
  <c r="AN50" i="14"/>
  <c r="AN49" i="14"/>
  <c r="AD49" i="14"/>
  <c r="AC49" i="14"/>
  <c r="AB49" i="14"/>
  <c r="X49" i="14"/>
  <c r="AA49" i="14" s="1"/>
  <c r="V49" i="14"/>
  <c r="P49" i="14"/>
  <c r="S49" i="14" s="1"/>
  <c r="W49" i="14" s="1"/>
  <c r="AF49" i="14" s="1"/>
  <c r="AG50" i="14" s="1"/>
  <c r="O49" i="14"/>
  <c r="N49" i="14"/>
  <c r="E49" i="14"/>
  <c r="AN48" i="14"/>
  <c r="AN47" i="14"/>
  <c r="AD47" i="14"/>
  <c r="AC47" i="14"/>
  <c r="AB47" i="14"/>
  <c r="Y47" i="14"/>
  <c r="X47" i="14"/>
  <c r="AA47" i="14" s="1"/>
  <c r="V47" i="14"/>
  <c r="P47" i="14"/>
  <c r="S47" i="14" s="1"/>
  <c r="W47" i="14" s="1"/>
  <c r="AF47" i="14" s="1"/>
  <c r="AG48" i="14" s="1"/>
  <c r="O47" i="14"/>
  <c r="N47" i="14"/>
  <c r="E47" i="14"/>
  <c r="AN46" i="14"/>
  <c r="AN45" i="14"/>
  <c r="AD45" i="14"/>
  <c r="AC45" i="14"/>
  <c r="AB45" i="14"/>
  <c r="Z45" i="14"/>
  <c r="Y45" i="14"/>
  <c r="X45" i="14"/>
  <c r="AA45" i="14" s="1"/>
  <c r="V45" i="14"/>
  <c r="R45" i="14"/>
  <c r="Q45" i="14" s="1"/>
  <c r="P45" i="14"/>
  <c r="S45" i="14" s="1"/>
  <c r="O45" i="14"/>
  <c r="N45" i="14"/>
  <c r="E45" i="14"/>
  <c r="AN44" i="14"/>
  <c r="AN43" i="14"/>
  <c r="AD43" i="14"/>
  <c r="AC43" i="14"/>
  <c r="AB43" i="14"/>
  <c r="AA43" i="14"/>
  <c r="Z43" i="14"/>
  <c r="Y43" i="14"/>
  <c r="X43" i="14"/>
  <c r="V43" i="14"/>
  <c r="R43" i="14"/>
  <c r="Q43" i="14"/>
  <c r="O43" i="14"/>
  <c r="P43" i="14" s="1"/>
  <c r="S43" i="14" s="1"/>
  <c r="W43" i="14" s="1"/>
  <c r="AF43" i="14" s="1"/>
  <c r="AG44" i="14" s="1"/>
  <c r="N43" i="14"/>
  <c r="E43" i="14"/>
  <c r="AN42" i="14"/>
  <c r="AN41" i="14"/>
  <c r="AD41" i="14"/>
  <c r="AC41" i="14"/>
  <c r="AB41" i="14"/>
  <c r="AA41" i="14"/>
  <c r="Z41" i="14"/>
  <c r="Y41" i="14"/>
  <c r="X41" i="14"/>
  <c r="V41" i="14"/>
  <c r="R41" i="14"/>
  <c r="Q41" i="14"/>
  <c r="O41" i="14"/>
  <c r="P41" i="14" s="1"/>
  <c r="S41" i="14" s="1"/>
  <c r="W41" i="14" s="1"/>
  <c r="AF41" i="14" s="1"/>
  <c r="AG42" i="14" s="1"/>
  <c r="N41" i="14"/>
  <c r="E41" i="14"/>
  <c r="AN40" i="14"/>
  <c r="AN39" i="14"/>
  <c r="AD39" i="14"/>
  <c r="AC39" i="14"/>
  <c r="AB39" i="14"/>
  <c r="AA39" i="14"/>
  <c r="Z39" i="14"/>
  <c r="Y39" i="14"/>
  <c r="X39" i="14"/>
  <c r="V39" i="14"/>
  <c r="R39" i="14"/>
  <c r="Q39" i="14"/>
  <c r="O39" i="14"/>
  <c r="P39" i="14" s="1"/>
  <c r="S39" i="14" s="1"/>
  <c r="W39" i="14" s="1"/>
  <c r="AF39" i="14" s="1"/>
  <c r="AG40" i="14" s="1"/>
  <c r="N39" i="14"/>
  <c r="E39" i="14"/>
  <c r="AN38" i="14"/>
  <c r="AN37" i="14"/>
  <c r="AD37" i="14"/>
  <c r="AC37" i="14"/>
  <c r="AB37" i="14"/>
  <c r="AA37" i="14"/>
  <c r="Z37" i="14"/>
  <c r="Y37" i="14"/>
  <c r="X37" i="14"/>
  <c r="V37" i="14"/>
  <c r="R37" i="14"/>
  <c r="Q37" i="14"/>
  <c r="O37" i="14"/>
  <c r="P37" i="14" s="1"/>
  <c r="S37" i="14" s="1"/>
  <c r="W37" i="14" s="1"/>
  <c r="AF37" i="14" s="1"/>
  <c r="AG38" i="14" s="1"/>
  <c r="N37" i="14"/>
  <c r="E37" i="14"/>
  <c r="AN36" i="14"/>
  <c r="AN35" i="14"/>
  <c r="AD35" i="14"/>
  <c r="AC35" i="14"/>
  <c r="AB35" i="14"/>
  <c r="AA35" i="14"/>
  <c r="Z35" i="14"/>
  <c r="Y35" i="14"/>
  <c r="X35" i="14"/>
  <c r="V35" i="14"/>
  <c r="R35" i="14"/>
  <c r="Q35" i="14"/>
  <c r="O35" i="14"/>
  <c r="P35" i="14" s="1"/>
  <c r="S35" i="14" s="1"/>
  <c r="W35" i="14" s="1"/>
  <c r="AF35" i="14" s="1"/>
  <c r="AG36" i="14" s="1"/>
  <c r="N35" i="14"/>
  <c r="E35" i="14"/>
  <c r="AN34" i="14"/>
  <c r="AN33" i="14"/>
  <c r="AD33" i="14"/>
  <c r="AC33" i="14"/>
  <c r="AB33" i="14"/>
  <c r="AA33" i="14"/>
  <c r="Z33" i="14"/>
  <c r="Y33" i="14"/>
  <c r="X33" i="14"/>
  <c r="V33" i="14"/>
  <c r="R33" i="14"/>
  <c r="Q33" i="14"/>
  <c r="O33" i="14"/>
  <c r="P33" i="14" s="1"/>
  <c r="S33" i="14" s="1"/>
  <c r="W33" i="14" s="1"/>
  <c r="AF33" i="14" s="1"/>
  <c r="AG34" i="14" s="1"/>
  <c r="N33" i="14"/>
  <c r="E33" i="14"/>
  <c r="AN32" i="14"/>
  <c r="AN31" i="14"/>
  <c r="AD31" i="14"/>
  <c r="AC31" i="14"/>
  <c r="AB31" i="14"/>
  <c r="AA31" i="14"/>
  <c r="Z31" i="14"/>
  <c r="Y31" i="14"/>
  <c r="X31" i="14"/>
  <c r="V31" i="14"/>
  <c r="R31" i="14"/>
  <c r="Q31" i="14"/>
  <c r="O31" i="14"/>
  <c r="P31" i="14" s="1"/>
  <c r="S31" i="14" s="1"/>
  <c r="W31" i="14" s="1"/>
  <c r="AF31" i="14" s="1"/>
  <c r="AG32" i="14" s="1"/>
  <c r="N31" i="14"/>
  <c r="E31" i="14"/>
  <c r="AN30" i="14"/>
  <c r="AN29" i="14"/>
  <c r="AD29" i="14"/>
  <c r="AC29" i="14"/>
  <c r="AB29" i="14"/>
  <c r="AA29" i="14"/>
  <c r="Z29" i="14"/>
  <c r="Y29" i="14"/>
  <c r="X29" i="14"/>
  <c r="V29" i="14"/>
  <c r="R29" i="14"/>
  <c r="Q29" i="14"/>
  <c r="O29" i="14"/>
  <c r="P29" i="14" s="1"/>
  <c r="S29" i="14" s="1"/>
  <c r="W29" i="14" s="1"/>
  <c r="AF29" i="14" s="1"/>
  <c r="AG30" i="14" s="1"/>
  <c r="N29" i="14"/>
  <c r="E29" i="14"/>
  <c r="AN28" i="14"/>
  <c r="AN27" i="14"/>
  <c r="AD27" i="14"/>
  <c r="AC27" i="14"/>
  <c r="AB27" i="14"/>
  <c r="AA27" i="14"/>
  <c r="Z27" i="14"/>
  <c r="Y27" i="14"/>
  <c r="X27" i="14"/>
  <c r="V27" i="14"/>
  <c r="R27" i="14"/>
  <c r="Q27" i="14"/>
  <c r="O27" i="14"/>
  <c r="P27" i="14" s="1"/>
  <c r="S27" i="14" s="1"/>
  <c r="W27" i="14" s="1"/>
  <c r="AF27" i="14" s="1"/>
  <c r="AG28" i="14" s="1"/>
  <c r="N27" i="14"/>
  <c r="E27" i="14"/>
  <c r="AN26" i="14"/>
  <c r="AH26" i="14"/>
  <c r="AN25" i="14"/>
  <c r="AD25" i="14"/>
  <c r="AC25" i="14"/>
  <c r="AB25" i="14"/>
  <c r="AA25" i="14"/>
  <c r="Z25" i="14"/>
  <c r="Y25" i="14"/>
  <c r="X25" i="14"/>
  <c r="V25" i="14"/>
  <c r="R25" i="14"/>
  <c r="Q25" i="14"/>
  <c r="O25" i="14"/>
  <c r="P25" i="14" s="1"/>
  <c r="S25" i="14" s="1"/>
  <c r="W25" i="14" s="1"/>
  <c r="AF25" i="14" s="1"/>
  <c r="AG26" i="14" s="1"/>
  <c r="N25" i="14"/>
  <c r="E25" i="14"/>
  <c r="AN24" i="14"/>
  <c r="AN23" i="14"/>
  <c r="AD23" i="14"/>
  <c r="AC23" i="14"/>
  <c r="AB23" i="14"/>
  <c r="AA23" i="14"/>
  <c r="Z23" i="14"/>
  <c r="Y23" i="14"/>
  <c r="X23" i="14"/>
  <c r="V23" i="14"/>
  <c r="R23" i="14"/>
  <c r="Q23" i="14"/>
  <c r="O23" i="14"/>
  <c r="P23" i="14" s="1"/>
  <c r="S23" i="14" s="1"/>
  <c r="N23" i="14"/>
  <c r="E23" i="14"/>
  <c r="AN22" i="14"/>
  <c r="AN21" i="14"/>
  <c r="AD21" i="14"/>
  <c r="AC21" i="14"/>
  <c r="AB21" i="14"/>
  <c r="AA21" i="14"/>
  <c r="Z21" i="14"/>
  <c r="Y21" i="14"/>
  <c r="X21" i="14"/>
  <c r="V21" i="14"/>
  <c r="R21" i="14"/>
  <c r="Q21" i="14"/>
  <c r="O21" i="14"/>
  <c r="P21" i="14" s="1"/>
  <c r="S21" i="14" s="1"/>
  <c r="N21" i="14"/>
  <c r="E21" i="14"/>
  <c r="AN20" i="14"/>
  <c r="AN19" i="14"/>
  <c r="AD19" i="14"/>
  <c r="AC19" i="14"/>
  <c r="AB19" i="14"/>
  <c r="AA19" i="14"/>
  <c r="Z19" i="14"/>
  <c r="Y19" i="14"/>
  <c r="X19" i="14"/>
  <c r="V19" i="14"/>
  <c r="R19" i="14"/>
  <c r="Q19" i="14"/>
  <c r="O19" i="14"/>
  <c r="P19" i="14" s="1"/>
  <c r="S19" i="14" s="1"/>
  <c r="W19" i="14" s="1"/>
  <c r="AF19" i="14" s="1"/>
  <c r="AG20" i="14" s="1"/>
  <c r="N19" i="14"/>
  <c r="E19" i="14"/>
  <c r="AN18" i="14"/>
  <c r="AH18" i="14"/>
  <c r="AN17" i="14"/>
  <c r="AD17" i="14"/>
  <c r="AC17" i="14"/>
  <c r="AB17" i="14"/>
  <c r="AA17" i="14"/>
  <c r="Z17" i="14"/>
  <c r="Y17" i="14"/>
  <c r="X17" i="14"/>
  <c r="V17" i="14"/>
  <c r="R17" i="14"/>
  <c r="Q17" i="14"/>
  <c r="O17" i="14"/>
  <c r="P17" i="14" s="1"/>
  <c r="S17" i="14" s="1"/>
  <c r="W17" i="14" s="1"/>
  <c r="AF17" i="14" s="1"/>
  <c r="AG18" i="14" s="1"/>
  <c r="N17" i="14"/>
  <c r="E17" i="14"/>
  <c r="AN16" i="14"/>
  <c r="AH16" i="14"/>
  <c r="AN15" i="14"/>
  <c r="AD15" i="14"/>
  <c r="AC15" i="14"/>
  <c r="AB15" i="14"/>
  <c r="AA15" i="14"/>
  <c r="Z15" i="14"/>
  <c r="Y15" i="14"/>
  <c r="X15" i="14"/>
  <c r="V15" i="14"/>
  <c r="R15" i="14"/>
  <c r="Q15" i="14"/>
  <c r="O15" i="14"/>
  <c r="P15" i="14" s="1"/>
  <c r="S15" i="14" s="1"/>
  <c r="W15" i="14" s="1"/>
  <c r="AF15" i="14" s="1"/>
  <c r="AG16" i="14" s="1"/>
  <c r="N15" i="14"/>
  <c r="E15" i="14"/>
  <c r="AN14" i="14"/>
  <c r="AN13" i="14"/>
  <c r="AD13" i="14"/>
  <c r="AC13" i="14"/>
  <c r="AB13" i="14"/>
  <c r="AA13" i="14"/>
  <c r="Z13" i="14"/>
  <c r="Y13" i="14"/>
  <c r="X13" i="14"/>
  <c r="V13" i="14"/>
  <c r="R13" i="14"/>
  <c r="Q13" i="14"/>
  <c r="O13" i="14"/>
  <c r="P13" i="14" s="1"/>
  <c r="S13" i="14" s="1"/>
  <c r="N13" i="14"/>
  <c r="E13" i="14"/>
  <c r="AN12" i="14"/>
  <c r="AU11" i="14"/>
  <c r="AN11" i="14"/>
  <c r="AD11" i="14"/>
  <c r="AC11" i="14"/>
  <c r="AB11" i="14"/>
  <c r="X11" i="14"/>
  <c r="Y11" i="14" s="1"/>
  <c r="W11" i="14"/>
  <c r="AF11" i="14" s="1"/>
  <c r="AG12" i="14" s="1"/>
  <c r="V11" i="14"/>
  <c r="S11" i="14"/>
  <c r="R11" i="14"/>
  <c r="P11" i="14"/>
  <c r="O11" i="14"/>
  <c r="N11" i="14"/>
  <c r="E11" i="14"/>
  <c r="AD9" i="14"/>
  <c r="AC9" i="14"/>
  <c r="AB9" i="14"/>
  <c r="Z9" i="14"/>
  <c r="Y9" i="14"/>
  <c r="X9" i="14"/>
  <c r="AA9" i="14" s="1"/>
  <c r="V9" i="14"/>
  <c r="O9" i="14"/>
  <c r="P9" i="14" s="1"/>
  <c r="N9" i="14"/>
  <c r="E9" i="14"/>
  <c r="AD7" i="14"/>
  <c r="AC7" i="14"/>
  <c r="AB7" i="14"/>
  <c r="X7" i="14"/>
  <c r="Z7" i="14" s="1"/>
  <c r="V7" i="14"/>
  <c r="O7" i="14"/>
  <c r="P7" i="14" s="1"/>
  <c r="S7" i="14" s="1"/>
  <c r="N7" i="14"/>
  <c r="E7" i="14"/>
  <c r="V5" i="14"/>
  <c r="O5" i="14"/>
  <c r="P5" i="14" s="1"/>
  <c r="R5" i="14" s="1"/>
  <c r="N5" i="14"/>
  <c r="E5" i="14"/>
  <c r="B5" i="14"/>
  <c r="R7" i="14" l="1"/>
  <c r="W7" i="14"/>
  <c r="AF7" i="14" s="1"/>
  <c r="AG8" i="14" s="1"/>
  <c r="AI8" i="14" s="1"/>
  <c r="AJ8" i="14" s="1"/>
  <c r="Y7" i="14"/>
  <c r="D25" i="14"/>
  <c r="D33" i="14"/>
  <c r="D41" i="14"/>
  <c r="D21" i="14"/>
  <c r="D9" i="14"/>
  <c r="D19" i="14"/>
  <c r="D27" i="14"/>
  <c r="D35" i="14"/>
  <c r="D43" i="14"/>
  <c r="D15" i="14"/>
  <c r="D23" i="14"/>
  <c r="D7" i="14"/>
  <c r="D39" i="14"/>
  <c r="D29" i="14"/>
  <c r="D37" i="14"/>
  <c r="D17" i="14"/>
  <c r="D13" i="14"/>
  <c r="D5" i="14"/>
  <c r="D31" i="14"/>
  <c r="D11" i="14"/>
  <c r="S5" i="14"/>
  <c r="W5" i="14" s="1"/>
  <c r="AF5" i="14" s="1"/>
  <c r="AG6" i="14" s="1"/>
  <c r="AI12" i="14"/>
  <c r="AJ12" i="14" s="1"/>
  <c r="AK12" i="14"/>
  <c r="AL12" i="14" s="1"/>
  <c r="AH12" i="14"/>
  <c r="Q7" i="14"/>
  <c r="T7" i="14"/>
  <c r="U7" i="14" s="1"/>
  <c r="AK8" i="14"/>
  <c r="AL8" i="14" s="1"/>
  <c r="AI18" i="14"/>
  <c r="AJ18" i="14" s="1"/>
  <c r="AK18" i="14"/>
  <c r="AL18" i="14" s="1"/>
  <c r="AI26" i="14"/>
  <c r="AJ26" i="14" s="1"/>
  <c r="AK26" i="14"/>
  <c r="AL26" i="14" s="1"/>
  <c r="AI30" i="14"/>
  <c r="AJ30" i="14" s="1"/>
  <c r="AK30" i="14"/>
  <c r="AL30" i="14" s="1"/>
  <c r="AH30" i="14"/>
  <c r="AI34" i="14"/>
  <c r="AJ34" i="14" s="1"/>
  <c r="AK34" i="14"/>
  <c r="AL34" i="14" s="1"/>
  <c r="AH34" i="14"/>
  <c r="AI38" i="14"/>
  <c r="AJ38" i="14" s="1"/>
  <c r="AK38" i="14"/>
  <c r="AL38" i="14" s="1"/>
  <c r="AH38" i="14"/>
  <c r="AI42" i="14"/>
  <c r="AJ42" i="14" s="1"/>
  <c r="AK42" i="14"/>
  <c r="AL42" i="14" s="1"/>
  <c r="AH42" i="14"/>
  <c r="AI44" i="14"/>
  <c r="AJ44" i="14" s="1"/>
  <c r="AK44" i="14"/>
  <c r="AL44" i="14" s="1"/>
  <c r="AH44" i="14"/>
  <c r="AI20" i="14"/>
  <c r="AJ20" i="14" s="1"/>
  <c r="AK20" i="14"/>
  <c r="AL20" i="14" s="1"/>
  <c r="AI28" i="14"/>
  <c r="AJ28" i="14" s="1"/>
  <c r="AK28" i="14"/>
  <c r="AL28" i="14" s="1"/>
  <c r="AH28" i="14"/>
  <c r="AI32" i="14"/>
  <c r="AJ32" i="14" s="1"/>
  <c r="AK32" i="14"/>
  <c r="AL32" i="14" s="1"/>
  <c r="AH32" i="14"/>
  <c r="AI36" i="14"/>
  <c r="AJ36" i="14" s="1"/>
  <c r="AK36" i="14"/>
  <c r="AL36" i="14" s="1"/>
  <c r="AH36" i="14"/>
  <c r="AI40" i="14"/>
  <c r="AJ40" i="14" s="1"/>
  <c r="AK40" i="14"/>
  <c r="AL40" i="14" s="1"/>
  <c r="AH40" i="14"/>
  <c r="T5" i="14"/>
  <c r="U5" i="14" s="1"/>
  <c r="X5" i="14" s="1"/>
  <c r="Z5" i="14" s="1"/>
  <c r="Q5" i="14"/>
  <c r="Q11" i="14"/>
  <c r="T11" i="14"/>
  <c r="U11" i="14" s="1"/>
  <c r="W13" i="14"/>
  <c r="AF13" i="14" s="1"/>
  <c r="AG14" i="14" s="1"/>
  <c r="AH20" i="14"/>
  <c r="W21" i="14"/>
  <c r="AF21" i="14" s="1"/>
  <c r="AG22" i="14" s="1"/>
  <c r="S9" i="14"/>
  <c r="W9" i="14" s="1"/>
  <c r="AF9" i="14" s="1"/>
  <c r="AG10" i="14" s="1"/>
  <c r="R9" i="14"/>
  <c r="AI16" i="14"/>
  <c r="AJ16" i="14" s="1"/>
  <c r="AK16" i="14"/>
  <c r="AL16" i="14" s="1"/>
  <c r="W23" i="14"/>
  <c r="AF23" i="14" s="1"/>
  <c r="AG24" i="14" s="1"/>
  <c r="T27" i="14"/>
  <c r="U27" i="14" s="1"/>
  <c r="T31" i="14"/>
  <c r="U31" i="14" s="1"/>
  <c r="T13" i="14"/>
  <c r="U13" i="14" s="1"/>
  <c r="T17" i="14"/>
  <c r="U17" i="14" s="1"/>
  <c r="T19" i="14"/>
  <c r="U19" i="14" s="1"/>
  <c r="T23" i="14"/>
  <c r="U23" i="14" s="1"/>
  <c r="T29" i="14"/>
  <c r="U29" i="14" s="1"/>
  <c r="T33" i="14"/>
  <c r="U33" i="14" s="1"/>
  <c r="T37" i="14"/>
  <c r="U37" i="14" s="1"/>
  <c r="T39" i="14"/>
  <c r="U39" i="14" s="1"/>
  <c r="T41" i="14"/>
  <c r="U41" i="14" s="1"/>
  <c r="T43" i="14"/>
  <c r="U43" i="14" s="1"/>
  <c r="W45" i="14"/>
  <c r="AF45" i="14" s="1"/>
  <c r="AG46" i="14" s="1"/>
  <c r="Z11" i="14"/>
  <c r="AI48" i="14"/>
  <c r="AJ48" i="14" s="1"/>
  <c r="AH48" i="14"/>
  <c r="AK48" i="14"/>
  <c r="AL48" i="14" s="1"/>
  <c r="T15" i="14"/>
  <c r="U15" i="14" s="1"/>
  <c r="T21" i="14"/>
  <c r="U21" i="14" s="1"/>
  <c r="T25" i="14"/>
  <c r="U25" i="14" s="1"/>
  <c r="T35" i="14"/>
  <c r="U35" i="14" s="1"/>
  <c r="AA11" i="14"/>
  <c r="T45" i="14"/>
  <c r="U45" i="14" s="1"/>
  <c r="AI50" i="14"/>
  <c r="AJ50" i="14" s="1"/>
  <c r="AH50" i="14"/>
  <c r="AK50" i="14"/>
  <c r="AL50" i="14" s="1"/>
  <c r="R47" i="14"/>
  <c r="Z47" i="14"/>
  <c r="Y49" i="14"/>
  <c r="R49" i="14"/>
  <c r="Z49" i="14"/>
  <c r="AG6" i="13"/>
  <c r="AH6" i="13" s="1"/>
  <c r="AE9" i="13"/>
  <c r="AE11" i="13"/>
  <c r="AE13" i="13"/>
  <c r="AE15" i="13"/>
  <c r="AE17" i="13"/>
  <c r="AE19" i="13"/>
  <c r="AE21" i="13"/>
  <c r="AE23" i="13"/>
  <c r="AE25" i="13"/>
  <c r="AE27" i="13"/>
  <c r="AE29" i="13"/>
  <c r="AE31" i="13"/>
  <c r="AE33" i="13"/>
  <c r="AE35" i="13"/>
  <c r="AE37" i="13"/>
  <c r="AE39" i="13"/>
  <c r="AE41" i="13"/>
  <c r="AE43" i="13"/>
  <c r="AE45" i="13"/>
  <c r="AE47" i="13"/>
  <c r="AE49" i="13"/>
  <c r="AE7" i="13"/>
  <c r="AE5" i="13"/>
  <c r="AA13" i="13"/>
  <c r="AA11" i="13"/>
  <c r="AA9" i="13"/>
  <c r="AA15" i="13"/>
  <c r="AA17" i="13"/>
  <c r="AA19" i="13"/>
  <c r="AA21" i="13"/>
  <c r="AA23" i="13"/>
  <c r="AA25" i="13"/>
  <c r="AA27" i="13"/>
  <c r="AA29" i="13"/>
  <c r="AA31" i="13"/>
  <c r="AA33" i="13"/>
  <c r="AA35" i="13"/>
  <c r="AA37" i="13"/>
  <c r="AA39" i="13"/>
  <c r="AA41" i="13"/>
  <c r="AA43" i="13"/>
  <c r="AA45" i="13"/>
  <c r="AA47" i="13"/>
  <c r="AA49" i="13"/>
  <c r="AN50" i="13"/>
  <c r="AN49" i="13"/>
  <c r="AD49" i="13"/>
  <c r="AC49" i="13"/>
  <c r="AB49" i="13"/>
  <c r="X49" i="13"/>
  <c r="Z49" i="13" s="1"/>
  <c r="V49" i="13"/>
  <c r="S49" i="13"/>
  <c r="W49" i="13" s="1"/>
  <c r="AF49" i="13" s="1"/>
  <c r="AG50" i="13" s="1"/>
  <c r="O49" i="13"/>
  <c r="P49" i="13" s="1"/>
  <c r="R49" i="13" s="1"/>
  <c r="N49" i="13"/>
  <c r="E49" i="13"/>
  <c r="AN48" i="13"/>
  <c r="AN47" i="13"/>
  <c r="AD47" i="13"/>
  <c r="AC47" i="13"/>
  <c r="AB47" i="13"/>
  <c r="Y47" i="13"/>
  <c r="X47" i="13"/>
  <c r="Z47" i="13" s="1"/>
  <c r="V47" i="13"/>
  <c r="S47" i="13"/>
  <c r="W47" i="13" s="1"/>
  <c r="AF47" i="13" s="1"/>
  <c r="AG48" i="13" s="1"/>
  <c r="O47" i="13"/>
  <c r="P47" i="13" s="1"/>
  <c r="R47" i="13" s="1"/>
  <c r="N47" i="13"/>
  <c r="E47" i="13"/>
  <c r="AN46" i="13"/>
  <c r="AN45" i="13"/>
  <c r="AD45" i="13"/>
  <c r="AC45" i="13"/>
  <c r="AB45" i="13"/>
  <c r="Y45" i="13"/>
  <c r="X45" i="13"/>
  <c r="Z45" i="13" s="1"/>
  <c r="V45" i="13"/>
  <c r="S45" i="13"/>
  <c r="W45" i="13" s="1"/>
  <c r="AF45" i="13" s="1"/>
  <c r="AG46" i="13" s="1"/>
  <c r="O45" i="13"/>
  <c r="P45" i="13" s="1"/>
  <c r="R45" i="13" s="1"/>
  <c r="N45" i="13"/>
  <c r="E45" i="13"/>
  <c r="AN44" i="13"/>
  <c r="AN43" i="13"/>
  <c r="AD43" i="13"/>
  <c r="AC43" i="13"/>
  <c r="AB43" i="13"/>
  <c r="Y43" i="13"/>
  <c r="X43" i="13"/>
  <c r="Z43" i="13" s="1"/>
  <c r="V43" i="13"/>
  <c r="S43" i="13"/>
  <c r="W43" i="13" s="1"/>
  <c r="AF43" i="13" s="1"/>
  <c r="AG44" i="13" s="1"/>
  <c r="O43" i="13"/>
  <c r="P43" i="13" s="1"/>
  <c r="R43" i="13" s="1"/>
  <c r="N43" i="13"/>
  <c r="E43" i="13"/>
  <c r="AN42" i="13"/>
  <c r="AN41" i="13"/>
  <c r="AD41" i="13"/>
  <c r="AC41" i="13"/>
  <c r="AB41" i="13"/>
  <c r="Z41" i="13"/>
  <c r="X41" i="13"/>
  <c r="Y41" i="13" s="1"/>
  <c r="V41" i="13"/>
  <c r="R41" i="13"/>
  <c r="P41" i="13"/>
  <c r="S41" i="13" s="1"/>
  <c r="O41" i="13"/>
  <c r="N41" i="13"/>
  <c r="E41" i="13"/>
  <c r="AN40" i="13"/>
  <c r="AN39" i="13"/>
  <c r="AD39" i="13"/>
  <c r="AC39" i="13"/>
  <c r="AB39" i="13"/>
  <c r="Z39" i="13"/>
  <c r="Y39" i="13"/>
  <c r="X39" i="13"/>
  <c r="V39" i="13"/>
  <c r="O39" i="13"/>
  <c r="P39" i="13" s="1"/>
  <c r="N39" i="13"/>
  <c r="E39" i="13"/>
  <c r="AN38" i="13"/>
  <c r="AN37" i="13"/>
  <c r="AD37" i="13"/>
  <c r="AC37" i="13"/>
  <c r="AB37" i="13"/>
  <c r="X37" i="13"/>
  <c r="V37" i="13"/>
  <c r="P37" i="13"/>
  <c r="O37" i="13"/>
  <c r="N37" i="13"/>
  <c r="E37" i="13"/>
  <c r="AN36" i="13"/>
  <c r="AN35" i="13"/>
  <c r="AD35" i="13"/>
  <c r="AC35" i="13"/>
  <c r="AB35" i="13"/>
  <c r="X35" i="13"/>
  <c r="Z35" i="13" s="1"/>
  <c r="V35" i="13"/>
  <c r="S35" i="13"/>
  <c r="W35" i="13" s="1"/>
  <c r="AF35" i="13" s="1"/>
  <c r="AG36" i="13" s="1"/>
  <c r="O35" i="13"/>
  <c r="P35" i="13" s="1"/>
  <c r="R35" i="13" s="1"/>
  <c r="N35" i="13"/>
  <c r="E35" i="13"/>
  <c r="AN34" i="13"/>
  <c r="AN33" i="13"/>
  <c r="AD33" i="13"/>
  <c r="AC33" i="13"/>
  <c r="AB33" i="13"/>
  <c r="Z33" i="13"/>
  <c r="X33" i="13"/>
  <c r="Y33" i="13" s="1"/>
  <c r="V33" i="13"/>
  <c r="O33" i="13"/>
  <c r="P33" i="13" s="1"/>
  <c r="S33" i="13" s="1"/>
  <c r="W33" i="13" s="1"/>
  <c r="AF33" i="13" s="1"/>
  <c r="AG34" i="13" s="1"/>
  <c r="N33" i="13"/>
  <c r="E33" i="13"/>
  <c r="AN32" i="13"/>
  <c r="AN31" i="13"/>
  <c r="AD31" i="13"/>
  <c r="AC31" i="13"/>
  <c r="AB31" i="13"/>
  <c r="Z31" i="13"/>
  <c r="Y31" i="13"/>
  <c r="X31" i="13"/>
  <c r="V31" i="13"/>
  <c r="O31" i="13"/>
  <c r="P31" i="13" s="1"/>
  <c r="N31" i="13"/>
  <c r="E31" i="13"/>
  <c r="AN30" i="13"/>
  <c r="AN29" i="13"/>
  <c r="AD29" i="13"/>
  <c r="AC29" i="13"/>
  <c r="AB29" i="13"/>
  <c r="X29" i="13"/>
  <c r="V29" i="13"/>
  <c r="P29" i="13"/>
  <c r="O29" i="13"/>
  <c r="N29" i="13"/>
  <c r="E29" i="13"/>
  <c r="AN28" i="13"/>
  <c r="AN27" i="13"/>
  <c r="AD27" i="13"/>
  <c r="AC27" i="13"/>
  <c r="AB27" i="13"/>
  <c r="X27" i="13"/>
  <c r="Z27" i="13" s="1"/>
  <c r="V27" i="13"/>
  <c r="S27" i="13"/>
  <c r="W27" i="13" s="1"/>
  <c r="AF27" i="13" s="1"/>
  <c r="AG28" i="13" s="1"/>
  <c r="O27" i="13"/>
  <c r="P27" i="13" s="1"/>
  <c r="R27" i="13" s="1"/>
  <c r="N27" i="13"/>
  <c r="E27" i="13"/>
  <c r="AN26" i="13"/>
  <c r="AN25" i="13"/>
  <c r="AD25" i="13"/>
  <c r="AC25" i="13"/>
  <c r="AB25" i="13"/>
  <c r="Z25" i="13"/>
  <c r="X25" i="13"/>
  <c r="Y25" i="13" s="1"/>
  <c r="V25" i="13"/>
  <c r="O25" i="13"/>
  <c r="P25" i="13" s="1"/>
  <c r="S25" i="13" s="1"/>
  <c r="W25" i="13" s="1"/>
  <c r="AF25" i="13" s="1"/>
  <c r="AG26" i="13" s="1"/>
  <c r="N25" i="13"/>
  <c r="E25" i="13"/>
  <c r="AN24" i="13"/>
  <c r="AN23" i="13"/>
  <c r="AD23" i="13"/>
  <c r="AC23" i="13"/>
  <c r="AB23" i="13"/>
  <c r="Z23" i="13"/>
  <c r="Y23" i="13"/>
  <c r="X23" i="13"/>
  <c r="V23" i="13"/>
  <c r="O23" i="13"/>
  <c r="P23" i="13" s="1"/>
  <c r="N23" i="13"/>
  <c r="E23" i="13"/>
  <c r="AN22" i="13"/>
  <c r="AN21" i="13"/>
  <c r="AD21" i="13"/>
  <c r="AC21" i="13"/>
  <c r="AB21" i="13"/>
  <c r="X21" i="13"/>
  <c r="V21" i="13"/>
  <c r="P21" i="13"/>
  <c r="O21" i="13"/>
  <c r="N21" i="13"/>
  <c r="E21" i="13"/>
  <c r="AN20" i="13"/>
  <c r="AN19" i="13"/>
  <c r="AD19" i="13"/>
  <c r="AC19" i="13"/>
  <c r="AB19" i="13"/>
  <c r="X19" i="13"/>
  <c r="Z19" i="13" s="1"/>
  <c r="V19" i="13"/>
  <c r="S19" i="13"/>
  <c r="W19" i="13" s="1"/>
  <c r="AF19" i="13" s="1"/>
  <c r="AG20" i="13" s="1"/>
  <c r="P19" i="13"/>
  <c r="R19" i="13" s="1"/>
  <c r="O19" i="13"/>
  <c r="N19" i="13"/>
  <c r="E19" i="13"/>
  <c r="AN18" i="13"/>
  <c r="AN17" i="13"/>
  <c r="AD17" i="13"/>
  <c r="AC17" i="13"/>
  <c r="AB17" i="13"/>
  <c r="Z17" i="13"/>
  <c r="X17" i="13"/>
  <c r="Y17" i="13" s="1"/>
  <c r="V17" i="13"/>
  <c r="O17" i="13"/>
  <c r="P17" i="13" s="1"/>
  <c r="N17" i="13"/>
  <c r="E17" i="13"/>
  <c r="AN16" i="13"/>
  <c r="AN15" i="13"/>
  <c r="AD15" i="13"/>
  <c r="AC15" i="13"/>
  <c r="AB15" i="13"/>
  <c r="Z15" i="13"/>
  <c r="Y15" i="13"/>
  <c r="X15" i="13"/>
  <c r="V15" i="13"/>
  <c r="S15" i="13"/>
  <c r="W15" i="13" s="1"/>
  <c r="AF15" i="13" s="1"/>
  <c r="AG16" i="13" s="1"/>
  <c r="R15" i="13"/>
  <c r="Q15" i="13" s="1"/>
  <c r="O15" i="13"/>
  <c r="P15" i="13" s="1"/>
  <c r="N15" i="13"/>
  <c r="E15" i="13"/>
  <c r="AN14" i="13"/>
  <c r="AN13" i="13"/>
  <c r="AD13" i="13"/>
  <c r="AC13" i="13"/>
  <c r="AB13" i="13"/>
  <c r="Z13" i="13"/>
  <c r="Y13" i="13"/>
  <c r="X13" i="13"/>
  <c r="V13" i="13"/>
  <c r="P13" i="13"/>
  <c r="S13" i="13" s="1"/>
  <c r="W13" i="13" s="1"/>
  <c r="AF13" i="13" s="1"/>
  <c r="AG14" i="13" s="1"/>
  <c r="O13" i="13"/>
  <c r="N13" i="13"/>
  <c r="E13" i="13"/>
  <c r="AN12" i="13"/>
  <c r="AU11" i="13"/>
  <c r="AN11" i="13"/>
  <c r="AD11" i="13"/>
  <c r="AC11" i="13"/>
  <c r="AB11" i="13"/>
  <c r="X11" i="13"/>
  <c r="V11" i="13"/>
  <c r="O11" i="13"/>
  <c r="P11" i="13" s="1"/>
  <c r="N11" i="13"/>
  <c r="E11" i="13"/>
  <c r="AD9" i="13"/>
  <c r="AC9" i="13"/>
  <c r="AB9" i="13"/>
  <c r="X9" i="13"/>
  <c r="V9" i="13"/>
  <c r="P9" i="13"/>
  <c r="S9" i="13" s="1"/>
  <c r="W9" i="13" s="1"/>
  <c r="AF9" i="13" s="1"/>
  <c r="AG10" i="13" s="1"/>
  <c r="O9" i="13"/>
  <c r="N9" i="13"/>
  <c r="E9" i="13"/>
  <c r="X7" i="13"/>
  <c r="V7" i="13"/>
  <c r="O7" i="13"/>
  <c r="P7" i="13" s="1"/>
  <c r="N7" i="13"/>
  <c r="E7" i="13"/>
  <c r="V5" i="13"/>
  <c r="O5" i="13"/>
  <c r="P5" i="13" s="1"/>
  <c r="N5" i="13"/>
  <c r="E5" i="13"/>
  <c r="B5" i="13"/>
  <c r="AS5" i="13"/>
  <c r="AT5" i="13"/>
  <c r="Y5" i="14" l="1"/>
  <c r="AD5" i="14" s="1"/>
  <c r="AH6" i="14"/>
  <c r="AK6" i="14"/>
  <c r="AL6" i="14" s="1"/>
  <c r="AH8" i="14"/>
  <c r="AI6" i="14"/>
  <c r="AJ6" i="14" s="1"/>
  <c r="T47" i="14"/>
  <c r="U47" i="14" s="1"/>
  <c r="Q47" i="14"/>
  <c r="AI46" i="14"/>
  <c r="AJ46" i="14" s="1"/>
  <c r="AH46" i="14"/>
  <c r="AK46" i="14"/>
  <c r="AL46" i="14" s="1"/>
  <c r="Q9" i="14"/>
  <c r="T9" i="14"/>
  <c r="U9" i="14" s="1"/>
  <c r="AI14" i="14"/>
  <c r="AJ14" i="14" s="1"/>
  <c r="AK14" i="14"/>
  <c r="AL14" i="14" s="1"/>
  <c r="AH14" i="14"/>
  <c r="T49" i="14"/>
  <c r="U49" i="14" s="1"/>
  <c r="Q49" i="14"/>
  <c r="AI24" i="14"/>
  <c r="AJ24" i="14" s="1"/>
  <c r="AK24" i="14"/>
  <c r="AL24" i="14" s="1"/>
  <c r="AH24" i="14"/>
  <c r="AI10" i="14"/>
  <c r="AJ10" i="14" s="1"/>
  <c r="AK10" i="14"/>
  <c r="AL10" i="14" s="1"/>
  <c r="AH10" i="14"/>
  <c r="AI22" i="14"/>
  <c r="AJ22" i="14" s="1"/>
  <c r="AK22" i="14"/>
  <c r="AL22" i="14" s="1"/>
  <c r="AH22" i="14"/>
  <c r="Y7" i="13"/>
  <c r="S7" i="13"/>
  <c r="W7" i="13" s="1"/>
  <c r="AF7" i="13" s="1"/>
  <c r="AG8" i="13" s="1"/>
  <c r="AH8" i="13" s="1"/>
  <c r="R7" i="13"/>
  <c r="Z7" i="13"/>
  <c r="AI10" i="13"/>
  <c r="AJ10" i="13" s="1"/>
  <c r="AK10" i="13"/>
  <c r="AL10" i="13" s="1"/>
  <c r="AH10" i="13"/>
  <c r="AI14" i="13"/>
  <c r="AJ14" i="13" s="1"/>
  <c r="AH14" i="13"/>
  <c r="AK14" i="13"/>
  <c r="AL14" i="13" s="1"/>
  <c r="AH20" i="13"/>
  <c r="AK20" i="13"/>
  <c r="AL20" i="13" s="1"/>
  <c r="AI20" i="13"/>
  <c r="AJ20" i="13" s="1"/>
  <c r="AH28" i="13"/>
  <c r="AK28" i="13"/>
  <c r="AL28" i="13" s="1"/>
  <c r="AI28" i="13"/>
  <c r="AJ28" i="13" s="1"/>
  <c r="AH36" i="13"/>
  <c r="AK36" i="13"/>
  <c r="AL36" i="13" s="1"/>
  <c r="AI36" i="13"/>
  <c r="AJ36" i="13" s="1"/>
  <c r="AH50" i="13"/>
  <c r="AK50" i="13"/>
  <c r="AL50" i="13" s="1"/>
  <c r="AI50" i="13"/>
  <c r="AJ50" i="13" s="1"/>
  <c r="AI16" i="13"/>
  <c r="AJ16" i="13" s="1"/>
  <c r="AH16" i="13"/>
  <c r="AK16" i="13"/>
  <c r="AL16" i="13" s="1"/>
  <c r="AH44" i="13"/>
  <c r="AK44" i="13"/>
  <c r="AL44" i="13" s="1"/>
  <c r="AI44" i="13"/>
  <c r="AJ44" i="13" s="1"/>
  <c r="R17" i="13"/>
  <c r="S17" i="13"/>
  <c r="W17" i="13" s="1"/>
  <c r="AF17" i="13" s="1"/>
  <c r="AG18" i="13" s="1"/>
  <c r="AH46" i="13"/>
  <c r="AK46" i="13"/>
  <c r="AL46" i="13" s="1"/>
  <c r="AI46" i="13"/>
  <c r="AJ46" i="13" s="1"/>
  <c r="R5" i="13"/>
  <c r="S5" i="13"/>
  <c r="W5" i="13" s="1"/>
  <c r="AF5" i="13" s="1"/>
  <c r="R11" i="13"/>
  <c r="S11" i="13"/>
  <c r="W11" i="13" s="1"/>
  <c r="AF11" i="13" s="1"/>
  <c r="AG12" i="13" s="1"/>
  <c r="AH48" i="13"/>
  <c r="AK48" i="13"/>
  <c r="AL48" i="13" s="1"/>
  <c r="AI48" i="13"/>
  <c r="AJ48" i="13" s="1"/>
  <c r="AK26" i="13"/>
  <c r="AL26" i="13" s="1"/>
  <c r="AI26" i="13"/>
  <c r="AJ26" i="13" s="1"/>
  <c r="Y9" i="13"/>
  <c r="Y11" i="13"/>
  <c r="R25" i="13"/>
  <c r="R33" i="13"/>
  <c r="W41" i="13"/>
  <c r="AF41" i="13" s="1"/>
  <c r="AG42" i="13" s="1"/>
  <c r="AK34" i="13"/>
  <c r="AL34" i="13" s="1"/>
  <c r="AI34" i="13"/>
  <c r="AJ34" i="13" s="1"/>
  <c r="R9" i="13"/>
  <c r="Z9" i="13"/>
  <c r="Z11" i="13"/>
  <c r="R13" i="13"/>
  <c r="Z21" i="13"/>
  <c r="Y21" i="13"/>
  <c r="AH26" i="13"/>
  <c r="Z29" i="13"/>
  <c r="Y29" i="13"/>
  <c r="AH34" i="13"/>
  <c r="Z37" i="13"/>
  <c r="Y37" i="13"/>
  <c r="Q41" i="13"/>
  <c r="T41" i="13"/>
  <c r="U41" i="13" s="1"/>
  <c r="T15" i="13"/>
  <c r="U15" i="13" s="1"/>
  <c r="Q19" i="13"/>
  <c r="T19" i="13"/>
  <c r="U19" i="13" s="1"/>
  <c r="S21" i="13"/>
  <c r="W21" i="13" s="1"/>
  <c r="AF21" i="13" s="1"/>
  <c r="AG22" i="13" s="1"/>
  <c r="R21" i="13"/>
  <c r="S23" i="13"/>
  <c r="W23" i="13" s="1"/>
  <c r="AF23" i="13" s="1"/>
  <c r="AG24" i="13" s="1"/>
  <c r="R23" i="13"/>
  <c r="Q27" i="13"/>
  <c r="T27" i="13"/>
  <c r="U27" i="13" s="1"/>
  <c r="S29" i="13"/>
  <c r="W29" i="13" s="1"/>
  <c r="AF29" i="13" s="1"/>
  <c r="AG30" i="13" s="1"/>
  <c r="R29" i="13"/>
  <c r="S31" i="13"/>
  <c r="W31" i="13" s="1"/>
  <c r="AF31" i="13" s="1"/>
  <c r="AG32" i="13" s="1"/>
  <c r="R31" i="13"/>
  <c r="Q35" i="13"/>
  <c r="T35" i="13"/>
  <c r="U35" i="13" s="1"/>
  <c r="S37" i="13"/>
  <c r="W37" i="13" s="1"/>
  <c r="AF37" i="13" s="1"/>
  <c r="AG38" i="13" s="1"/>
  <c r="R37" i="13"/>
  <c r="S39" i="13"/>
  <c r="W39" i="13" s="1"/>
  <c r="AF39" i="13" s="1"/>
  <c r="AG40" i="13" s="1"/>
  <c r="R39" i="13"/>
  <c r="Q43" i="13"/>
  <c r="T43" i="13"/>
  <c r="U43" i="13" s="1"/>
  <c r="Q45" i="13"/>
  <c r="T45" i="13"/>
  <c r="U45" i="13" s="1"/>
  <c r="Q47" i="13"/>
  <c r="T47" i="13"/>
  <c r="U47" i="13" s="1"/>
  <c r="Q49" i="13"/>
  <c r="T49" i="13"/>
  <c r="U49" i="13" s="1"/>
  <c r="Y19" i="13"/>
  <c r="Y27" i="13"/>
  <c r="Y35" i="13"/>
  <c r="Y49" i="13"/>
  <c r="AD7" i="13" l="1"/>
  <c r="AB7" i="13"/>
  <c r="AC7" i="13"/>
  <c r="AK8" i="13"/>
  <c r="AL8" i="13" s="1"/>
  <c r="AB5" i="13"/>
  <c r="AC5" i="13"/>
  <c r="AI8" i="13"/>
  <c r="AJ8" i="13" s="1"/>
  <c r="T7" i="13"/>
  <c r="U7" i="13" s="1"/>
  <c r="Q7" i="13"/>
  <c r="AH12" i="13"/>
  <c r="AK12" i="13"/>
  <c r="AL12" i="13" s="1"/>
  <c r="AI12" i="13"/>
  <c r="AJ12" i="13" s="1"/>
  <c r="Q17" i="13"/>
  <c r="T17" i="13"/>
  <c r="U17" i="13" s="1"/>
  <c r="Q37" i="13"/>
  <c r="T37" i="13"/>
  <c r="U37" i="13" s="1"/>
  <c r="T31" i="13"/>
  <c r="U31" i="13" s="1"/>
  <c r="Q31" i="13"/>
  <c r="Q21" i="13"/>
  <c r="T21" i="13"/>
  <c r="U21" i="13" s="1"/>
  <c r="Q9" i="13"/>
  <c r="T9" i="13"/>
  <c r="U9" i="13" s="1"/>
  <c r="Q33" i="13"/>
  <c r="T33" i="13"/>
  <c r="U33" i="13" s="1"/>
  <c r="Q11" i="13"/>
  <c r="T11" i="13"/>
  <c r="U11" i="13" s="1"/>
  <c r="AI40" i="13"/>
  <c r="AJ40" i="13" s="1"/>
  <c r="AH40" i="13"/>
  <c r="AK40" i="13"/>
  <c r="AL40" i="13" s="1"/>
  <c r="AI30" i="13"/>
  <c r="AJ30" i="13" s="1"/>
  <c r="AH30" i="13"/>
  <c r="AK30" i="13"/>
  <c r="AL30" i="13" s="1"/>
  <c r="AK42" i="13"/>
  <c r="AL42" i="13" s="1"/>
  <c r="AI42" i="13"/>
  <c r="AJ42" i="13" s="1"/>
  <c r="AH42" i="13"/>
  <c r="AI38" i="13"/>
  <c r="AJ38" i="13" s="1"/>
  <c r="AH38" i="13"/>
  <c r="AK38" i="13"/>
  <c r="AL38" i="13" s="1"/>
  <c r="AI32" i="13"/>
  <c r="AJ32" i="13" s="1"/>
  <c r="AH32" i="13"/>
  <c r="AK32" i="13"/>
  <c r="AL32" i="13" s="1"/>
  <c r="AI22" i="13"/>
  <c r="AJ22" i="13" s="1"/>
  <c r="AH22" i="13"/>
  <c r="AK22" i="13"/>
  <c r="AL22" i="13" s="1"/>
  <c r="T13" i="13"/>
  <c r="U13" i="13" s="1"/>
  <c r="Q13" i="13"/>
  <c r="Q25" i="13"/>
  <c r="T25" i="13"/>
  <c r="U25" i="13" s="1"/>
  <c r="AI6" i="13"/>
  <c r="AJ6" i="13" s="1"/>
  <c r="AK6" i="13"/>
  <c r="AL6" i="13" s="1"/>
  <c r="AI24" i="13"/>
  <c r="AJ24" i="13" s="1"/>
  <c r="AH24" i="13"/>
  <c r="AK24" i="13"/>
  <c r="AL24" i="13" s="1"/>
  <c r="T39" i="13"/>
  <c r="U39" i="13" s="1"/>
  <c r="Q39" i="13"/>
  <c r="Q29" i="13"/>
  <c r="T29" i="13"/>
  <c r="U29" i="13" s="1"/>
  <c r="T23" i="13"/>
  <c r="U23" i="13" s="1"/>
  <c r="Q23" i="13"/>
  <c r="Q5" i="13"/>
  <c r="T5" i="13"/>
  <c r="U5" i="13" s="1"/>
  <c r="X5" i="13" s="1"/>
  <c r="AA5" i="13" s="1"/>
  <c r="AA7" i="13" s="1"/>
  <c r="AK18" i="13"/>
  <c r="AL18" i="13" s="1"/>
  <c r="AH18" i="13"/>
  <c r="AI18" i="13"/>
  <c r="AJ18" i="13" s="1"/>
  <c r="Z5" i="13" l="1"/>
  <c r="Y5" i="13"/>
  <c r="L17" i="4"/>
  <c r="M17" i="4"/>
  <c r="N17" i="4" s="1"/>
  <c r="AD5" i="13" l="1"/>
  <c r="T15" i="4"/>
  <c r="B5" i="4" l="1"/>
  <c r="AL25" i="4" l="1"/>
  <c r="B25" i="4" s="1"/>
  <c r="L25" i="4"/>
  <c r="M25" i="4"/>
  <c r="N25" i="4" s="1"/>
  <c r="T25" i="4"/>
  <c r="L27" i="4"/>
  <c r="M27" i="4"/>
  <c r="N27" i="4" s="1"/>
  <c r="T27" i="4"/>
  <c r="AL15" i="4"/>
  <c r="B15" i="4" s="1"/>
  <c r="P25" i="4" l="1"/>
  <c r="Q25" i="4"/>
  <c r="U25" i="4" s="1"/>
  <c r="P27" i="4"/>
  <c r="Q27" i="4"/>
  <c r="U27" i="4" s="1"/>
  <c r="AC27" i="4" l="1"/>
  <c r="AD28" i="4" s="1"/>
  <c r="AC25" i="4"/>
  <c r="AD26" i="4" s="1"/>
  <c r="O25" i="4"/>
  <c r="R25" i="4"/>
  <c r="S25" i="4" s="1"/>
  <c r="V25" i="4" s="1"/>
  <c r="O27" i="4"/>
  <c r="R27" i="4"/>
  <c r="S27" i="4" s="1"/>
  <c r="V27" i="4" s="1"/>
  <c r="W27" i="4" l="1"/>
  <c r="X27" i="4"/>
  <c r="W25" i="4"/>
  <c r="X25" i="4"/>
  <c r="AH28" i="4"/>
  <c r="AI28" i="4" s="1"/>
  <c r="AE28" i="4"/>
  <c r="AF28" i="4"/>
  <c r="AG28" i="4" s="1"/>
  <c r="AF26" i="4"/>
  <c r="AG26" i="4" s="1"/>
  <c r="AE26" i="4"/>
  <c r="AH26" i="4"/>
  <c r="AI26" i="4" s="1"/>
  <c r="T19" i="4"/>
  <c r="M19" i="4"/>
  <c r="N19" i="4" s="1"/>
  <c r="L19" i="4"/>
  <c r="T17" i="4"/>
  <c r="M15" i="4"/>
  <c r="N15" i="4" s="1"/>
  <c r="L15" i="4"/>
  <c r="T13" i="4"/>
  <c r="M13" i="4"/>
  <c r="N13" i="4" s="1"/>
  <c r="L13" i="4"/>
  <c r="T11" i="4"/>
  <c r="M11" i="4"/>
  <c r="N11" i="4" s="1"/>
  <c r="L11" i="4"/>
  <c r="T9" i="4"/>
  <c r="M9" i="4"/>
  <c r="N9" i="4" s="1"/>
  <c r="Q9" i="4" s="1"/>
  <c r="L9" i="4"/>
  <c r="T7" i="4"/>
  <c r="M7" i="4"/>
  <c r="N7" i="4" s="1"/>
  <c r="L7" i="4"/>
  <c r="T5" i="4"/>
  <c r="M5" i="4"/>
  <c r="N5" i="4" s="1"/>
  <c r="Q5" i="4" s="1"/>
  <c r="U5" i="4" s="1"/>
  <c r="L5" i="4"/>
  <c r="AB25" i="4" l="1"/>
  <c r="U9" i="4"/>
  <c r="AC9" i="4" s="1"/>
  <c r="AD10" i="4" s="1"/>
  <c r="AF10" i="4" s="1"/>
  <c r="AG10" i="4" s="1"/>
  <c r="AB27" i="4"/>
  <c r="AC5" i="4"/>
  <c r="AD6" i="4" s="1"/>
  <c r="AF6" i="4" s="1"/>
  <c r="AG6" i="4" s="1"/>
  <c r="Q19" i="4"/>
  <c r="U19" i="4" s="1"/>
  <c r="P19" i="4"/>
  <c r="O19" i="4" s="1"/>
  <c r="Q13" i="4"/>
  <c r="U13" i="4" s="1"/>
  <c r="AC13" i="4" s="1"/>
  <c r="AD14" i="4" s="1"/>
  <c r="AF14" i="4" s="1"/>
  <c r="AG14" i="4" s="1"/>
  <c r="P13" i="4"/>
  <c r="O13" i="4" s="1"/>
  <c r="Q17" i="4"/>
  <c r="U17" i="4" s="1"/>
  <c r="P17" i="4"/>
  <c r="O17" i="4" s="1"/>
  <c r="Q15" i="4"/>
  <c r="P15" i="4"/>
  <c r="O15" i="4" s="1"/>
  <c r="Q7" i="4"/>
  <c r="U7" i="4" s="1"/>
  <c r="AC7" i="4" s="1"/>
  <c r="AD8" i="4" s="1"/>
  <c r="AH8" i="4" s="1"/>
  <c r="AI8" i="4" s="1"/>
  <c r="P7" i="4"/>
  <c r="O7" i="4" s="1"/>
  <c r="Q11" i="4"/>
  <c r="U11" i="4" s="1"/>
  <c r="AC11" i="4" s="1"/>
  <c r="AD12" i="4" s="1"/>
  <c r="AF12" i="4" s="1"/>
  <c r="AG12" i="4" s="1"/>
  <c r="P11" i="4"/>
  <c r="O11" i="4" s="1"/>
  <c r="P5" i="4"/>
  <c r="O5" i="4" s="1"/>
  <c r="P9" i="4"/>
  <c r="O9" i="4" s="1"/>
  <c r="AE10" i="4"/>
  <c r="AH10" i="4"/>
  <c r="AI10" i="4" s="1"/>
  <c r="R9" i="4"/>
  <c r="S9" i="4" s="1"/>
  <c r="V9" i="4" s="1"/>
  <c r="R5" i="4" l="1"/>
  <c r="S5" i="4" s="1"/>
  <c r="V5" i="4" s="1"/>
  <c r="R11" i="4"/>
  <c r="S11" i="4" s="1"/>
  <c r="V11" i="4" s="1"/>
  <c r="W11" i="4" s="1"/>
  <c r="R19" i="4"/>
  <c r="S19" i="4" s="1"/>
  <c r="V19" i="4" s="1"/>
  <c r="W19" i="4" s="1"/>
  <c r="Y5" i="4"/>
  <c r="AA5" i="4" s="1"/>
  <c r="X5" i="4"/>
  <c r="X11" i="4"/>
  <c r="AB11" i="4" s="1"/>
  <c r="AH12" i="4"/>
  <c r="AI12" i="4" s="1"/>
  <c r="AH14" i="4"/>
  <c r="AI14" i="4" s="1"/>
  <c r="U15" i="4"/>
  <c r="AC15" i="4" s="1"/>
  <c r="AD16" i="4" s="1"/>
  <c r="R15" i="4"/>
  <c r="S15" i="4" s="1"/>
  <c r="V15" i="4" s="1"/>
  <c r="R13" i="4"/>
  <c r="S13" i="4" s="1"/>
  <c r="V13" i="4" s="1"/>
  <c r="AE14" i="4"/>
  <c r="AC19" i="4"/>
  <c r="AD20" i="4" s="1"/>
  <c r="R17" i="4"/>
  <c r="S17" i="4" s="1"/>
  <c r="V17" i="4" s="1"/>
  <c r="AC17" i="4"/>
  <c r="AD18" i="4" s="1"/>
  <c r="W9" i="4"/>
  <c r="R7" i="4"/>
  <c r="S7" i="4" s="1"/>
  <c r="AF8" i="4"/>
  <c r="AG8" i="4" s="1"/>
  <c r="AH6" i="4"/>
  <c r="AI6" i="4" s="1"/>
  <c r="AE6" i="4"/>
  <c r="AE8" i="4"/>
  <c r="AE12" i="4"/>
  <c r="X9" i="4"/>
  <c r="X19" i="4" l="1"/>
  <c r="AB19" i="4" s="1"/>
  <c r="AF16" i="4"/>
  <c r="AG16" i="4" s="1"/>
  <c r="AH16" i="4"/>
  <c r="AI16" i="4" s="1"/>
  <c r="AE16" i="4"/>
  <c r="V7" i="4"/>
  <c r="Y27" i="4" s="1"/>
  <c r="X17" i="4"/>
  <c r="W17" i="4"/>
  <c r="AB17" i="4" s="1"/>
  <c r="W13" i="4"/>
  <c r="Y13" i="4"/>
  <c r="X13" i="4"/>
  <c r="AB13" i="4" s="1"/>
  <c r="W15" i="4"/>
  <c r="X15" i="4"/>
  <c r="Y15" i="4"/>
  <c r="AH20" i="4"/>
  <c r="AI20" i="4" s="1"/>
  <c r="AE20" i="4"/>
  <c r="AF20" i="4"/>
  <c r="AG20" i="4" s="1"/>
  <c r="AF18" i="4"/>
  <c r="AG18" i="4" s="1"/>
  <c r="AE18" i="4"/>
  <c r="AH18" i="4"/>
  <c r="AI18" i="4" s="1"/>
  <c r="W7" i="4"/>
  <c r="AB9" i="4"/>
  <c r="Y17" i="4" l="1"/>
  <c r="X7" i="4"/>
  <c r="AB7" i="4" s="1"/>
  <c r="AB15" i="4"/>
  <c r="Z27" i="4"/>
  <c r="AA27" i="4"/>
  <c r="Z15" i="4"/>
  <c r="AA15" i="4"/>
  <c r="AA13" i="4"/>
  <c r="Z13" i="4"/>
  <c r="AA17" i="4"/>
  <c r="Z17" i="4"/>
  <c r="Y7" i="4"/>
  <c r="AA7" i="4" s="1"/>
  <c r="Y19" i="4"/>
  <c r="Y25" i="4"/>
  <c r="Y11" i="4"/>
  <c r="Y9" i="4"/>
  <c r="AA9" i="4" s="1"/>
  <c r="AS5" i="14"/>
  <c r="AT5" i="14"/>
  <c r="AE5" i="14" l="1"/>
  <c r="AA5" i="14"/>
  <c r="Z25" i="4"/>
  <c r="AA25" i="4"/>
  <c r="Z19" i="4"/>
  <c r="AA19" i="4"/>
  <c r="AA11" i="4"/>
  <c r="Z11" i="4"/>
  <c r="AA7" i="14" l="1"/>
  <c r="AC5" i="14"/>
  <c r="AB5" i="14"/>
  <c r="AE7" i="14" s="1"/>
  <c r="Z5" i="4"/>
  <c r="W5" i="4"/>
  <c r="AB5" i="4" s="1"/>
  <c r="Z9" i="4" l="1"/>
  <c r="Z7" i="4"/>
</calcChain>
</file>

<file path=xl/sharedStrings.xml><?xml version="1.0" encoding="utf-8"?>
<sst xmlns="http://schemas.openxmlformats.org/spreadsheetml/2006/main" count="563" uniqueCount="76">
  <si>
    <t>Heure de sortie</t>
  </si>
  <si>
    <t>Heures à réaliser</t>
  </si>
  <si>
    <t>Heure d'arrivée
(h)</t>
  </si>
  <si>
    <t>Heure de sortie + 0,5 heure supp</t>
  </si>
  <si>
    <t>Heure de sortie + 1 heure supp</t>
  </si>
  <si>
    <t>Heure de sortie + 2 heure supp</t>
  </si>
  <si>
    <t>Heures Supp</t>
  </si>
  <si>
    <t>Heures + pauses comptabilisées</t>
  </si>
  <si>
    <t>heure de sortie minimum (h,min)</t>
  </si>
  <si>
    <t>Lundi</t>
  </si>
  <si>
    <t xml:space="preserve">Explications : </t>
  </si>
  <si>
    <t>Mardi</t>
  </si>
  <si>
    <t>Mercredi</t>
  </si>
  <si>
    <t>Jeudi</t>
  </si>
  <si>
    <t>Vendredi</t>
  </si>
  <si>
    <t>Feuille "pointage semaine" :</t>
  </si>
  <si>
    <t>cumul horaire (h)</t>
  </si>
  <si>
    <r>
      <t xml:space="preserve">Cumul horaire
 </t>
    </r>
    <r>
      <rPr>
        <sz val="11"/>
        <color rgb="FFFF0000"/>
        <rFont val="Calibri"/>
        <family val="2"/>
        <scheme val="minor"/>
      </rPr>
      <t xml:space="preserve">négatif
</t>
    </r>
    <r>
      <rPr>
        <sz val="11"/>
        <color theme="1"/>
        <rFont val="Calibri"/>
        <family val="2"/>
        <scheme val="minor"/>
      </rPr>
      <t xml:space="preserve"> (h:min)</t>
    </r>
  </si>
  <si>
    <r>
      <t xml:space="preserve">Temps 
de 
miam-miam
</t>
    </r>
    <r>
      <rPr>
        <sz val="11"/>
        <color rgb="FFFF0000"/>
        <rFont val="Calibri"/>
        <family val="2"/>
        <scheme val="minor"/>
      </rPr>
      <t xml:space="preserve"> réel</t>
    </r>
  </si>
  <si>
    <r>
      <t xml:space="preserve">Temps 
de
miam-miam
</t>
    </r>
    <r>
      <rPr>
        <sz val="11"/>
        <color rgb="FFFF0000"/>
        <rFont val="Calibri"/>
        <family val="2"/>
        <scheme val="minor"/>
      </rPr>
      <t>minimum</t>
    </r>
  </si>
  <si>
    <r>
      <t xml:space="preserve">Entrer Heures ici </t>
    </r>
    <r>
      <rPr>
        <sz val="11"/>
        <color rgb="FFFF0000"/>
        <rFont val="Wingdings"/>
        <charset val="2"/>
      </rPr>
      <t>F</t>
    </r>
  </si>
  <si>
    <t>Fin du miam miam :'(
(h:min)</t>
  </si>
  <si>
    <t>Heure de miam-miam
(h:min)</t>
  </si>
  <si>
    <t>Heure d'arrivée
(h:min)</t>
  </si>
  <si>
    <t>Heure de sortie
(h:min)</t>
  </si>
  <si>
    <t>- L'heure de sortie minimum correspond à l'horraire de sortie permettant d'être à +0 sur le compteur.</t>
  </si>
  <si>
    <t>Temps du repas minimum
(h)</t>
  </si>
  <si>
    <r>
      <t xml:space="preserve">Temps 
de 
miam-miam
</t>
    </r>
    <r>
      <rPr>
        <sz val="11"/>
        <color rgb="FFFF0000"/>
        <rFont val="Calibri"/>
        <family val="2"/>
        <scheme val="minor"/>
      </rPr>
      <t xml:space="preserve"> réel (h)</t>
    </r>
  </si>
  <si>
    <r>
      <t xml:space="preserve">Heures réalisées
</t>
    </r>
    <r>
      <rPr>
        <sz val="11"/>
        <color rgb="FFFF0000"/>
        <rFont val="Calibri"/>
        <family val="2"/>
        <scheme val="minor"/>
      </rPr>
      <t>comptabilisées</t>
    </r>
    <r>
      <rPr>
        <sz val="11"/>
        <color theme="1"/>
        <rFont val="Calibri"/>
        <family val="2"/>
        <scheme val="minor"/>
      </rPr>
      <t xml:space="preserve">
(h,min)</t>
    </r>
  </si>
  <si>
    <t xml:space="preserve">Temps de
 miam miam 
(h)
</t>
  </si>
  <si>
    <t>Complément pause repas
(h)</t>
  </si>
  <si>
    <t>Complément pause repas
(h,min)</t>
  </si>
  <si>
    <r>
      <t xml:space="preserve">Cumul horaire
 </t>
    </r>
    <r>
      <rPr>
        <sz val="11"/>
        <color rgb="FFFF0000"/>
        <rFont val="Calibri"/>
        <family val="2"/>
        <scheme val="minor"/>
      </rPr>
      <t xml:space="preserve">positif
journée
</t>
    </r>
    <r>
      <rPr>
        <sz val="11"/>
        <color theme="1"/>
        <rFont val="Calibri"/>
        <family val="2"/>
        <scheme val="minor"/>
      </rPr>
      <t xml:space="preserve"> (h:min)</t>
    </r>
  </si>
  <si>
    <r>
      <t xml:space="preserve">Cumul horaire
 </t>
    </r>
    <r>
      <rPr>
        <sz val="11"/>
        <color rgb="FFFF0000"/>
        <rFont val="Calibri"/>
        <family val="2"/>
        <scheme val="minor"/>
      </rPr>
      <t xml:space="preserve">négatif
Total
</t>
    </r>
    <r>
      <rPr>
        <sz val="11"/>
        <color theme="1"/>
        <rFont val="Calibri"/>
        <family val="2"/>
        <scheme val="minor"/>
      </rPr>
      <t xml:space="preserve"> (h:min)</t>
    </r>
  </si>
  <si>
    <r>
      <t xml:space="preserve">Cumul horaire
 </t>
    </r>
    <r>
      <rPr>
        <sz val="11"/>
        <color rgb="FFFF0000"/>
        <rFont val="Calibri"/>
        <family val="2"/>
        <scheme val="minor"/>
      </rPr>
      <t xml:space="preserve">positif
Total
</t>
    </r>
    <r>
      <rPr>
        <sz val="11"/>
        <color theme="1"/>
        <rFont val="Calibri"/>
        <family val="2"/>
        <scheme val="minor"/>
      </rPr>
      <t xml:space="preserve"> (h:min)</t>
    </r>
  </si>
  <si>
    <t>Pause repas 
+
 complément
(h)</t>
  </si>
  <si>
    <t>Pause repas comptabilisée</t>
  </si>
  <si>
    <t>Cumul horaire compilé
(h)</t>
  </si>
  <si>
    <t>n°première semaine</t>
  </si>
  <si>
    <t>Pont de l'Ascension</t>
  </si>
  <si>
    <t>Premier jour du moi</t>
  </si>
  <si>
    <t>Samedi</t>
  </si>
  <si>
    <t>Dimanche</t>
  </si>
  <si>
    <t>Juin</t>
  </si>
  <si>
    <t>Janvier</t>
  </si>
  <si>
    <t>Février</t>
  </si>
  <si>
    <t>Mars</t>
  </si>
  <si>
    <t>Avril</t>
  </si>
  <si>
    <t>Mai</t>
  </si>
  <si>
    <t>Juillet</t>
  </si>
  <si>
    <t>Août</t>
  </si>
  <si>
    <t>Septembre</t>
  </si>
  <si>
    <t>Octobre</t>
  </si>
  <si>
    <t>Novembre</t>
  </si>
  <si>
    <t>Décembre</t>
  </si>
  <si>
    <t>Lundi 16 Mai 2022</t>
  </si>
  <si>
    <t>- Entrer les pointages et les infos demandées dans les cases bleu</t>
  </si>
  <si>
    <t xml:space="preserve"> : les cases bleues permettent de comptabiliser le temps de pause de midi, les horaires réalisées, le nombre de jours dans le mois</t>
  </si>
  <si>
    <t xml:space="preserve">- Troisièmement aller dans "Affichage", cliquer sur "Macro" et lancer "initialisation" </t>
  </si>
  <si>
    <t>- Premièrement : copier l'onglet de la dernière Rev du template</t>
  </si>
  <si>
    <t>Initialisation</t>
  </si>
  <si>
    <t>Utilisation</t>
  </si>
  <si>
    <r>
      <t xml:space="preserve">- Les cases en vert et en orange contiennent des formules : </t>
    </r>
    <r>
      <rPr>
        <b/>
        <sz val="11"/>
        <color rgb="FFFF0000"/>
        <rFont val="Calibri"/>
        <family val="2"/>
        <scheme val="minor"/>
      </rPr>
      <t>ne pas toucher</t>
    </r>
  </si>
  <si>
    <t>Temps 
de 
pause midi</t>
  </si>
  <si>
    <t>Semaine4</t>
  </si>
  <si>
    <t>Cumul positif du moi précédent</t>
  </si>
  <si>
    <t>Cumul négatif du mois précédent</t>
  </si>
  <si>
    <t xml:space="preserve">Mois </t>
  </si>
  <si>
    <t xml:space="preserve">Semaine </t>
  </si>
  <si>
    <t>Semaine 22</t>
  </si>
  <si>
    <t>Semaine 23</t>
  </si>
  <si>
    <t>Semaine 26</t>
  </si>
  <si>
    <t>Semaine 27</t>
  </si>
  <si>
    <t>- Deuxièmement remplir les cases "Premier jour du moi" (case AP5), "n°première Semaine" (AQ5) et "Mois :" (AR5)</t>
  </si>
  <si>
    <t>Heure de sortie possible
(h,min)</t>
  </si>
  <si>
    <t>heure de sortie pour être à +0 sur le compteur 
(h,min)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</si>
</sst>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"/>
    <numFmt numFmtId="165" formatCode="h:mm;@"/>
    <numFmt numFmtId="166" formatCode="0.000"/>
  </numFmts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0000"/>
      <name val="Wingdings"/>
      <charset val="2"/>
    </font>
    <font>
      <b/>
      <i/>
      <u/>
      <sz val="12"/>
      <color rgb="FFFF0000"/>
      <name val="Calibri"/>
      <family val="2"/>
      <scheme val="minor"/>
    </font>
    <font>
      <i/>
      <u/>
      <sz val="12"/>
      <color rgb="FF00B0F0"/>
      <name val="Calibri"/>
      <family val="2"/>
      <scheme val="minor"/>
    </font>
    <font>
      <sz val="11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i/>
      <u/>
      <sz val="11"/>
      <color rgb="FF00B05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lightUp">
        <bgColor theme="0"/>
      </patternFill>
    </fill>
    <fill>
      <patternFill patternType="solid">
        <fgColor rgb="FF7030A0"/>
        <bgColor indexed="64"/>
      </patternFill>
    </fill>
    <fill>
      <patternFill patternType="solid">
        <fgColor theme="0" tint="-4.9989318521683403E-2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51">
    <xf numFmtId="0" fontId="0" fillId="0" borderId="0" xfId="0"/>
    <xf numFmtId="0" fontId="0" fillId="5" borderId="1" xfId="0" applyFill="1" applyBorder="1" applyAlignment="1">
      <alignment horizontal="center" vertical="center" wrapText="1"/>
    </xf>
    <xf numFmtId="0" fontId="0" fillId="9" borderId="0" xfId="0" applyFill="1"/>
    <xf numFmtId="0" fontId="0" fillId="5" borderId="3" xfId="0" applyFill="1" applyBorder="1" applyAlignment="1">
      <alignment horizontal="center" vertical="center" wrapText="1"/>
    </xf>
    <xf numFmtId="0" fontId="1" fillId="9" borderId="0" xfId="0" applyFont="1" applyFill="1"/>
    <xf numFmtId="0" fontId="0" fillId="9" borderId="0" xfId="0" applyFill="1" applyBorder="1"/>
    <xf numFmtId="0" fontId="0" fillId="9" borderId="0" xfId="0" applyFill="1" applyAlignment="1">
      <alignment horizontal="center" vertical="center"/>
    </xf>
    <xf numFmtId="0" fontId="2" fillId="9" borderId="0" xfId="0" applyFont="1" applyFill="1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0" fillId="5" borderId="13" xfId="0" applyFill="1" applyBorder="1" applyAlignment="1">
      <alignment horizontal="center" vertical="center" wrapText="1"/>
    </xf>
    <xf numFmtId="2" fontId="0" fillId="4" borderId="7" xfId="0" applyNumberFormat="1" applyFill="1" applyBorder="1" applyAlignment="1">
      <alignment horizontal="center" vertical="center"/>
    </xf>
    <xf numFmtId="20" fontId="0" fillId="6" borderId="7" xfId="0" applyNumberFormat="1" applyFill="1" applyBorder="1" applyAlignment="1">
      <alignment horizontal="center" vertical="center"/>
    </xf>
    <xf numFmtId="20" fontId="0" fillId="7" borderId="7" xfId="0" applyNumberFormat="1" applyFill="1" applyBorder="1" applyAlignment="1">
      <alignment horizontal="center" vertical="center"/>
    </xf>
    <xf numFmtId="20" fontId="0" fillId="2" borderId="8" xfId="0" applyNumberFormat="1" applyFill="1" applyBorder="1" applyAlignment="1">
      <alignment horizontal="center" vertical="center"/>
    </xf>
    <xf numFmtId="2" fontId="0" fillId="4" borderId="14" xfId="0" applyNumberFormat="1" applyFill="1" applyBorder="1" applyAlignment="1">
      <alignment horizontal="center" vertical="center"/>
    </xf>
    <xf numFmtId="0" fontId="6" fillId="9" borderId="0" xfId="0" applyFont="1" applyFill="1"/>
    <xf numFmtId="0" fontId="0" fillId="9" borderId="0" xfId="0" quotePrefix="1" applyFill="1"/>
    <xf numFmtId="0" fontId="3" fillId="5" borderId="27" xfId="0" applyFont="1" applyFill="1" applyBorder="1" applyAlignment="1">
      <alignment horizontal="center" vertical="center" wrapText="1"/>
    </xf>
    <xf numFmtId="0" fontId="3" fillId="5" borderId="28" xfId="0" applyFont="1" applyFill="1" applyBorder="1" applyAlignment="1">
      <alignment horizontal="center" vertical="center" wrapText="1"/>
    </xf>
    <xf numFmtId="0" fontId="3" fillId="5" borderId="29" xfId="0" applyFont="1" applyFill="1" applyBorder="1" applyAlignment="1">
      <alignment horizontal="center" vertical="center" wrapText="1"/>
    </xf>
    <xf numFmtId="0" fontId="7" fillId="9" borderId="0" xfId="0" applyFont="1" applyFill="1"/>
    <xf numFmtId="0" fontId="0" fillId="5" borderId="27" xfId="0" applyFill="1" applyBorder="1" applyAlignment="1">
      <alignment horizontal="center" vertical="center" wrapText="1"/>
    </xf>
    <xf numFmtId="0" fontId="0" fillId="5" borderId="28" xfId="0" applyFill="1" applyBorder="1" applyAlignment="1">
      <alignment horizontal="center" vertical="center" wrapText="1"/>
    </xf>
    <xf numFmtId="0" fontId="0" fillId="5" borderId="29" xfId="0" applyFill="1" applyBorder="1" applyAlignment="1">
      <alignment horizontal="center" vertical="center" wrapText="1"/>
    </xf>
    <xf numFmtId="0" fontId="0" fillId="5" borderId="30" xfId="0" applyFill="1" applyBorder="1" applyAlignment="1">
      <alignment horizontal="center" vertical="center" wrapText="1"/>
    </xf>
    <xf numFmtId="0" fontId="3" fillId="5" borderId="34" xfId="0" applyFont="1" applyFill="1" applyBorder="1" applyAlignment="1">
      <alignment horizontal="center" vertical="center" wrapText="1"/>
    </xf>
    <xf numFmtId="0" fontId="0" fillId="9" borderId="0" xfId="0" quotePrefix="1" applyFill="1" applyAlignment="1">
      <alignment vertical="center" wrapText="1"/>
    </xf>
    <xf numFmtId="0" fontId="0" fillId="4" borderId="28" xfId="0" applyFill="1" applyBorder="1" applyAlignment="1">
      <alignment horizontal="center" vertical="center" wrapText="1"/>
    </xf>
    <xf numFmtId="0" fontId="0" fillId="4" borderId="30" xfId="0" applyFill="1" applyBorder="1" applyAlignment="1">
      <alignment horizontal="center" vertical="center" wrapText="1"/>
    </xf>
    <xf numFmtId="0" fontId="8" fillId="4" borderId="30" xfId="0" applyFont="1" applyFill="1" applyBorder="1" applyAlignment="1">
      <alignment horizontal="center" vertical="center" wrapText="1"/>
    </xf>
    <xf numFmtId="165" fontId="0" fillId="9" borderId="0" xfId="0" applyNumberFormat="1" applyFill="1"/>
    <xf numFmtId="0" fontId="1" fillId="9" borderId="1" xfId="0" applyFont="1" applyFill="1" applyBorder="1" applyAlignment="1">
      <alignment horizontal="center" vertical="center" wrapText="1"/>
    </xf>
    <xf numFmtId="0" fontId="0" fillId="9" borderId="0" xfId="0" applyFill="1" applyBorder="1" applyAlignment="1">
      <alignment vertical="center"/>
    </xf>
    <xf numFmtId="0" fontId="0" fillId="9" borderId="1" xfId="0" applyFill="1" applyBorder="1" applyAlignment="1">
      <alignment horizontal="center" vertical="center"/>
    </xf>
    <xf numFmtId="20" fontId="0" fillId="9" borderId="0" xfId="0" applyNumberFormat="1" applyFill="1"/>
    <xf numFmtId="2" fontId="0" fillId="9" borderId="0" xfId="0" applyNumberFormat="1" applyFill="1"/>
    <xf numFmtId="0" fontId="0" fillId="9" borderId="0" xfId="0" applyNumberFormat="1" applyFill="1" applyBorder="1" applyAlignment="1">
      <alignment vertical="center"/>
    </xf>
    <xf numFmtId="0" fontId="0" fillId="9" borderId="0" xfId="0" applyFill="1" applyAlignment="1">
      <alignment horizontal="center"/>
    </xf>
    <xf numFmtId="0" fontId="0" fillId="9" borderId="0" xfId="0" applyFill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1" fillId="9" borderId="0" xfId="0" applyFont="1" applyFill="1" applyBorder="1" applyAlignment="1">
      <alignment horizontal="center"/>
    </xf>
    <xf numFmtId="0" fontId="1" fillId="13" borderId="43" xfId="0" applyFont="1" applyFill="1" applyBorder="1" applyAlignment="1">
      <alignment horizontal="center" vertical="center"/>
    </xf>
    <xf numFmtId="0" fontId="0" fillId="9" borderId="15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0" fillId="9" borderId="17" xfId="0" applyFill="1" applyBorder="1" applyAlignment="1">
      <alignment horizontal="center" vertical="center"/>
    </xf>
    <xf numFmtId="0" fontId="0" fillId="9" borderId="9" xfId="0" applyFill="1" applyBorder="1"/>
    <xf numFmtId="0" fontId="8" fillId="9" borderId="0" xfId="0" quotePrefix="1" applyFont="1" applyFill="1"/>
    <xf numFmtId="0" fontId="0" fillId="9" borderId="0" xfId="0" applyFont="1" applyFill="1"/>
    <xf numFmtId="0" fontId="0" fillId="9" borderId="0" xfId="0" quotePrefix="1" applyFont="1" applyFill="1"/>
    <xf numFmtId="0" fontId="0" fillId="9" borderId="0" xfId="0" quotePrefix="1" applyFont="1" applyFill="1" applyAlignment="1">
      <alignment vertical="center" wrapText="1"/>
    </xf>
    <xf numFmtId="0" fontId="8" fillId="9" borderId="0" xfId="0" quotePrefix="1" applyFont="1" applyFill="1" applyAlignment="1">
      <alignment horizontal="left"/>
    </xf>
    <xf numFmtId="0" fontId="12" fillId="9" borderId="0" xfId="0" applyFont="1" applyFill="1"/>
    <xf numFmtId="0" fontId="0" fillId="10" borderId="43" xfId="0" applyFill="1" applyBorder="1" applyAlignment="1">
      <alignment horizontal="center" vertical="center"/>
    </xf>
    <xf numFmtId="0" fontId="11" fillId="13" borderId="43" xfId="0" applyFont="1" applyFill="1" applyBorder="1" applyAlignment="1">
      <alignment horizontal="center" vertical="center" wrapText="1"/>
    </xf>
    <xf numFmtId="0" fontId="1" fillId="13" borderId="43" xfId="0" applyFont="1" applyFill="1" applyBorder="1" applyAlignment="1">
      <alignment horizontal="center" vertical="center" wrapText="1"/>
    </xf>
    <xf numFmtId="165" fontId="0" fillId="10" borderId="43" xfId="0" applyNumberFormat="1" applyFill="1" applyBorder="1" applyAlignment="1">
      <alignment horizontal="center" vertical="center" wrapText="1"/>
    </xf>
    <xf numFmtId="0" fontId="0" fillId="13" borderId="30" xfId="0" applyFill="1" applyBorder="1" applyAlignment="1">
      <alignment horizontal="center" vertical="center" wrapText="1"/>
    </xf>
    <xf numFmtId="0" fontId="0" fillId="9" borderId="0" xfId="0" applyFill="1" applyAlignment="1">
      <alignment horizontal="center"/>
    </xf>
    <xf numFmtId="0" fontId="0" fillId="9" borderId="0" xfId="0" applyFill="1" applyAlignment="1">
      <alignment horizontal="center" vertical="center"/>
    </xf>
    <xf numFmtId="0" fontId="0" fillId="9" borderId="17" xfId="0" applyFill="1" applyBorder="1" applyAlignment="1">
      <alignment vertical="center" wrapText="1"/>
    </xf>
    <xf numFmtId="0" fontId="0" fillId="9" borderId="16" xfId="0" applyFill="1" applyBorder="1" applyAlignment="1">
      <alignment vertical="center" wrapText="1"/>
    </xf>
    <xf numFmtId="0" fontId="0" fillId="9" borderId="15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0" fillId="9" borderId="17" xfId="0" applyFill="1" applyBorder="1" applyAlignment="1">
      <alignment horizontal="center" vertical="center"/>
    </xf>
    <xf numFmtId="0" fontId="0" fillId="9" borderId="15" xfId="0" applyFill="1" applyBorder="1" applyAlignment="1">
      <alignment horizontal="center" vertical="center" wrapText="1"/>
    </xf>
    <xf numFmtId="0" fontId="0" fillId="9" borderId="16" xfId="0" applyFill="1" applyBorder="1" applyAlignment="1">
      <alignment horizontal="center" vertical="center" wrapText="1"/>
    </xf>
    <xf numFmtId="0" fontId="0" fillId="9" borderId="17" xfId="0" applyFill="1" applyBorder="1" applyAlignment="1">
      <alignment horizontal="center" vertical="center" wrapText="1"/>
    </xf>
    <xf numFmtId="0" fontId="2" fillId="9" borderId="0" xfId="0" applyFont="1" applyFill="1" applyBorder="1" applyAlignment="1">
      <alignment horizontal="center" vertical="center"/>
    </xf>
    <xf numFmtId="0" fontId="2" fillId="9" borderId="0" xfId="0" applyFont="1" applyFill="1" applyBorder="1" applyAlignment="1">
      <alignment horizontal="center"/>
    </xf>
    <xf numFmtId="165" fontId="0" fillId="6" borderId="35" xfId="0" applyNumberFormat="1" applyFill="1" applyBorder="1" applyAlignment="1">
      <alignment horizontal="center" vertical="center" wrapText="1"/>
    </xf>
    <xf numFmtId="165" fontId="0" fillId="6" borderId="21" xfId="0" applyNumberFormat="1" applyFill="1" applyBorder="1" applyAlignment="1">
      <alignment horizontal="center" vertical="center" wrapText="1"/>
    </xf>
    <xf numFmtId="165" fontId="0" fillId="6" borderId="2" xfId="0" applyNumberFormat="1" applyFill="1" applyBorder="1" applyAlignment="1">
      <alignment horizontal="center" vertical="center" wrapText="1"/>
    </xf>
    <xf numFmtId="20" fontId="1" fillId="3" borderId="4" xfId="0" applyNumberFormat="1" applyFont="1" applyFill="1" applyBorder="1" applyAlignment="1">
      <alignment horizontal="center" vertical="center"/>
    </xf>
    <xf numFmtId="20" fontId="1" fillId="3" borderId="21" xfId="0" applyNumberFormat="1" applyFont="1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/>
    </xf>
    <xf numFmtId="164" fontId="0" fillId="4" borderId="21" xfId="0" applyNumberFormat="1" applyFill="1" applyBorder="1" applyAlignment="1">
      <alignment horizontal="center" vertical="center"/>
    </xf>
    <xf numFmtId="2" fontId="0" fillId="4" borderId="2" xfId="0" applyNumberFormat="1" applyFill="1" applyBorder="1" applyAlignment="1">
      <alignment horizontal="center" vertical="center"/>
    </xf>
    <xf numFmtId="2" fontId="0" fillId="4" borderId="21" xfId="0" applyNumberFormat="1" applyFill="1" applyBorder="1" applyAlignment="1">
      <alignment horizontal="center" vertical="center"/>
    </xf>
    <xf numFmtId="2" fontId="0" fillId="4" borderId="2" xfId="0" applyNumberFormat="1" applyFill="1" applyBorder="1" applyAlignment="1">
      <alignment horizontal="center" vertical="center" wrapText="1"/>
    </xf>
    <xf numFmtId="2" fontId="0" fillId="4" borderId="21" xfId="0" applyNumberFormat="1" applyFill="1" applyBorder="1" applyAlignment="1">
      <alignment horizontal="center" vertical="center" wrapText="1"/>
    </xf>
    <xf numFmtId="2" fontId="8" fillId="4" borderId="35" xfId="0" applyNumberFormat="1" applyFont="1" applyFill="1" applyBorder="1" applyAlignment="1">
      <alignment horizontal="center" vertical="center" wrapText="1"/>
    </xf>
    <xf numFmtId="2" fontId="8" fillId="4" borderId="21" xfId="0" applyNumberFormat="1" applyFont="1" applyFill="1" applyBorder="1" applyAlignment="1">
      <alignment horizontal="center" vertical="center" wrapText="1"/>
    </xf>
    <xf numFmtId="20" fontId="0" fillId="6" borderId="4" xfId="0" applyNumberFormat="1" applyFill="1" applyBorder="1" applyAlignment="1">
      <alignment horizontal="center" vertical="center"/>
    </xf>
    <xf numFmtId="20" fontId="0" fillId="6" borderId="21" xfId="0" applyNumberFormat="1" applyFill="1" applyBorder="1" applyAlignment="1">
      <alignment horizontal="center" vertical="center"/>
    </xf>
    <xf numFmtId="2" fontId="0" fillId="4" borderId="4" xfId="0" applyNumberFormat="1" applyFill="1" applyBorder="1" applyAlignment="1">
      <alignment horizontal="center" vertical="center"/>
    </xf>
    <xf numFmtId="2" fontId="0" fillId="4" borderId="35" xfId="0" applyNumberFormat="1" applyFill="1" applyBorder="1" applyAlignment="1">
      <alignment horizontal="center" vertical="center"/>
    </xf>
    <xf numFmtId="20" fontId="0" fillId="4" borderId="4" xfId="0" applyNumberFormat="1" applyFill="1" applyBorder="1" applyAlignment="1">
      <alignment horizontal="center" vertical="center"/>
    </xf>
    <xf numFmtId="20" fontId="0" fillId="4" borderId="21" xfId="0" applyNumberFormat="1" applyFill="1" applyBorder="1" applyAlignment="1">
      <alignment horizontal="center" vertical="center"/>
    </xf>
    <xf numFmtId="20" fontId="0" fillId="4" borderId="35" xfId="0" applyNumberForma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1" fillId="5" borderId="32" xfId="0" applyFont="1" applyFill="1" applyBorder="1" applyAlignment="1">
      <alignment horizontal="center" vertical="center" wrapText="1"/>
    </xf>
    <xf numFmtId="0" fontId="1" fillId="5" borderId="33" xfId="0" applyFont="1" applyFill="1" applyBorder="1" applyAlignment="1">
      <alignment horizontal="center" vertical="center" wrapText="1"/>
    </xf>
    <xf numFmtId="165" fontId="4" fillId="10" borderId="5" xfId="0" applyNumberFormat="1" applyFont="1" applyFill="1" applyBorder="1" applyAlignment="1">
      <alignment horizontal="center" vertical="center"/>
    </xf>
    <xf numFmtId="165" fontId="4" fillId="10" borderId="6" xfId="0" applyNumberFormat="1" applyFont="1" applyFill="1" applyBorder="1" applyAlignment="1">
      <alignment horizontal="center" vertical="center"/>
    </xf>
    <xf numFmtId="165" fontId="4" fillId="10" borderId="18" xfId="0" applyNumberFormat="1" applyFont="1" applyFill="1" applyBorder="1" applyAlignment="1">
      <alignment horizontal="center" vertical="center"/>
    </xf>
    <xf numFmtId="165" fontId="4" fillId="10" borderId="20" xfId="0" applyNumberFormat="1" applyFont="1" applyFill="1" applyBorder="1" applyAlignment="1">
      <alignment horizontal="center" vertical="center"/>
    </xf>
    <xf numFmtId="165" fontId="4" fillId="10" borderId="4" xfId="0" applyNumberFormat="1" applyFont="1" applyFill="1" applyBorder="1" applyAlignment="1">
      <alignment horizontal="center" vertical="center"/>
    </xf>
    <xf numFmtId="165" fontId="4" fillId="10" borderId="21" xfId="0" applyNumberFormat="1" applyFont="1" applyFill="1" applyBorder="1" applyAlignment="1">
      <alignment horizontal="center" vertical="center"/>
    </xf>
    <xf numFmtId="165" fontId="4" fillId="10" borderId="19" xfId="0" applyNumberFormat="1" applyFont="1" applyFill="1" applyBorder="1" applyAlignment="1">
      <alignment horizontal="center" vertical="center"/>
    </xf>
    <xf numFmtId="165" fontId="4" fillId="10" borderId="26" xfId="0" applyNumberFormat="1" applyFont="1" applyFill="1" applyBorder="1" applyAlignment="1">
      <alignment horizontal="center" vertical="center"/>
    </xf>
    <xf numFmtId="20" fontId="0" fillId="4" borderId="22" xfId="0" applyNumberFormat="1" applyFill="1" applyBorder="1" applyAlignment="1">
      <alignment horizontal="center" vertical="center"/>
    </xf>
    <xf numFmtId="20" fontId="0" fillId="4" borderId="23" xfId="0" applyNumberForma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9" borderId="0" xfId="0" applyFill="1" applyAlignment="1">
      <alignment horizontal="center"/>
    </xf>
    <xf numFmtId="165" fontId="9" fillId="12" borderId="36" xfId="0" applyNumberFormat="1" applyFont="1" applyFill="1" applyBorder="1" applyAlignment="1">
      <alignment horizontal="center" vertical="center"/>
    </xf>
    <xf numFmtId="165" fontId="9" fillId="12" borderId="9" xfId="0" applyNumberFormat="1" applyFont="1" applyFill="1" applyBorder="1" applyAlignment="1">
      <alignment horizontal="center" vertical="center"/>
    </xf>
    <xf numFmtId="165" fontId="9" fillId="12" borderId="37" xfId="0" applyNumberFormat="1" applyFont="1" applyFill="1" applyBorder="1" applyAlignment="1">
      <alignment horizontal="center" vertical="center"/>
    </xf>
    <xf numFmtId="165" fontId="9" fillId="12" borderId="38" xfId="0" applyNumberFormat="1" applyFont="1" applyFill="1" applyBorder="1" applyAlignment="1">
      <alignment horizontal="center" vertical="center"/>
    </xf>
    <xf numFmtId="165" fontId="9" fillId="12" borderId="0" xfId="0" applyNumberFormat="1" applyFont="1" applyFill="1" applyBorder="1" applyAlignment="1">
      <alignment horizontal="center" vertical="center"/>
    </xf>
    <xf numFmtId="165" fontId="9" fillId="12" borderId="39" xfId="0" applyNumberFormat="1" applyFont="1" applyFill="1" applyBorder="1" applyAlignment="1">
      <alignment horizontal="center" vertical="center"/>
    </xf>
    <xf numFmtId="165" fontId="9" fillId="12" borderId="40" xfId="0" applyNumberFormat="1" applyFont="1" applyFill="1" applyBorder="1" applyAlignment="1">
      <alignment horizontal="center" vertical="center"/>
    </xf>
    <xf numFmtId="165" fontId="9" fillId="12" borderId="41" xfId="0" applyNumberFormat="1" applyFont="1" applyFill="1" applyBorder="1" applyAlignment="1">
      <alignment horizontal="center" vertical="center"/>
    </xf>
    <xf numFmtId="165" fontId="9" fillId="12" borderId="42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7" borderId="0" xfId="0" applyFill="1" applyAlignment="1">
      <alignment horizontal="center"/>
    </xf>
    <xf numFmtId="166" fontId="0" fillId="4" borderId="2" xfId="0" applyNumberFormat="1" applyFill="1" applyBorder="1" applyAlignment="1">
      <alignment horizontal="center" vertical="center" wrapText="1"/>
    </xf>
    <xf numFmtId="166" fontId="0" fillId="4" borderId="21" xfId="0" applyNumberFormat="1" applyFill="1" applyBorder="1" applyAlignment="1">
      <alignment horizontal="center" vertical="center" wrapText="1"/>
    </xf>
    <xf numFmtId="0" fontId="0" fillId="10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11" borderId="24" xfId="0" applyFill="1" applyBorder="1" applyAlignment="1">
      <alignment horizontal="center"/>
    </xf>
    <xf numFmtId="0" fontId="0" fillId="11" borderId="31" xfId="0" applyFill="1" applyBorder="1" applyAlignment="1">
      <alignment horizontal="center"/>
    </xf>
    <xf numFmtId="0" fontId="0" fillId="11" borderId="25" xfId="0" applyFill="1" applyBorder="1" applyAlignment="1">
      <alignment horizontal="center"/>
    </xf>
    <xf numFmtId="0" fontId="2" fillId="8" borderId="10" xfId="0" applyFont="1" applyFill="1" applyBorder="1" applyAlignment="1">
      <alignment horizontal="center" vertical="center"/>
    </xf>
    <xf numFmtId="0" fontId="2" fillId="8" borderId="11" xfId="0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10" borderId="15" xfId="0" applyFill="1" applyBorder="1" applyAlignment="1">
      <alignment horizontal="center"/>
    </xf>
    <xf numFmtId="0" fontId="0" fillId="10" borderId="17" xfId="0" applyFill="1" applyBorder="1" applyAlignment="1">
      <alignment horizontal="center"/>
    </xf>
    <xf numFmtId="165" fontId="1" fillId="3" borderId="2" xfId="0" applyNumberFormat="1" applyFont="1" applyFill="1" applyBorder="1" applyAlignment="1">
      <alignment horizontal="center" vertical="center" wrapText="1"/>
    </xf>
    <xf numFmtId="165" fontId="1" fillId="3" borderId="21" xfId="0" applyNumberFormat="1" applyFont="1" applyFill="1" applyBorder="1" applyAlignment="1">
      <alignment horizontal="center" vertical="center" wrapText="1"/>
    </xf>
    <xf numFmtId="0" fontId="0" fillId="6" borderId="15" xfId="0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0" fontId="0" fillId="0" borderId="45" xfId="0" applyBorder="1" applyAlignment="1">
      <alignment horizontal="center" vertical="center"/>
    </xf>
    <xf numFmtId="0" fontId="0" fillId="3" borderId="15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9" borderId="15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0" fillId="9" borderId="17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 wrapText="1"/>
    </xf>
    <xf numFmtId="0" fontId="0" fillId="9" borderId="15" xfId="0" applyFill="1" applyBorder="1" applyAlignment="1">
      <alignment vertical="center" wrapText="1"/>
    </xf>
    <xf numFmtId="0" fontId="0" fillId="9" borderId="16" xfId="0" applyFill="1" applyBorder="1" applyAlignment="1">
      <alignment vertical="center" wrapText="1"/>
    </xf>
    <xf numFmtId="0" fontId="0" fillId="9" borderId="17" xfId="0" applyFill="1" applyBorder="1" applyAlignment="1">
      <alignment vertical="center" wrapText="1"/>
    </xf>
    <xf numFmtId="0" fontId="0" fillId="0" borderId="37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9" borderId="0" xfId="0" quotePrefix="1" applyFont="1" applyFill="1" applyAlignment="1">
      <alignment horizontal="left" vertical="center" wrapText="1"/>
    </xf>
  </cellXfs>
  <cellStyles count="1">
    <cellStyle name="Normal" xfId="0" builtinId="0"/>
  </cellStyles>
  <dxfs count="12"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AR32"/>
  <sheetViews>
    <sheetView tabSelected="1" zoomScale="55" zoomScaleNormal="55" workbookViewId="0">
      <selection activeCell="F30" sqref="F30"/>
    </sheetView>
  </sheetViews>
  <sheetFormatPr baseColWidth="10" defaultColWidth="11.453125" defaultRowHeight="14.5" x14ac:dyDescent="0.35"/>
  <cols>
    <col min="1" max="1" width="11.453125" style="2"/>
    <col min="2" max="2" width="16.1796875" style="2" customWidth="1"/>
    <col min="3" max="3" width="11.453125" style="2"/>
    <col min="4" max="4" width="17.81640625" style="2" customWidth="1"/>
    <col min="5" max="8" width="14.1796875" style="2" customWidth="1"/>
    <col min="9" max="9" width="11.453125" style="2" hidden="1" customWidth="1"/>
    <col min="10" max="13" width="16.453125" style="2" hidden="1" customWidth="1"/>
    <col min="14" max="15" width="18.453125" style="2" customWidth="1"/>
    <col min="16" max="19" width="18.453125" style="2" hidden="1" customWidth="1"/>
    <col min="20" max="22" width="11.453125" style="2" hidden="1" customWidth="1"/>
    <col min="23" max="25" width="20.7265625" style="2" hidden="1" customWidth="1"/>
    <col min="26" max="28" width="20.7265625" style="2" customWidth="1"/>
    <col min="29" max="29" width="11.453125" style="2"/>
    <col min="30" max="30" width="11.453125" style="2" hidden="1" customWidth="1"/>
    <col min="31" max="31" width="11.453125" style="2"/>
    <col min="32" max="32" width="11.453125" style="2" hidden="1" customWidth="1"/>
    <col min="33" max="33" width="11.453125" style="2"/>
    <col min="34" max="34" width="11.453125" style="2" hidden="1" customWidth="1"/>
    <col min="35" max="36" width="11.453125" style="2"/>
    <col min="37" max="37" width="0" style="2" hidden="1" customWidth="1"/>
    <col min="38" max="16384" width="11.453125" style="2"/>
  </cols>
  <sheetData>
    <row r="2" spans="2:44" x14ac:dyDescent="0.35">
      <c r="AF2" s="5"/>
      <c r="AG2" s="5"/>
      <c r="AH2" s="5"/>
      <c r="AI2" s="5"/>
    </row>
    <row r="3" spans="2:44" ht="15" thickBot="1" x14ac:dyDescent="0.4">
      <c r="C3" s="4"/>
      <c r="D3" s="4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F3" s="7"/>
      <c r="AG3" s="7"/>
      <c r="AH3" s="7"/>
      <c r="AI3" s="7"/>
    </row>
    <row r="4" spans="2:44" ht="66" customHeight="1" thickBot="1" x14ac:dyDescent="0.4">
      <c r="B4" s="121"/>
      <c r="C4" s="122"/>
      <c r="D4" s="123"/>
      <c r="E4" s="17" t="s">
        <v>23</v>
      </c>
      <c r="F4" s="25" t="s">
        <v>22</v>
      </c>
      <c r="G4" s="18" t="s">
        <v>21</v>
      </c>
      <c r="H4" s="19" t="s">
        <v>24</v>
      </c>
      <c r="I4" s="21" t="s">
        <v>1</v>
      </c>
      <c r="J4" s="22" t="s">
        <v>7</v>
      </c>
      <c r="K4" s="22" t="s">
        <v>19</v>
      </c>
      <c r="L4" s="27" t="s">
        <v>26</v>
      </c>
      <c r="M4" s="27" t="s">
        <v>29</v>
      </c>
      <c r="N4" s="22" t="s">
        <v>18</v>
      </c>
      <c r="O4" s="22" t="s">
        <v>31</v>
      </c>
      <c r="P4" s="27" t="s">
        <v>30</v>
      </c>
      <c r="Q4" s="27" t="s">
        <v>27</v>
      </c>
      <c r="R4" s="27" t="s">
        <v>35</v>
      </c>
      <c r="S4" s="27" t="s">
        <v>36</v>
      </c>
      <c r="T4" s="27" t="s">
        <v>2</v>
      </c>
      <c r="U4" s="27" t="s">
        <v>0</v>
      </c>
      <c r="V4" s="28" t="s">
        <v>16</v>
      </c>
      <c r="W4" s="28" t="s">
        <v>17</v>
      </c>
      <c r="X4" s="28" t="s">
        <v>32</v>
      </c>
      <c r="Y4" s="29" t="s">
        <v>37</v>
      </c>
      <c r="Z4" s="24" t="s">
        <v>33</v>
      </c>
      <c r="AA4" s="24" t="s">
        <v>34</v>
      </c>
      <c r="AB4" s="24" t="s">
        <v>28</v>
      </c>
      <c r="AC4" s="23" t="s">
        <v>8</v>
      </c>
      <c r="AD4" s="8"/>
      <c r="AE4" s="124" t="s">
        <v>6</v>
      </c>
      <c r="AF4" s="125"/>
      <c r="AG4" s="125"/>
      <c r="AH4" s="125"/>
      <c r="AI4" s="126"/>
      <c r="AL4" s="31" t="s">
        <v>38</v>
      </c>
    </row>
    <row r="5" spans="2:44" ht="43.5" x14ac:dyDescent="0.35">
      <c r="B5" s="64" t="str">
        <f>"Semaine " &amp;AL5</f>
        <v>Semaine 20</v>
      </c>
      <c r="C5" s="127" t="s">
        <v>55</v>
      </c>
      <c r="D5" s="91" t="s">
        <v>20</v>
      </c>
      <c r="E5" s="93">
        <v>0.37916666666666665</v>
      </c>
      <c r="F5" s="95">
        <v>0.5131944444444444</v>
      </c>
      <c r="G5" s="97">
        <v>0.5131944444444444</v>
      </c>
      <c r="H5" s="99">
        <v>0.77986111111111101</v>
      </c>
      <c r="I5" s="101">
        <v>0.31111111111111112</v>
      </c>
      <c r="J5" s="86">
        <v>0.32500000000000001</v>
      </c>
      <c r="K5" s="88">
        <v>3.125E-2</v>
      </c>
      <c r="L5" s="76">
        <f t="shared" ref="L5" si="0">K5*24</f>
        <v>0.75</v>
      </c>
      <c r="M5" s="85">
        <f t="shared" ref="M5" si="1">G5-F5</f>
        <v>0</v>
      </c>
      <c r="N5" s="82">
        <f t="shared" ref="N5" si="2">IF(M5&lt;0.75,IF(G5=0,0,G5-F5),K5)</f>
        <v>0</v>
      </c>
      <c r="O5" s="82">
        <f>IF(P5&lt;0,0,P5/24)</f>
        <v>0</v>
      </c>
      <c r="P5" s="84" t="str">
        <f>IF(N5=0,"0",K5*24-N5*24)</f>
        <v>0</v>
      </c>
      <c r="Q5" s="76">
        <f>N5*24</f>
        <v>0</v>
      </c>
      <c r="R5" s="76">
        <f>IF(P5&lt;0,Q5,Q5+P5)</f>
        <v>0</v>
      </c>
      <c r="S5" s="76">
        <f>IF(R5&lt;=0.75,K5,R5/24)</f>
        <v>3.125E-2</v>
      </c>
      <c r="T5" s="74">
        <f>E5*24</f>
        <v>9.1</v>
      </c>
      <c r="U5" s="76">
        <f>IF(Q5&gt;0.75, T5+J5*24+N5*24,T5+J5*24+K5*24)</f>
        <v>17.649999999999999</v>
      </c>
      <c r="V5" s="78">
        <f>IF(H5=0,24*(F5-E5)-(I5*24+1/6),(24*(H5-E5)-((S5*24)+(J5*24))))</f>
        <v>1.0666666666666629</v>
      </c>
      <c r="W5" s="71">
        <f>IF(V5=-7.8,0,IF(V5&gt;=0,0,IF(V5&lt;0,ABS(V5)/24,"0")))</f>
        <v>0</v>
      </c>
      <c r="X5" s="71">
        <f>IF(V5&lt;0,"0",ABS(V5)/24)</f>
        <v>4.4444444444444287E-2</v>
      </c>
      <c r="Y5" s="80">
        <f>IF(V5&lt;-7.63,0,SUM(V5))</f>
        <v>1.0666666666666629</v>
      </c>
      <c r="Z5" s="69">
        <f>IF(E5=0,"Heure d'arrivée non rentrée",IF((F5=0),"heure de départ en pause repas non rentrée",IF(G5=0,"Heure de fin de repas non rentrée",IF(H5=0,"Heure de sortie non rentrée",IF(Y5&lt;0,ABS(Y5)/24,0)))))</f>
        <v>0</v>
      </c>
      <c r="AA5" s="71">
        <f>IF(E5=0,"Heure d'arrivée non rentrée",IF((F5=0),"heure de départ en pause repas non rentrée",IF(G5=0,"Heure de fin de repas non rentrée",IF(H5=0,"Heure de sortie non rentrée",IF(Y5&gt;0,ABS(Y5)/24,0)))))</f>
        <v>4.4444444444444287E-2</v>
      </c>
      <c r="AB5" s="71">
        <f>IF(E5=0,0,IF(F5=0, "Heure de repas non rentrée",IF(G5=0, F5-E5, IF(H5=0,"Heure de sortie non rentrée",IF(W5=0,(I5+X5),I5-W5)))))</f>
        <v>0.3555555555555554</v>
      </c>
      <c r="AC5" s="72">
        <f>IF(U5=8.55,0,U5/24)</f>
        <v>0.73541666666666661</v>
      </c>
      <c r="AD5" s="3" t="s">
        <v>3</v>
      </c>
      <c r="AE5" s="1" t="s">
        <v>3</v>
      </c>
      <c r="AF5" s="1" t="s">
        <v>4</v>
      </c>
      <c r="AG5" s="1" t="s">
        <v>4</v>
      </c>
      <c r="AH5" s="1" t="s">
        <v>5</v>
      </c>
      <c r="AI5" s="9" t="s">
        <v>5</v>
      </c>
      <c r="AK5" s="119"/>
      <c r="AL5" s="33">
        <v>20</v>
      </c>
      <c r="AO5" s="30"/>
      <c r="AQ5" s="34"/>
      <c r="AR5" s="34"/>
    </row>
    <row r="6" spans="2:44" ht="15.75" customHeight="1" thickBot="1" x14ac:dyDescent="0.4">
      <c r="B6" s="65"/>
      <c r="C6" s="128"/>
      <c r="D6" s="92"/>
      <c r="E6" s="94"/>
      <c r="F6" s="96"/>
      <c r="G6" s="98"/>
      <c r="H6" s="100"/>
      <c r="I6" s="102"/>
      <c r="J6" s="87"/>
      <c r="K6" s="87"/>
      <c r="L6" s="77"/>
      <c r="M6" s="77"/>
      <c r="N6" s="83"/>
      <c r="O6" s="83"/>
      <c r="P6" s="77"/>
      <c r="Q6" s="77"/>
      <c r="R6" s="77"/>
      <c r="S6" s="77"/>
      <c r="T6" s="75"/>
      <c r="U6" s="77"/>
      <c r="V6" s="79"/>
      <c r="W6" s="70"/>
      <c r="X6" s="70"/>
      <c r="Y6" s="81"/>
      <c r="Z6" s="70"/>
      <c r="AA6" s="70"/>
      <c r="AB6" s="70"/>
      <c r="AC6" s="73"/>
      <c r="AD6" s="14">
        <f>IF(AC5=0,0,AC5*24 + 0.5)</f>
        <v>18.149999999999999</v>
      </c>
      <c r="AE6" s="11">
        <f>AD6/24</f>
        <v>0.75624999999999998</v>
      </c>
      <c r="AF6" s="10">
        <f>IF(AD6=0,0,AD6+0.5)</f>
        <v>18.649999999999999</v>
      </c>
      <c r="AG6" s="12">
        <f>IF(AF6=0,0,AF6/24)</f>
        <v>0.77708333333333324</v>
      </c>
      <c r="AH6" s="10">
        <f>IF(AD6=0,0,AD6+1.5)</f>
        <v>19.649999999999999</v>
      </c>
      <c r="AI6" s="13">
        <f>AH6/24</f>
        <v>0.81874999999999998</v>
      </c>
      <c r="AK6" s="119"/>
      <c r="AL6" s="32"/>
    </row>
    <row r="7" spans="2:44" ht="43.5" x14ac:dyDescent="0.35">
      <c r="B7" s="65"/>
      <c r="C7" s="89" t="s">
        <v>11</v>
      </c>
      <c r="D7" s="91" t="s">
        <v>20</v>
      </c>
      <c r="E7" s="93">
        <v>0.37916666666666665</v>
      </c>
      <c r="F7" s="95">
        <v>0.5131944444444444</v>
      </c>
      <c r="G7" s="97">
        <v>0.5131944444444444</v>
      </c>
      <c r="H7" s="99">
        <v>0.77986111111111101</v>
      </c>
      <c r="I7" s="101">
        <v>0.31111111111111112</v>
      </c>
      <c r="J7" s="86">
        <v>0.32500000000000001</v>
      </c>
      <c r="K7" s="88">
        <v>3.125E-2</v>
      </c>
      <c r="L7" s="76">
        <f t="shared" ref="L7" si="3">K7*24</f>
        <v>0.75</v>
      </c>
      <c r="M7" s="85">
        <f t="shared" ref="M7" si="4">G7-F7</f>
        <v>0</v>
      </c>
      <c r="N7" s="82">
        <f t="shared" ref="N7" si="5">IF(M7&lt;0.75,IF(G7=0,0,G7-F7),K7)</f>
        <v>0</v>
      </c>
      <c r="O7" s="82">
        <f>IF(P7&lt;0,0,P7/24)</f>
        <v>0</v>
      </c>
      <c r="P7" s="84" t="str">
        <f>IF(N7=0,"0",K7*24-N7*24)</f>
        <v>0</v>
      </c>
      <c r="Q7" s="76">
        <f>N7*24</f>
        <v>0</v>
      </c>
      <c r="R7" s="76">
        <f>IF(P7&lt;0,Q7,Q7+P7)</f>
        <v>0</v>
      </c>
      <c r="S7" s="76">
        <f>IF(R7&lt;=0.75,K7,R7/24)</f>
        <v>3.125E-2</v>
      </c>
      <c r="T7" s="74">
        <f>E7*24</f>
        <v>9.1</v>
      </c>
      <c r="U7" s="76">
        <f>IF(Q7&gt;0.75, T7+J7*24+N7*24,T7+J7*24+K7*24)</f>
        <v>17.649999999999999</v>
      </c>
      <c r="V7" s="78">
        <f>IF(H7=0,24*(F7-E7)-(I7*24+1/6),(24*(H7-E7)-((S7*24)+(J7*24))))</f>
        <v>1.0666666666666629</v>
      </c>
      <c r="W7" s="71">
        <f>IF(V7&lt;=-7.8,0,IF(V7&gt;=0,0,IF(V7&lt;0,ABS(V7)/24,"0")))</f>
        <v>0</v>
      </c>
      <c r="X7" s="71">
        <f>IF(V7&lt;0,"0",ABS(V7)/24)</f>
        <v>4.4444444444444287E-2</v>
      </c>
      <c r="Y7" s="80">
        <f>IF(V7&lt;-7.63,0,SUM(V5:V8))</f>
        <v>2.1333333333333258</v>
      </c>
      <c r="Z7" s="69">
        <f t="shared" ref="Z7" si="6">IF(E7=0,"Heure d'arrivée non rentrée",IF((F7=0),"heure de départ en pause repas non rentrée",IF(G7=0,"Heure de fin de repas non rentrée",IF(H7=0,"Heure de sortie non rentrée",IF(Y7&lt;0,ABS(Y7)/24,0)))))</f>
        <v>0</v>
      </c>
      <c r="AA7" s="71">
        <f>IF(E7=0,"Heure d'arrivée non rentrée",IF((F7=0),"heure de départ en pause repas non rentrée",IF(G7=0,"Heure de fin de repas non rentrée",IF(H7=0,"Heure de sortie non rentrée",IF(Y7&gt;0,ABS(Y7)/24,0)))))</f>
        <v>8.8888888888888573E-2</v>
      </c>
      <c r="AB7" s="71">
        <f>IF(E7=0,0,IF(F7=0, "Heure de repas non rentrée",IF(G7=0, F7-E7, IF(H7=0,"Heure de sortie non rentrée",IF(W7=0,(I7+X7),I7-W7)))))</f>
        <v>0.3555555555555554</v>
      </c>
      <c r="AC7" s="72">
        <f>IF(U7=8.55,0,U7/24)</f>
        <v>0.73541666666666661</v>
      </c>
      <c r="AD7" s="3" t="s">
        <v>3</v>
      </c>
      <c r="AE7" s="1" t="s">
        <v>3</v>
      </c>
      <c r="AF7" s="1" t="s">
        <v>4</v>
      </c>
      <c r="AG7" s="1" t="s">
        <v>4</v>
      </c>
      <c r="AH7" s="1" t="s">
        <v>5</v>
      </c>
      <c r="AI7" s="9" t="s">
        <v>5</v>
      </c>
      <c r="AK7" s="120"/>
      <c r="AL7" s="32"/>
    </row>
    <row r="8" spans="2:44" ht="15.75" customHeight="1" thickBot="1" x14ac:dyDescent="0.4">
      <c r="B8" s="65"/>
      <c r="C8" s="90"/>
      <c r="D8" s="92"/>
      <c r="E8" s="94"/>
      <c r="F8" s="96"/>
      <c r="G8" s="98"/>
      <c r="H8" s="100"/>
      <c r="I8" s="102"/>
      <c r="J8" s="87"/>
      <c r="K8" s="87"/>
      <c r="L8" s="77"/>
      <c r="M8" s="77"/>
      <c r="N8" s="83"/>
      <c r="O8" s="83"/>
      <c r="P8" s="77"/>
      <c r="Q8" s="77"/>
      <c r="R8" s="77"/>
      <c r="S8" s="77"/>
      <c r="T8" s="75"/>
      <c r="U8" s="77"/>
      <c r="V8" s="79"/>
      <c r="W8" s="70"/>
      <c r="X8" s="70"/>
      <c r="Y8" s="81"/>
      <c r="Z8" s="70"/>
      <c r="AA8" s="70"/>
      <c r="AB8" s="70"/>
      <c r="AC8" s="73"/>
      <c r="AD8" s="14">
        <f>IF(AC7=0,0,AC7*24 + 0.5)</f>
        <v>18.149999999999999</v>
      </c>
      <c r="AE8" s="11">
        <f>AD8/24</f>
        <v>0.75624999999999998</v>
      </c>
      <c r="AF8" s="10">
        <f>IF(AD8=0,0,AD8+0.5)</f>
        <v>18.649999999999999</v>
      </c>
      <c r="AG8" s="12">
        <f>IF(AF8=0,0,AF8/24)</f>
        <v>0.77708333333333324</v>
      </c>
      <c r="AH8" s="10">
        <f>IF(AD8=0,0,AD8+1.5)</f>
        <v>19.649999999999999</v>
      </c>
      <c r="AI8" s="13">
        <f>AH8/24</f>
        <v>0.81874999999999998</v>
      </c>
      <c r="AK8" s="120"/>
      <c r="AL8" s="32"/>
      <c r="AM8" s="35"/>
    </row>
    <row r="9" spans="2:44" ht="43.5" x14ac:dyDescent="0.35">
      <c r="B9" s="65"/>
      <c r="C9" s="89" t="s">
        <v>12</v>
      </c>
      <c r="D9" s="91" t="s">
        <v>20</v>
      </c>
      <c r="E9" s="93">
        <v>0.37916666666666665</v>
      </c>
      <c r="F9" s="95">
        <v>0.5131944444444444</v>
      </c>
      <c r="G9" s="97">
        <v>0.5131944444444444</v>
      </c>
      <c r="H9" s="99">
        <v>0.77986111111111101</v>
      </c>
      <c r="I9" s="101">
        <v>0.31111111111111112</v>
      </c>
      <c r="J9" s="86">
        <v>0.32500000000000001</v>
      </c>
      <c r="K9" s="88">
        <v>3.125E-2</v>
      </c>
      <c r="L9" s="76">
        <f t="shared" ref="L9" si="7">K9*24</f>
        <v>0.75</v>
      </c>
      <c r="M9" s="85">
        <f t="shared" ref="M9" si="8">G9-F9</f>
        <v>0</v>
      </c>
      <c r="N9" s="82">
        <f t="shared" ref="N9" si="9">IF(M9&lt;0.75,IF(G9=0,0,G9-F9),K9)</f>
        <v>0</v>
      </c>
      <c r="O9" s="82">
        <f t="shared" ref="O9" si="10">IF(P9&lt;0,0,P9/24)</f>
        <v>0</v>
      </c>
      <c r="P9" s="84" t="str">
        <f>IF(N9=0,"0",K9*24-N9*24)</f>
        <v>0</v>
      </c>
      <c r="Q9" s="76">
        <f>N9*24</f>
        <v>0</v>
      </c>
      <c r="R9" s="76">
        <f t="shared" ref="R9" si="11">IF(P9&lt;0,Q9,Q9+P9)</f>
        <v>0</v>
      </c>
      <c r="S9" s="76">
        <f>IF(R9&lt;=0.75,K9,R9/24)</f>
        <v>3.125E-2</v>
      </c>
      <c r="T9" s="74">
        <f>E9*24</f>
        <v>9.1</v>
      </c>
      <c r="U9" s="76">
        <f>IF(Q9&gt;0.75, T9+J9*24+N9*24,T9+J9*24+K9*24)</f>
        <v>17.649999999999999</v>
      </c>
      <c r="V9" s="117">
        <f>IF(H9=0,24*(F9-E9)-(I9*24+1/6),(24*(H9-E9)-((S9*24)+(J9*24))))</f>
        <v>1.0666666666666629</v>
      </c>
      <c r="W9" s="71">
        <f>IF(V9&lt;=-7.63,0,IF(V9&gt;=0,0,IF(V9&lt;0,ABS(V9)/24,"0")))</f>
        <v>0</v>
      </c>
      <c r="X9" s="71">
        <f t="shared" ref="X9" si="12">IF(V9&lt;0,"0",ABS(V9)/24)</f>
        <v>4.4444444444444287E-2</v>
      </c>
      <c r="Y9" s="80">
        <f>IF(V9&lt;-7.63,0,SUM(V1:V10))</f>
        <v>3.1999999999999886</v>
      </c>
      <c r="Z9" s="69">
        <f t="shared" ref="Z9" si="13">IF(E9=0,"Heure d'arrivée non rentrée",IF((F9=0),"heure de départ en pause repas non rentrée",IF(G9=0,"Heure de fin de repas non rentrée",IF(H9=0,"Heure de sortie non rentrée",IF(Y9&lt;0,ABS(Y9)/24,0)))))</f>
        <v>0</v>
      </c>
      <c r="AA9" s="71">
        <f>IF(E9=0,"Heure d'arrivée non rentrée",IF((F9=0),"heure de départ en pause repas non rentrée",IF(G9=0,"Heure de fin de repas non rentrée",IF(H9=0,"Heure de sortie non rentrée",IF(Y9&gt;0,ABS(Y9)/24,0)))))</f>
        <v>0.13333333333333286</v>
      </c>
      <c r="AB9" s="71">
        <f>IF(E9=0,0,IF(F9=0, "Heure de repas non rentrée",IF(G9=0, F9-E9, IF(H9=0,"Heure de sortie non rentrée",IF(W9=0,(I9+X9),I9-W9)))))</f>
        <v>0.3555555555555554</v>
      </c>
      <c r="AC9" s="72">
        <f>IF(U9=8.55,0,U9/24)</f>
        <v>0.73541666666666661</v>
      </c>
      <c r="AD9" s="3" t="s">
        <v>3</v>
      </c>
      <c r="AE9" s="1" t="s">
        <v>3</v>
      </c>
      <c r="AF9" s="1" t="s">
        <v>4</v>
      </c>
      <c r="AG9" s="1" t="s">
        <v>4</v>
      </c>
      <c r="AH9" s="1" t="s">
        <v>5</v>
      </c>
      <c r="AI9" s="9" t="s">
        <v>5</v>
      </c>
      <c r="AJ9" s="30"/>
      <c r="AK9" s="115"/>
      <c r="AL9" s="32"/>
    </row>
    <row r="10" spans="2:44" ht="15.75" customHeight="1" thickBot="1" x14ac:dyDescent="0.4">
      <c r="B10" s="65"/>
      <c r="C10" s="90"/>
      <c r="D10" s="92"/>
      <c r="E10" s="94"/>
      <c r="F10" s="96"/>
      <c r="G10" s="98"/>
      <c r="H10" s="100"/>
      <c r="I10" s="102"/>
      <c r="J10" s="87"/>
      <c r="K10" s="87"/>
      <c r="L10" s="77"/>
      <c r="M10" s="77"/>
      <c r="N10" s="83"/>
      <c r="O10" s="83"/>
      <c r="P10" s="77"/>
      <c r="Q10" s="77"/>
      <c r="R10" s="77"/>
      <c r="S10" s="77"/>
      <c r="T10" s="75"/>
      <c r="U10" s="77"/>
      <c r="V10" s="118"/>
      <c r="W10" s="70"/>
      <c r="X10" s="70"/>
      <c r="Y10" s="81"/>
      <c r="Z10" s="70"/>
      <c r="AA10" s="70"/>
      <c r="AB10" s="70"/>
      <c r="AC10" s="73"/>
      <c r="AD10" s="14">
        <f>IF(AC9=0,0,AC9*24 + 0.5)</f>
        <v>18.149999999999999</v>
      </c>
      <c r="AE10" s="11">
        <f>AD10/24</f>
        <v>0.75624999999999998</v>
      </c>
      <c r="AF10" s="10">
        <f>IF(AD10=0,0,AD10+0.5)</f>
        <v>18.649999999999999</v>
      </c>
      <c r="AG10" s="12">
        <f>IF(AF10=0,0,AF10/24)</f>
        <v>0.77708333333333324</v>
      </c>
      <c r="AH10" s="10">
        <f>IF(AD10=0,0,AD10+1.5)</f>
        <v>19.649999999999999</v>
      </c>
      <c r="AI10" s="13">
        <f>AH10/24</f>
        <v>0.81874999999999998</v>
      </c>
      <c r="AK10" s="115"/>
      <c r="AL10" s="32"/>
    </row>
    <row r="11" spans="2:44" ht="43.5" x14ac:dyDescent="0.35">
      <c r="B11" s="65"/>
      <c r="C11" s="89" t="s">
        <v>13</v>
      </c>
      <c r="D11" s="91" t="s">
        <v>20</v>
      </c>
      <c r="E11" s="93">
        <v>0.37916666666666665</v>
      </c>
      <c r="F11" s="95">
        <v>0.5131944444444444</v>
      </c>
      <c r="G11" s="97">
        <v>0.5131944444444444</v>
      </c>
      <c r="H11" s="99">
        <v>0.77986111111111101</v>
      </c>
      <c r="I11" s="101">
        <v>0.31111111111111112</v>
      </c>
      <c r="J11" s="86">
        <v>0.32500000000000001</v>
      </c>
      <c r="K11" s="88">
        <v>3.125E-2</v>
      </c>
      <c r="L11" s="76">
        <f t="shared" ref="L11" si="14">K11*24</f>
        <v>0.75</v>
      </c>
      <c r="M11" s="85">
        <f t="shared" ref="M11" si="15">G11-F11</f>
        <v>0</v>
      </c>
      <c r="N11" s="82">
        <f t="shared" ref="N11" si="16">IF(M11&lt;0.75,IF(G11=0,0,G11-F11),K11)</f>
        <v>0</v>
      </c>
      <c r="O11" s="82">
        <f t="shared" ref="O11" si="17">IF(P11&lt;0,0,P11/24)</f>
        <v>0</v>
      </c>
      <c r="P11" s="84" t="str">
        <f>IF(N11=0,"0",K11*24-N11*24)</f>
        <v>0</v>
      </c>
      <c r="Q11" s="76">
        <f>N11*24</f>
        <v>0</v>
      </c>
      <c r="R11" s="76">
        <f t="shared" ref="R11" si="18">IF(P11&lt;0,Q11,Q11+P11)</f>
        <v>0</v>
      </c>
      <c r="S11" s="76">
        <f>IF(R11&lt;=0.75,K11,R11/24)</f>
        <v>3.125E-2</v>
      </c>
      <c r="T11" s="74">
        <f>E11*24</f>
        <v>9.1</v>
      </c>
      <c r="U11" s="76">
        <f>IF(Q11&gt;0.75, T11+J11*24+N11*24,T11+J11*24+K11*24)</f>
        <v>17.649999999999999</v>
      </c>
      <c r="V11" s="78">
        <f>IF(H11=0,24*(F11-E11)-(I11*24+1/6),(24*(H11-E11)-((S11*24)+(J11*24))))</f>
        <v>1.0666666666666629</v>
      </c>
      <c r="W11" s="71">
        <f t="shared" ref="W11" si="19">IF(V11&lt;=-7.63,0,IF(V11&gt;=0,0,IF(V11&lt;0,ABS(V11)/24,"0")))</f>
        <v>0</v>
      </c>
      <c r="X11" s="71">
        <f t="shared" ref="X11" si="20">IF(V11&lt;0,"0",ABS(V11)/24)</f>
        <v>4.4444444444444287E-2</v>
      </c>
      <c r="Y11" s="80">
        <f>IF(V11&lt;-7.63,0,SUM(V5:V12))</f>
        <v>4.2666666666666515</v>
      </c>
      <c r="Z11" s="69">
        <f>IF(E11=0,"Heure d'arrivée non rentrée",IF((F11=0),"heure de départ en pause repas non rentrée",IF(G11=0,"Heure de fin de repas non rentrée",IF(H11=0,"Heure de sortie non rentrée",IF(Y11&lt;0,ABS(Y11)/24,0)))))</f>
        <v>0</v>
      </c>
      <c r="AA11" s="71">
        <f>IF(E11=0,"Heure d'arrivée non rentrée",IF((F11=0),"heure de départ en pause repas non rentrée",IF(G11=0,"Heure de fin de repas non rentrée",IF(H11=0,"Heure de sortie non rentrée",IF(Y11&gt;0,ABS(Y11)/24,0)))))</f>
        <v>0.17777777777777715</v>
      </c>
      <c r="AB11" s="71">
        <f>IF(E11=0,0,IF(F11=0, "Heure de repas non rentrée",IF(G11=0, F11-E11, IF(H11=0,"Heure de sortie non rentrée",IF(W11=0,(I11+X11),I11-W11)))))</f>
        <v>0.3555555555555554</v>
      </c>
      <c r="AC11" s="72">
        <f>IF(U11=8.55,0,U11/24)</f>
        <v>0.73541666666666661</v>
      </c>
      <c r="AD11" s="3" t="s">
        <v>3</v>
      </c>
      <c r="AE11" s="1" t="s">
        <v>3</v>
      </c>
      <c r="AF11" s="1" t="s">
        <v>4</v>
      </c>
      <c r="AG11" s="1" t="s">
        <v>4</v>
      </c>
      <c r="AH11" s="1" t="s">
        <v>5</v>
      </c>
      <c r="AI11" s="9" t="s">
        <v>5</v>
      </c>
      <c r="AK11" s="116"/>
      <c r="AL11" s="32"/>
    </row>
    <row r="12" spans="2:44" ht="15.75" customHeight="1" thickBot="1" x14ac:dyDescent="0.4">
      <c r="B12" s="65"/>
      <c r="C12" s="90"/>
      <c r="D12" s="92"/>
      <c r="E12" s="94"/>
      <c r="F12" s="96"/>
      <c r="G12" s="98"/>
      <c r="H12" s="100"/>
      <c r="I12" s="102"/>
      <c r="J12" s="87"/>
      <c r="K12" s="87"/>
      <c r="L12" s="77"/>
      <c r="M12" s="77"/>
      <c r="N12" s="83"/>
      <c r="O12" s="83"/>
      <c r="P12" s="77"/>
      <c r="Q12" s="77"/>
      <c r="R12" s="77"/>
      <c r="S12" s="77"/>
      <c r="T12" s="75"/>
      <c r="U12" s="77"/>
      <c r="V12" s="79"/>
      <c r="W12" s="70"/>
      <c r="X12" s="70"/>
      <c r="Y12" s="81"/>
      <c r="Z12" s="70"/>
      <c r="AA12" s="70"/>
      <c r="AB12" s="70"/>
      <c r="AC12" s="73"/>
      <c r="AD12" s="14">
        <f>IF(AC11=0,0,AC11*24 + 0.5)</f>
        <v>18.149999999999999</v>
      </c>
      <c r="AE12" s="11">
        <f>AD12/24</f>
        <v>0.75624999999999998</v>
      </c>
      <c r="AF12" s="10">
        <f>IF(AD12=0,0,AD12+0.5)</f>
        <v>18.649999999999999</v>
      </c>
      <c r="AG12" s="12">
        <f>IF(AF12=0,0,AF12/24)</f>
        <v>0.77708333333333324</v>
      </c>
      <c r="AH12" s="10">
        <f>IF(AD12=0,0,AD12+1.5)</f>
        <v>19.649999999999999</v>
      </c>
      <c r="AI12" s="13">
        <f>AH12/24</f>
        <v>0.81874999999999998</v>
      </c>
      <c r="AK12" s="116"/>
      <c r="AL12" s="32"/>
      <c r="AM12" s="30"/>
      <c r="AP12" s="30"/>
    </row>
    <row r="13" spans="2:44" ht="43.5" x14ac:dyDescent="0.35">
      <c r="B13" s="65"/>
      <c r="C13" s="89" t="s">
        <v>14</v>
      </c>
      <c r="D13" s="91" t="s">
        <v>20</v>
      </c>
      <c r="E13" s="93">
        <v>0.37916666666666665</v>
      </c>
      <c r="F13" s="95">
        <v>0.5131944444444444</v>
      </c>
      <c r="G13" s="97">
        <v>0.5131944444444444</v>
      </c>
      <c r="H13" s="99">
        <v>0.77986111111111101</v>
      </c>
      <c r="I13" s="101">
        <v>0.31111111111111112</v>
      </c>
      <c r="J13" s="86">
        <v>0.32500000000000001</v>
      </c>
      <c r="K13" s="88">
        <v>3.125E-2</v>
      </c>
      <c r="L13" s="76">
        <f t="shared" ref="L13" si="21">K13*24</f>
        <v>0.75</v>
      </c>
      <c r="M13" s="85">
        <f t="shared" ref="M13" si="22">G13-F13</f>
        <v>0</v>
      </c>
      <c r="N13" s="82">
        <f t="shared" ref="N13" si="23">IF(M13&lt;0.75,IF(G13=0,0,G13-F13),K13)</f>
        <v>0</v>
      </c>
      <c r="O13" s="82">
        <f t="shared" ref="O13" si="24">IF(P13&lt;0,0,P13/24)</f>
        <v>0</v>
      </c>
      <c r="P13" s="84" t="str">
        <f>IF(N13=0,"0",K13*24-N13*24)</f>
        <v>0</v>
      </c>
      <c r="Q13" s="76">
        <f>N13*24</f>
        <v>0</v>
      </c>
      <c r="R13" s="76">
        <f t="shared" ref="R13" si="25">IF(P13&lt;0,Q13,Q13+P13)</f>
        <v>0</v>
      </c>
      <c r="S13" s="76">
        <f>IF(R13&lt;=0.75,K13,R13/24)</f>
        <v>3.125E-2</v>
      </c>
      <c r="T13" s="74">
        <f>E13*24</f>
        <v>9.1</v>
      </c>
      <c r="U13" s="76">
        <f>IF(Q13&gt;0.75, T13+J13*24+N13*24,T13+J13*24+K13*24)</f>
        <v>17.649999999999999</v>
      </c>
      <c r="V13" s="78">
        <f>IF(H13=0,24*(F13-E13)-(I13*24+1/6),(24*(H13-E13)-((S13*24)+(J13*24))))</f>
        <v>1.0666666666666629</v>
      </c>
      <c r="W13" s="71">
        <f t="shared" ref="W13" si="26">IF(V13&lt;=-7.63,0,IF(V13&gt;=0,0,IF(V13&lt;0,ABS(V13)/24,"0")))</f>
        <v>0</v>
      </c>
      <c r="X13" s="71">
        <f t="shared" ref="X13" si="27">IF(V13&lt;0,"0",ABS(V13)/24)</f>
        <v>4.4444444444444287E-2</v>
      </c>
      <c r="Y13" s="80">
        <f>IF(V13&lt;-7.63,0,SUM(V5:V14))</f>
        <v>5.3333333333333144</v>
      </c>
      <c r="Z13" s="69">
        <f>IF(E13=0,"Heure d'arrivée non rentrée",IF((F13=0),"heure de départ en pause repas non rentrée",IF(G13=0,"Heure de fin de repas non rentrée",IF(H13=0,"Heure de sortie non rentrée",IF(Y13&lt;0,ABS(Y13)/24,0)))))</f>
        <v>0</v>
      </c>
      <c r="AA13" s="71">
        <f>IF(E13=0,"Heure d'arrivée non rentrée",IF((F13=0),"heure de départ en pause repas non rentrée",IF(G13=0,"Heure de fin de repas non rentrée",IF(H13=0,"Heure de sortie non rentrée",IF(Y13&gt;0,ABS(Y13)/24,0)))))</f>
        <v>0.22222222222222143</v>
      </c>
      <c r="AB13" s="71">
        <f t="shared" ref="AB13" si="28">IF(E13=0,0,IF(F13=0, "Heure de repas non rentrée",IF(G13=0, F13-E13, IF(H13=0,"Heure de sortie non rentrée",IF(W13=0,(I13+X13),I13-W13)))))</f>
        <v>0.3555555555555554</v>
      </c>
      <c r="AC13" s="72">
        <f>IF(U13=8.55,0,U13/24)</f>
        <v>0.73541666666666661</v>
      </c>
      <c r="AD13" s="3" t="s">
        <v>3</v>
      </c>
      <c r="AE13" s="1" t="s">
        <v>3</v>
      </c>
      <c r="AF13" s="1" t="s">
        <v>4</v>
      </c>
      <c r="AG13" s="1" t="s">
        <v>4</v>
      </c>
      <c r="AH13" s="1" t="s">
        <v>5</v>
      </c>
      <c r="AI13" s="9" t="s">
        <v>5</v>
      </c>
      <c r="AK13" s="114"/>
      <c r="AL13" s="36"/>
    </row>
    <row r="14" spans="2:44" ht="15.75" customHeight="1" thickBot="1" x14ac:dyDescent="0.4">
      <c r="B14" s="66"/>
      <c r="C14" s="90"/>
      <c r="D14" s="92"/>
      <c r="E14" s="94"/>
      <c r="F14" s="96"/>
      <c r="G14" s="98"/>
      <c r="H14" s="100"/>
      <c r="I14" s="102"/>
      <c r="J14" s="87"/>
      <c r="K14" s="87"/>
      <c r="L14" s="77"/>
      <c r="M14" s="77"/>
      <c r="N14" s="83"/>
      <c r="O14" s="83"/>
      <c r="P14" s="77"/>
      <c r="Q14" s="77"/>
      <c r="R14" s="77"/>
      <c r="S14" s="77"/>
      <c r="T14" s="75"/>
      <c r="U14" s="77"/>
      <c r="V14" s="79"/>
      <c r="W14" s="70"/>
      <c r="X14" s="70"/>
      <c r="Y14" s="81"/>
      <c r="Z14" s="70"/>
      <c r="AA14" s="70"/>
      <c r="AB14" s="70"/>
      <c r="AC14" s="73"/>
      <c r="AD14" s="14">
        <f>IF(AC13=0,0,AC13*24 + 0.5)</f>
        <v>18.149999999999999</v>
      </c>
      <c r="AE14" s="11">
        <f>AD14/24</f>
        <v>0.75624999999999998</v>
      </c>
      <c r="AF14" s="10">
        <f>IF(AD14=0,0,AD14+0.5)</f>
        <v>18.649999999999999</v>
      </c>
      <c r="AG14" s="12">
        <f>IF(AF14=0,0,AF14/24)</f>
        <v>0.77708333333333324</v>
      </c>
      <c r="AH14" s="10">
        <f>IF(AD14=0,0,AD14+1.5)</f>
        <v>19.649999999999999</v>
      </c>
      <c r="AI14" s="13">
        <f>AH14/24</f>
        <v>0.81874999999999998</v>
      </c>
      <c r="AK14" s="114"/>
      <c r="AL14" s="32"/>
    </row>
    <row r="15" spans="2:44" ht="43.5" x14ac:dyDescent="0.35">
      <c r="B15" s="64" t="str">
        <f>"Semaine " &amp;AL15</f>
        <v>Semaine 21</v>
      </c>
      <c r="C15" s="103" t="s">
        <v>9</v>
      </c>
      <c r="D15" s="91" t="s">
        <v>20</v>
      </c>
      <c r="E15" s="93">
        <v>0.37916666666666665</v>
      </c>
      <c r="F15" s="95">
        <v>0.5131944444444444</v>
      </c>
      <c r="G15" s="97">
        <v>0.5131944444444444</v>
      </c>
      <c r="H15" s="99">
        <v>0.77986111111111101</v>
      </c>
      <c r="I15" s="101">
        <v>0.31111111111111112</v>
      </c>
      <c r="J15" s="86">
        <v>0.32500000000000001</v>
      </c>
      <c r="K15" s="88">
        <v>3.125E-2</v>
      </c>
      <c r="L15" s="76">
        <f t="shared" ref="L15:L17" si="29">K15*24</f>
        <v>0.75</v>
      </c>
      <c r="M15" s="85">
        <f t="shared" ref="M15:M17" si="30">G15-F15</f>
        <v>0</v>
      </c>
      <c r="N15" s="82">
        <f t="shared" ref="N15:N17" si="31">IF(M15&lt;0.75,IF(G15=0,0,G15-F15),K15)</f>
        <v>0</v>
      </c>
      <c r="O15" s="82">
        <f t="shared" ref="O15:O17" si="32">IF(P15&lt;0,0,P15/24)</f>
        <v>0</v>
      </c>
      <c r="P15" s="84" t="str">
        <f>IF(N15=0,"0",K15*24-N15*24)</f>
        <v>0</v>
      </c>
      <c r="Q15" s="76">
        <f>N15*24</f>
        <v>0</v>
      </c>
      <c r="R15" s="76">
        <f t="shared" ref="R15" si="33">IF(P15&lt;0,Q15,Q15+P15)</f>
        <v>0</v>
      </c>
      <c r="S15" s="76">
        <f>IF(R15&lt;=0.75,K15,R15/24)</f>
        <v>3.125E-2</v>
      </c>
      <c r="T15" s="74">
        <f>E15*24</f>
        <v>9.1</v>
      </c>
      <c r="U15" s="76">
        <f>IF(Q15&gt;0.75, T15+J15*24+N15*24,T15+J15*24+K15*24)</f>
        <v>17.649999999999999</v>
      </c>
      <c r="V15" s="78">
        <f>IF(H15=0,24*(F15-E15)-(I15*24+1/6),(24*(H15-E15)-((S15*24)+(J15*24))))</f>
        <v>1.0666666666666629</v>
      </c>
      <c r="W15" s="71">
        <f t="shared" ref="W15" si="34">IF(V15&lt;=-7.63,0,IF(V15&gt;=0,0,IF(V15&lt;0,ABS(V15)/24,"0")))</f>
        <v>0</v>
      </c>
      <c r="X15" s="71">
        <f t="shared" ref="X15" si="35">IF(V15&lt;0,"0",ABS(V15)/24)</f>
        <v>4.4444444444444287E-2</v>
      </c>
      <c r="Y15" s="80">
        <f>IF(V15&lt;-7.63,0,SUM(V5:V16))</f>
        <v>6.3999999999999773</v>
      </c>
      <c r="Z15" s="69">
        <f t="shared" ref="Z15" si="36">IF(E15=0,"Heure d'arrivée non rentrée",IF((F15=0),"heure de départ en pause repas non rentrée",IF(G15=0,"Heure de fin de repas non rentrée",IF(H15=0,"Heure de sortie non rentrée",IF(Y15&lt;0,ABS(Y15)/24,0)))))</f>
        <v>0</v>
      </c>
      <c r="AA15" s="71">
        <f t="shared" ref="AA15" si="37">IF(E15=0,"Heure d'arrivée non rentrée",IF((F15=0),"heure de départ en pause repas non rentrée",IF(G15=0,"Heure de fin de repas non rentrée",IF(H15=0,"Heure de sortie non rentrée",IF(Y15&gt;0,ABS(Y15)/24,0)))))</f>
        <v>0.26666666666666572</v>
      </c>
      <c r="AB15" s="71">
        <f t="shared" ref="AB15" si="38">IF(E15=0,0,IF(F15=0, "Heure de repas non rentrée",IF(G15=0, F15-E15, IF(H15=0,"Heure de sortie non rentrée",IF(W15=0,(I15+X15),I15-W15)))))</f>
        <v>0.3555555555555554</v>
      </c>
      <c r="AC15" s="72">
        <f>IF(U15=8.55,0,U15/24)</f>
        <v>0.73541666666666661</v>
      </c>
      <c r="AD15" s="3" t="s">
        <v>3</v>
      </c>
      <c r="AE15" s="1" t="s">
        <v>3</v>
      </c>
      <c r="AF15" s="1" t="s">
        <v>4</v>
      </c>
      <c r="AG15" s="1" t="s">
        <v>4</v>
      </c>
      <c r="AH15" s="1" t="s">
        <v>5</v>
      </c>
      <c r="AI15" s="9" t="s">
        <v>5</v>
      </c>
      <c r="AK15" s="104"/>
      <c r="AL15" s="67">
        <f>AL5+1</f>
        <v>21</v>
      </c>
    </row>
    <row r="16" spans="2:44" ht="15.75" customHeight="1" thickBot="1" x14ac:dyDescent="0.4">
      <c r="B16" s="65"/>
      <c r="C16" s="90"/>
      <c r="D16" s="92"/>
      <c r="E16" s="94"/>
      <c r="F16" s="96"/>
      <c r="G16" s="98"/>
      <c r="H16" s="100"/>
      <c r="I16" s="102"/>
      <c r="J16" s="87"/>
      <c r="K16" s="87"/>
      <c r="L16" s="77"/>
      <c r="M16" s="77"/>
      <c r="N16" s="83"/>
      <c r="O16" s="83"/>
      <c r="P16" s="77"/>
      <c r="Q16" s="77"/>
      <c r="R16" s="77"/>
      <c r="S16" s="77"/>
      <c r="T16" s="75"/>
      <c r="U16" s="77"/>
      <c r="V16" s="79"/>
      <c r="W16" s="70"/>
      <c r="X16" s="70"/>
      <c r="Y16" s="81"/>
      <c r="Z16" s="70"/>
      <c r="AA16" s="70"/>
      <c r="AB16" s="70"/>
      <c r="AC16" s="73"/>
      <c r="AD16" s="14">
        <f>IF(AC15=0,0,AC15*24 + 0.5)</f>
        <v>18.149999999999999</v>
      </c>
      <c r="AE16" s="11">
        <f>AD16/24</f>
        <v>0.75624999999999998</v>
      </c>
      <c r="AF16" s="10">
        <f>IF(AD16=0,0,AD16+0.5)</f>
        <v>18.649999999999999</v>
      </c>
      <c r="AG16" s="12">
        <f>IF(AF16=0,0,AF16/24)</f>
        <v>0.77708333333333324</v>
      </c>
      <c r="AH16" s="10">
        <f>IF(AD16=0,0,AD16+1.5)</f>
        <v>19.649999999999999</v>
      </c>
      <c r="AI16" s="13">
        <f>AH16/24</f>
        <v>0.81874999999999998</v>
      </c>
      <c r="AK16" s="104"/>
      <c r="AL16" s="67"/>
    </row>
    <row r="17" spans="2:38" ht="43.5" x14ac:dyDescent="0.35">
      <c r="B17" s="65"/>
      <c r="C17" s="89" t="s">
        <v>11</v>
      </c>
      <c r="D17" s="91" t="s">
        <v>20</v>
      </c>
      <c r="E17" s="93">
        <v>0.37916666666666665</v>
      </c>
      <c r="F17" s="95">
        <v>0.5131944444444444</v>
      </c>
      <c r="G17" s="97">
        <v>0.5131944444444444</v>
      </c>
      <c r="H17" s="99">
        <v>0.77986111111111101</v>
      </c>
      <c r="I17" s="101">
        <v>0.31111111111111112</v>
      </c>
      <c r="J17" s="86">
        <v>0.32500000000000001</v>
      </c>
      <c r="K17" s="88">
        <v>3.125E-2</v>
      </c>
      <c r="L17" s="76">
        <f t="shared" si="29"/>
        <v>0.75</v>
      </c>
      <c r="M17" s="85">
        <f t="shared" si="30"/>
        <v>0</v>
      </c>
      <c r="N17" s="82">
        <f t="shared" si="31"/>
        <v>0</v>
      </c>
      <c r="O17" s="82">
        <f t="shared" si="32"/>
        <v>0</v>
      </c>
      <c r="P17" s="84" t="str">
        <f>IF(N17=0,"0",K17*24-N17*24)</f>
        <v>0</v>
      </c>
      <c r="Q17" s="76">
        <f>N17*24</f>
        <v>0</v>
      </c>
      <c r="R17" s="76">
        <f t="shared" ref="R17" si="39">IF(P17&lt;0,Q17,Q17+P17)</f>
        <v>0</v>
      </c>
      <c r="S17" s="76">
        <f>IF(R17&lt;=0.75,K17,R17/24)</f>
        <v>3.125E-2</v>
      </c>
      <c r="T17" s="74">
        <f>E17*24</f>
        <v>9.1</v>
      </c>
      <c r="U17" s="76">
        <f>IF(Q17&gt;0.75, T17+J17*24+N17*24,T17+J17*24+K17*24)</f>
        <v>17.649999999999999</v>
      </c>
      <c r="V17" s="78">
        <f>IF(H17=0,24*(F17-E17)-(I17*24+1/6),(24*(H17-E17)-((S17*24)+(J17*24))))</f>
        <v>1.0666666666666629</v>
      </c>
      <c r="W17" s="71">
        <f t="shared" ref="W17" si="40">IF(V17&lt;=-7.63,0,IF(V17&gt;=0,0,IF(V17&lt;0,ABS(V17)/24,"0")))</f>
        <v>0</v>
      </c>
      <c r="X17" s="71">
        <f t="shared" ref="X17" si="41">IF(V17&lt;0,"0",ABS(V17)/24)</f>
        <v>4.4444444444444287E-2</v>
      </c>
      <c r="Y17" s="80">
        <f>IF(V17&lt;-7.63,0,SUM(V5:V18))</f>
        <v>7.4666666666666401</v>
      </c>
      <c r="Z17" s="69">
        <f t="shared" ref="Z17" si="42">IF(E17=0,"Heure d'arrivée non rentrée",IF((F17=0),"heure de départ en pause repas non rentrée",IF(G17=0,"Heure de fin de repas non rentrée",IF(H17=0,"Heure de sortie non rentrée",IF(Y17&lt;0,ABS(Y17)/24,0)))))</f>
        <v>0</v>
      </c>
      <c r="AA17" s="71">
        <f t="shared" ref="AA17" si="43">IF(E17=0,"Heure d'arrivée non rentrée",IF((F17=0),"heure de départ en pause repas non rentrée",IF(G17=0,"Heure de fin de repas non rentrée",IF(H17=0,"Heure de sortie non rentrée",IF(Y17&gt;0,ABS(Y17)/24,0)))))</f>
        <v>0.31111111111111001</v>
      </c>
      <c r="AB17" s="71">
        <f t="shared" ref="AB17" si="44">IF(E17=0,0,IF(F17=0, "Heure de repas non rentrée",IF(G17=0, F17-E17, IF(H17=0,"Heure de sortie non rentrée",IF(W17=0,(I17+X17),I17-W17)))))</f>
        <v>0.3555555555555554</v>
      </c>
      <c r="AC17" s="72">
        <f t="shared" ref="AC17" si="45">IF(U17=8.55,0,U17/24)</f>
        <v>0.73541666666666661</v>
      </c>
      <c r="AD17" s="3" t="s">
        <v>3</v>
      </c>
      <c r="AE17" s="1" t="s">
        <v>3</v>
      </c>
      <c r="AF17" s="1" t="s">
        <v>4</v>
      </c>
      <c r="AG17" s="1" t="s">
        <v>4</v>
      </c>
      <c r="AH17" s="1" t="s">
        <v>5</v>
      </c>
      <c r="AI17" s="9" t="s">
        <v>5</v>
      </c>
      <c r="AK17" s="104"/>
      <c r="AL17" s="67"/>
    </row>
    <row r="18" spans="2:38" ht="15" customHeight="1" thickBot="1" x14ac:dyDescent="0.4">
      <c r="B18" s="65"/>
      <c r="C18" s="90"/>
      <c r="D18" s="92"/>
      <c r="E18" s="94"/>
      <c r="F18" s="96"/>
      <c r="G18" s="98"/>
      <c r="H18" s="100"/>
      <c r="I18" s="102"/>
      <c r="J18" s="87"/>
      <c r="K18" s="87"/>
      <c r="L18" s="77"/>
      <c r="M18" s="77"/>
      <c r="N18" s="83"/>
      <c r="O18" s="83"/>
      <c r="P18" s="77"/>
      <c r="Q18" s="77"/>
      <c r="R18" s="77"/>
      <c r="S18" s="77"/>
      <c r="T18" s="75"/>
      <c r="U18" s="77"/>
      <c r="V18" s="79"/>
      <c r="W18" s="70"/>
      <c r="X18" s="70"/>
      <c r="Y18" s="81"/>
      <c r="Z18" s="70"/>
      <c r="AA18" s="70"/>
      <c r="AB18" s="70"/>
      <c r="AC18" s="73"/>
      <c r="AD18" s="14">
        <f>IF(AC17=0,0,AC17*24 + 0.5)</f>
        <v>18.149999999999999</v>
      </c>
      <c r="AE18" s="11">
        <f>AD18/24</f>
        <v>0.75624999999999998</v>
      </c>
      <c r="AF18" s="10">
        <f>IF(AD18=0,0,AD18+0.5)</f>
        <v>18.649999999999999</v>
      </c>
      <c r="AG18" s="12">
        <f>IF(AF18=0,0,AF18/24)</f>
        <v>0.77708333333333324</v>
      </c>
      <c r="AH18" s="10">
        <f>IF(AD18=0,0,AD18+1.5)</f>
        <v>19.649999999999999</v>
      </c>
      <c r="AI18" s="13">
        <f>AH18/24</f>
        <v>0.81874999999999998</v>
      </c>
      <c r="AK18" s="104"/>
      <c r="AL18" s="67"/>
    </row>
    <row r="19" spans="2:38" ht="43.5" x14ac:dyDescent="0.35">
      <c r="B19" s="65"/>
      <c r="C19" s="89" t="s">
        <v>12</v>
      </c>
      <c r="D19" s="91" t="s">
        <v>20</v>
      </c>
      <c r="E19" s="93">
        <v>0.37916666666666665</v>
      </c>
      <c r="F19" s="95">
        <v>0.5131944444444444</v>
      </c>
      <c r="G19" s="97">
        <v>0.5131944444444444</v>
      </c>
      <c r="H19" s="99">
        <v>0.77986111111111101</v>
      </c>
      <c r="I19" s="101">
        <v>0.31111111111111112</v>
      </c>
      <c r="J19" s="86">
        <v>0.32500000000000001</v>
      </c>
      <c r="K19" s="88">
        <v>3.125E-2</v>
      </c>
      <c r="L19" s="76">
        <f t="shared" ref="L19" si="46">K19*24</f>
        <v>0.75</v>
      </c>
      <c r="M19" s="85">
        <f t="shared" ref="M19" si="47">G19-F19</f>
        <v>0</v>
      </c>
      <c r="N19" s="82">
        <f t="shared" ref="N19" si="48">IF(M19&lt;0.75,IF(G19=0,0,G19-F19),K19)</f>
        <v>0</v>
      </c>
      <c r="O19" s="82">
        <f t="shared" ref="O19" si="49">IF(P19&lt;0,0,P19/24)</f>
        <v>0</v>
      </c>
      <c r="P19" s="84" t="str">
        <f>IF(N19=0,"0",K19*24-N19*24)</f>
        <v>0</v>
      </c>
      <c r="Q19" s="76">
        <f>N19*24</f>
        <v>0</v>
      </c>
      <c r="R19" s="76">
        <f t="shared" ref="R19" si="50">IF(P19&lt;0,Q19,Q19+P19)</f>
        <v>0</v>
      </c>
      <c r="S19" s="76">
        <f>IF(R19&lt;=0.75,K19,R19/24)</f>
        <v>3.125E-2</v>
      </c>
      <c r="T19" s="74">
        <f>E19*24</f>
        <v>9.1</v>
      </c>
      <c r="U19" s="76">
        <f>IF(Q19&gt;0.75, T19+J19*24+N19*24,T19+J19*24+K19*24)</f>
        <v>17.649999999999999</v>
      </c>
      <c r="V19" s="78">
        <f>IF(H19=0,24*(F19-E19)-(I19*24+1/6),(24*(H19-E19)-((S19*24)+(J19*24))))</f>
        <v>1.0666666666666629</v>
      </c>
      <c r="W19" s="71">
        <f t="shared" ref="W19" si="51">IF(V19&lt;=-7.63,0,IF(V19&gt;=0,0,IF(V19&lt;0,ABS(V19)/24,"0")))</f>
        <v>0</v>
      </c>
      <c r="X19" s="71">
        <f t="shared" ref="X19" si="52">IF(V19&lt;0,"0",ABS(V19)/24)</f>
        <v>4.4444444444444287E-2</v>
      </c>
      <c r="Y19" s="80">
        <f>IF(V19&lt;-7.63,0,SUM(V5:V20))</f>
        <v>8.533333333333303</v>
      </c>
      <c r="Z19" s="69">
        <f>IF(E19=0,"",IF((F19=0),"",IF(G19=0,"",IF(H19=0,"",IF(Y19&lt;0,ABS(Y19)/24,0)))))</f>
        <v>0</v>
      </c>
      <c r="AA19" s="71">
        <f>IF(E19=0,"",IF((F19=0),"",IF(G19=0,"",IF(H19=0,"",IF(Y19&gt;0,ABS(Y19)/24,0)))))</f>
        <v>0.35555555555555429</v>
      </c>
      <c r="AB19" s="71">
        <f t="shared" ref="AB19" si="53">IF(E19=0,0,IF(F19=0, "Heure de repas non rentrée",IF(G19=0, F19-E19, IF(H19=0,"Heure de sortie non rentrée",IF(W19=0,(I19+X19),I19-W19)))))</f>
        <v>0.3555555555555554</v>
      </c>
      <c r="AC19" s="72">
        <f t="shared" ref="AC19" si="54">IF(U19=8.55,0,U19/24)</f>
        <v>0.73541666666666661</v>
      </c>
      <c r="AD19" s="3" t="s">
        <v>3</v>
      </c>
      <c r="AE19" s="1" t="s">
        <v>3</v>
      </c>
      <c r="AF19" s="1" t="s">
        <v>4</v>
      </c>
      <c r="AG19" s="1" t="s">
        <v>4</v>
      </c>
      <c r="AH19" s="1" t="s">
        <v>5</v>
      </c>
      <c r="AI19" s="9" t="s">
        <v>5</v>
      </c>
      <c r="AK19" s="104"/>
      <c r="AL19" s="67"/>
    </row>
    <row r="20" spans="2:38" ht="15" customHeight="1" thickBot="1" x14ac:dyDescent="0.4">
      <c r="B20" s="65"/>
      <c r="C20" s="90"/>
      <c r="D20" s="92"/>
      <c r="E20" s="94"/>
      <c r="F20" s="96"/>
      <c r="G20" s="98"/>
      <c r="H20" s="100"/>
      <c r="I20" s="102"/>
      <c r="J20" s="87"/>
      <c r="K20" s="87"/>
      <c r="L20" s="77"/>
      <c r="M20" s="77"/>
      <c r="N20" s="83"/>
      <c r="O20" s="83"/>
      <c r="P20" s="77"/>
      <c r="Q20" s="77"/>
      <c r="R20" s="77"/>
      <c r="S20" s="77"/>
      <c r="T20" s="75"/>
      <c r="U20" s="77"/>
      <c r="V20" s="79"/>
      <c r="W20" s="70"/>
      <c r="X20" s="70"/>
      <c r="Y20" s="81"/>
      <c r="Z20" s="70"/>
      <c r="AA20" s="70"/>
      <c r="AB20" s="70"/>
      <c r="AC20" s="73"/>
      <c r="AD20" s="14">
        <f>IF(AC19=0,0,AC19*24 + 0.5)</f>
        <v>18.149999999999999</v>
      </c>
      <c r="AE20" s="11">
        <f>AD20/24</f>
        <v>0.75624999999999998</v>
      </c>
      <c r="AF20" s="10">
        <f>IF(AD20=0,0,AD20+0.5)</f>
        <v>18.649999999999999</v>
      </c>
      <c r="AG20" s="12">
        <f>IF(AF20=0,0,AF20/24)</f>
        <v>0.77708333333333324</v>
      </c>
      <c r="AH20" s="10">
        <f>IF(AD20=0,0,AD20+1.5)</f>
        <v>19.649999999999999</v>
      </c>
      <c r="AI20" s="13">
        <f>AH20/24</f>
        <v>0.81874999999999998</v>
      </c>
      <c r="AK20" s="104"/>
      <c r="AL20" s="67"/>
    </row>
    <row r="21" spans="2:38" ht="36" customHeight="1" x14ac:dyDescent="0.35">
      <c r="B21" s="65"/>
      <c r="C21" s="89" t="s">
        <v>13</v>
      </c>
      <c r="D21" s="91" t="s">
        <v>20</v>
      </c>
      <c r="E21" s="105" t="s">
        <v>39</v>
      </c>
      <c r="F21" s="106"/>
      <c r="G21" s="106"/>
      <c r="H21" s="106"/>
      <c r="I21" s="106"/>
      <c r="J21" s="106"/>
      <c r="K21" s="106"/>
      <c r="L21" s="106"/>
      <c r="M21" s="106"/>
      <c r="N21" s="106"/>
      <c r="O21" s="106"/>
      <c r="P21" s="106"/>
      <c r="Q21" s="106"/>
      <c r="R21" s="106"/>
      <c r="S21" s="106"/>
      <c r="T21" s="106"/>
      <c r="U21" s="106"/>
      <c r="V21" s="106"/>
      <c r="W21" s="106"/>
      <c r="X21" s="106"/>
      <c r="Y21" s="106"/>
      <c r="Z21" s="106"/>
      <c r="AA21" s="106"/>
      <c r="AB21" s="106"/>
      <c r="AC21" s="106"/>
      <c r="AD21" s="106"/>
      <c r="AE21" s="106"/>
      <c r="AF21" s="106"/>
      <c r="AG21" s="106"/>
      <c r="AH21" s="106"/>
      <c r="AI21" s="107"/>
      <c r="AK21" s="104"/>
      <c r="AL21" s="67"/>
    </row>
    <row r="22" spans="2:38" ht="15" customHeight="1" thickBot="1" x14ac:dyDescent="0.4">
      <c r="B22" s="65"/>
      <c r="C22" s="90"/>
      <c r="D22" s="92"/>
      <c r="E22" s="108"/>
      <c r="F22" s="109"/>
      <c r="G22" s="109"/>
      <c r="H22" s="109"/>
      <c r="I22" s="109"/>
      <c r="J22" s="109"/>
      <c r="K22" s="109"/>
      <c r="L22" s="109"/>
      <c r="M22" s="109"/>
      <c r="N22" s="109"/>
      <c r="O22" s="109"/>
      <c r="P22" s="109"/>
      <c r="Q22" s="109"/>
      <c r="R22" s="109"/>
      <c r="S22" s="109"/>
      <c r="T22" s="109"/>
      <c r="U22" s="109"/>
      <c r="V22" s="109"/>
      <c r="W22" s="109"/>
      <c r="X22" s="109"/>
      <c r="Y22" s="109"/>
      <c r="Z22" s="109"/>
      <c r="AA22" s="109"/>
      <c r="AB22" s="109"/>
      <c r="AC22" s="109"/>
      <c r="AD22" s="109"/>
      <c r="AE22" s="109"/>
      <c r="AF22" s="109"/>
      <c r="AG22" s="109"/>
      <c r="AH22" s="109"/>
      <c r="AI22" s="110"/>
      <c r="AK22" s="104"/>
      <c r="AL22" s="67"/>
    </row>
    <row r="23" spans="2:38" ht="36.5" customHeight="1" x14ac:dyDescent="0.35">
      <c r="B23" s="65"/>
      <c r="C23" s="89" t="s">
        <v>14</v>
      </c>
      <c r="D23" s="91" t="s">
        <v>20</v>
      </c>
      <c r="E23" s="108"/>
      <c r="F23" s="109"/>
      <c r="G23" s="109"/>
      <c r="H23" s="109"/>
      <c r="I23" s="109"/>
      <c r="J23" s="109"/>
      <c r="K23" s="109"/>
      <c r="L23" s="109"/>
      <c r="M23" s="109"/>
      <c r="N23" s="109"/>
      <c r="O23" s="109"/>
      <c r="P23" s="109"/>
      <c r="Q23" s="109"/>
      <c r="R23" s="109"/>
      <c r="S23" s="109"/>
      <c r="T23" s="109"/>
      <c r="U23" s="109"/>
      <c r="V23" s="109"/>
      <c r="W23" s="109"/>
      <c r="X23" s="109"/>
      <c r="Y23" s="109"/>
      <c r="Z23" s="109"/>
      <c r="AA23" s="109"/>
      <c r="AB23" s="109"/>
      <c r="AC23" s="109"/>
      <c r="AD23" s="109"/>
      <c r="AE23" s="109"/>
      <c r="AF23" s="109"/>
      <c r="AG23" s="109"/>
      <c r="AH23" s="109"/>
      <c r="AI23" s="110"/>
      <c r="AK23" s="104"/>
      <c r="AL23" s="67"/>
    </row>
    <row r="24" spans="2:38" ht="15" customHeight="1" thickBot="1" x14ac:dyDescent="0.4">
      <c r="B24" s="66"/>
      <c r="C24" s="90"/>
      <c r="D24" s="92"/>
      <c r="E24" s="111"/>
      <c r="F24" s="112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  <c r="X24" s="112"/>
      <c r="Y24" s="112"/>
      <c r="Z24" s="112"/>
      <c r="AA24" s="112"/>
      <c r="AB24" s="112"/>
      <c r="AC24" s="112"/>
      <c r="AD24" s="112"/>
      <c r="AE24" s="112"/>
      <c r="AF24" s="112"/>
      <c r="AG24" s="112"/>
      <c r="AH24" s="112"/>
      <c r="AI24" s="113"/>
      <c r="AK24" s="104"/>
      <c r="AL24" s="67"/>
    </row>
    <row r="25" spans="2:38" ht="43.5" x14ac:dyDescent="0.35">
      <c r="B25" s="64" t="str">
        <f t="shared" ref="B25" si="55">"Semaine " &amp;AL25</f>
        <v>Semaine 22</v>
      </c>
      <c r="C25" s="103" t="s">
        <v>9</v>
      </c>
      <c r="D25" s="91" t="s">
        <v>20</v>
      </c>
      <c r="E25" s="93">
        <v>0.37916666666666665</v>
      </c>
      <c r="F25" s="95">
        <v>0.5131944444444444</v>
      </c>
      <c r="G25" s="97">
        <v>0.5131944444444444</v>
      </c>
      <c r="H25" s="99">
        <v>0.77986111111111101</v>
      </c>
      <c r="I25" s="101">
        <v>0.31111111111111101</v>
      </c>
      <c r="J25" s="86">
        <v>0.32500000000000001</v>
      </c>
      <c r="K25" s="88">
        <v>3.125E-2</v>
      </c>
      <c r="L25" s="76">
        <f t="shared" ref="L25" si="56">K25*24</f>
        <v>0.75</v>
      </c>
      <c r="M25" s="85">
        <f t="shared" ref="M25" si="57">G25-F25</f>
        <v>0</v>
      </c>
      <c r="N25" s="82">
        <f t="shared" ref="N25" si="58">IF(M25&lt;0.75,IF(G25=0,0,G25-F25),K25)</f>
        <v>0</v>
      </c>
      <c r="O25" s="82">
        <f t="shared" ref="O25" si="59">IF(P25&lt;0,0,P25/24)</f>
        <v>0</v>
      </c>
      <c r="P25" s="84" t="str">
        <f t="shared" ref="P25" si="60">IF(N25=0,"0",K25*24-N25*24)</f>
        <v>0</v>
      </c>
      <c r="Q25" s="76">
        <f t="shared" ref="Q25" si="61">N25*24</f>
        <v>0</v>
      </c>
      <c r="R25" s="76">
        <f t="shared" ref="R25" si="62">IF(P25&lt;0,Q25,Q25+P25)</f>
        <v>0</v>
      </c>
      <c r="S25" s="76">
        <f t="shared" ref="S25" si="63">IF(R25&lt;=0.75,K25,R25/24)</f>
        <v>3.125E-2</v>
      </c>
      <c r="T25" s="74">
        <f t="shared" ref="T25" si="64">E25*24</f>
        <v>9.1</v>
      </c>
      <c r="U25" s="76">
        <f t="shared" ref="U25" si="65">IF(Q25&gt;0.75, T25+J25*24+N25*24,T25+J25*24+K25*24)</f>
        <v>17.649999999999999</v>
      </c>
      <c r="V25" s="78">
        <f t="shared" ref="V25" si="66">IF(H25=0,24*(F25-E25)-(I25*24+1/6),(24*(H25-E25)-((S25*24)+(J25*24))))</f>
        <v>1.0666666666666629</v>
      </c>
      <c r="W25" s="71">
        <f t="shared" ref="W25" si="67">IF(V25&lt;=-7.63,0,IF(V25&gt;=0,0,IF(V25&lt;0,ABS(V25)/24,"0")))</f>
        <v>0</v>
      </c>
      <c r="X25" s="71">
        <f t="shared" ref="X25" si="68">IF(V25&lt;0,"0",ABS(V25)/24)</f>
        <v>4.4444444444444287E-2</v>
      </c>
      <c r="Y25" s="80">
        <f>IF(V25&lt;-7.63,0,SUM(V5:V26))</f>
        <v>9.5999999999999659</v>
      </c>
      <c r="Z25" s="69">
        <f t="shared" ref="Z25" si="69">IF(E25=0,"Heure d'arrivée non rentrée",IF((F25=0),"heure de départ en pause repas non rentrée",IF(G25=0,"Heure de fin de repas non rentrée",IF(H25=0,"Heure de sortie non rentrée",IF(Y25&lt;0,ABS(Y25)/24,0)))))</f>
        <v>0</v>
      </c>
      <c r="AA25" s="71">
        <f t="shared" ref="AA25" si="70">IF(E25=0,"Heure d'arrivée non rentrée",IF((F25=0),"heure de départ en pause repas non rentrée",IF(G25=0,"Heure de fin de repas non rentrée",IF(H25=0,"Heure de sortie non rentrée",IF(Y25&gt;0,ABS(Y25)/24,0)))))</f>
        <v>0.39999999999999858</v>
      </c>
      <c r="AB25" s="71">
        <f t="shared" ref="AB25" si="71">IF(E25=0,0,IF(F25=0, "Heure de repas non rentrée",IF(G25=0, F25-E25, IF(H25=0,"Heure de sortie non rentrée",IF(W25=0,(I25+X25),I25-W25)))))</f>
        <v>0.35555555555555529</v>
      </c>
      <c r="AC25" s="72">
        <f t="shared" ref="AC25" si="72">IF(U25=8.55,0,U25/24)</f>
        <v>0.73541666666666661</v>
      </c>
      <c r="AD25" s="3" t="s">
        <v>3</v>
      </c>
      <c r="AE25" s="1" t="s">
        <v>3</v>
      </c>
      <c r="AF25" s="1" t="s">
        <v>4</v>
      </c>
      <c r="AG25" s="1" t="s">
        <v>4</v>
      </c>
      <c r="AH25" s="1" t="s">
        <v>5</v>
      </c>
      <c r="AI25" s="9" t="s">
        <v>5</v>
      </c>
      <c r="AL25" s="68">
        <f>AL5+2</f>
        <v>22</v>
      </c>
    </row>
    <row r="26" spans="2:38" ht="15" customHeight="1" thickBot="1" x14ac:dyDescent="0.4">
      <c r="B26" s="65"/>
      <c r="C26" s="90"/>
      <c r="D26" s="92"/>
      <c r="E26" s="94"/>
      <c r="F26" s="96"/>
      <c r="G26" s="98"/>
      <c r="H26" s="100"/>
      <c r="I26" s="102"/>
      <c r="J26" s="87"/>
      <c r="K26" s="87"/>
      <c r="L26" s="77"/>
      <c r="M26" s="77"/>
      <c r="N26" s="83"/>
      <c r="O26" s="83"/>
      <c r="P26" s="77"/>
      <c r="Q26" s="77"/>
      <c r="R26" s="77"/>
      <c r="S26" s="77"/>
      <c r="T26" s="75"/>
      <c r="U26" s="77"/>
      <c r="V26" s="79"/>
      <c r="W26" s="70"/>
      <c r="X26" s="70"/>
      <c r="Y26" s="81"/>
      <c r="Z26" s="70"/>
      <c r="AA26" s="70"/>
      <c r="AB26" s="70"/>
      <c r="AC26" s="73"/>
      <c r="AD26" s="14">
        <f t="shared" ref="AD26" si="73">IF(AC25=0,0,AC25*24 + 0.5)</f>
        <v>18.149999999999999</v>
      </c>
      <c r="AE26" s="11">
        <f t="shared" ref="AE26" si="74">AD26/24</f>
        <v>0.75624999999999998</v>
      </c>
      <c r="AF26" s="10">
        <f t="shared" ref="AF26" si="75">IF(AD26=0,0,AD26+0.5)</f>
        <v>18.649999999999999</v>
      </c>
      <c r="AG26" s="12">
        <f t="shared" ref="AG26" si="76">IF(AF26=0,0,AF26/24)</f>
        <v>0.77708333333333324</v>
      </c>
      <c r="AH26" s="10">
        <f t="shared" ref="AH26" si="77">IF(AD26=0,0,AD26+1.5)</f>
        <v>19.649999999999999</v>
      </c>
      <c r="AI26" s="13">
        <f t="shared" ref="AI26" si="78">AH26/24</f>
        <v>0.81874999999999998</v>
      </c>
      <c r="AL26" s="68"/>
    </row>
    <row r="27" spans="2:38" ht="43.5" x14ac:dyDescent="0.35">
      <c r="B27" s="65"/>
      <c r="C27" s="89" t="s">
        <v>11</v>
      </c>
      <c r="D27" s="91" t="s">
        <v>20</v>
      </c>
      <c r="E27" s="93">
        <v>0.37916666666666665</v>
      </c>
      <c r="F27" s="95">
        <v>0.5131944444444444</v>
      </c>
      <c r="G27" s="97">
        <v>0.5131944444444444</v>
      </c>
      <c r="H27" s="99">
        <v>0.77986111111111101</v>
      </c>
      <c r="I27" s="101">
        <v>0.31111111111111101</v>
      </c>
      <c r="J27" s="86">
        <v>0.32500000000000001</v>
      </c>
      <c r="K27" s="88">
        <v>3.125E-2</v>
      </c>
      <c r="L27" s="76">
        <f t="shared" ref="L27" si="79">K27*24</f>
        <v>0.75</v>
      </c>
      <c r="M27" s="85">
        <f t="shared" ref="M27" si="80">G27-F27</f>
        <v>0</v>
      </c>
      <c r="N27" s="82">
        <f t="shared" ref="N27" si="81">IF(M27&lt;0.75,IF(G27=0,0,G27-F27),K27)</f>
        <v>0</v>
      </c>
      <c r="O27" s="82">
        <f t="shared" ref="O27" si="82">IF(P27&lt;0,0,P27/24)</f>
        <v>0</v>
      </c>
      <c r="P27" s="84" t="str">
        <f t="shared" ref="P27" si="83">IF(N27=0,"0",K27*24-N27*24)</f>
        <v>0</v>
      </c>
      <c r="Q27" s="76">
        <f t="shared" ref="Q27" si="84">N27*24</f>
        <v>0</v>
      </c>
      <c r="R27" s="76">
        <f t="shared" ref="R27" si="85">IF(P27&lt;0,Q27,Q27+P27)</f>
        <v>0</v>
      </c>
      <c r="S27" s="76">
        <f t="shared" ref="S27" si="86">IF(R27&lt;=0.75,K27,R27/24)</f>
        <v>3.125E-2</v>
      </c>
      <c r="T27" s="74">
        <f t="shared" ref="T27" si="87">E27*24</f>
        <v>9.1</v>
      </c>
      <c r="U27" s="76">
        <f t="shared" ref="U27" si="88">IF(Q27&gt;0.75, T27+J27*24+N27*24,T27+J27*24+K27*24)</f>
        <v>17.649999999999999</v>
      </c>
      <c r="V27" s="78">
        <f t="shared" ref="V27" si="89">IF(H27=0,24*(F27-E27)-(I27*24+1/6),(24*(H27-E27)-((S27*24)+(J27*24))))</f>
        <v>1.0666666666666629</v>
      </c>
      <c r="W27" s="71">
        <f t="shared" ref="W27" si="90">IF(V27&lt;=-7.63,0,IF(V27&gt;=0,0,IF(V27&lt;0,ABS(V27)/24,"0")))</f>
        <v>0</v>
      </c>
      <c r="X27" s="71">
        <f t="shared" ref="X27" si="91">IF(V27&lt;0,"0",ABS(V27)/24)</f>
        <v>4.4444444444444287E-2</v>
      </c>
      <c r="Y27" s="80">
        <f>IF(V27&lt;-7.63,0,SUM(V5:V28))</f>
        <v>10.666666666666629</v>
      </c>
      <c r="Z27" s="69">
        <f>IF(E27=0,"Heure d'arrivée non rentrée",IF((F27=0),"heure de départ en pause repas non rentrée",IF(G27=0,"Heure de fin de repas non rentrée",IF(H27=0,"Heure de sortie non rentrée",IF(Y27&lt;0,ABS(Y27)/24,0)))))</f>
        <v>0</v>
      </c>
      <c r="AA27" s="71">
        <f t="shared" ref="AA27" si="92">IF(E27=0,"Heure d'arrivée non rentrée",IF((F27=0),"heure de départ en pause repas non rentrée",IF(G27=0,"Heure de fin de repas non rentrée",IF(H27=0,"Heure de sortie non rentrée",IF(Y27&gt;0,ABS(Y27)/24,0)))))</f>
        <v>0.44444444444444287</v>
      </c>
      <c r="AB27" s="71">
        <f t="shared" ref="AB27" si="93">IF(E27=0,0,IF(F27=0, "Heure de repas non rentrée",IF(G27=0, F27-E27, IF(H27=0,"Heure de sortie non rentrée",IF(W27=0,(I27+X27),I27-W27)))))</f>
        <v>0.35555555555555529</v>
      </c>
      <c r="AC27" s="72">
        <f t="shared" ref="AC27" si="94">IF(U27=8.55,0,U27/24)</f>
        <v>0.73541666666666661</v>
      </c>
      <c r="AD27" s="3" t="s">
        <v>3</v>
      </c>
      <c r="AE27" s="1" t="s">
        <v>3</v>
      </c>
      <c r="AF27" s="1" t="s">
        <v>4</v>
      </c>
      <c r="AG27" s="1" t="s">
        <v>4</v>
      </c>
      <c r="AH27" s="1" t="s">
        <v>5</v>
      </c>
      <c r="AI27" s="9" t="s">
        <v>5</v>
      </c>
      <c r="AL27" s="68"/>
    </row>
    <row r="28" spans="2:38" ht="15" thickBot="1" x14ac:dyDescent="0.4">
      <c r="B28" s="66"/>
      <c r="C28" s="90"/>
      <c r="D28" s="92"/>
      <c r="E28" s="94"/>
      <c r="F28" s="96"/>
      <c r="G28" s="98"/>
      <c r="H28" s="100"/>
      <c r="I28" s="102"/>
      <c r="J28" s="87"/>
      <c r="K28" s="87"/>
      <c r="L28" s="77"/>
      <c r="M28" s="77"/>
      <c r="N28" s="83"/>
      <c r="O28" s="83"/>
      <c r="P28" s="77"/>
      <c r="Q28" s="77"/>
      <c r="R28" s="77"/>
      <c r="S28" s="77"/>
      <c r="T28" s="75"/>
      <c r="U28" s="77"/>
      <c r="V28" s="79"/>
      <c r="W28" s="70"/>
      <c r="X28" s="70"/>
      <c r="Y28" s="81"/>
      <c r="Z28" s="70"/>
      <c r="AA28" s="70"/>
      <c r="AB28" s="70"/>
      <c r="AC28" s="73"/>
      <c r="AD28" s="14">
        <f t="shared" ref="AD28" si="95">IF(AC27=0,0,AC27*24 + 0.5)</f>
        <v>18.149999999999999</v>
      </c>
      <c r="AE28" s="11">
        <f t="shared" ref="AE28" si="96">AD28/24</f>
        <v>0.75624999999999998</v>
      </c>
      <c r="AF28" s="10">
        <f t="shared" ref="AF28" si="97">IF(AD28=0,0,AD28+0.5)</f>
        <v>18.649999999999999</v>
      </c>
      <c r="AG28" s="12">
        <f t="shared" ref="AG28" si="98">IF(AF28=0,0,AF28/24)</f>
        <v>0.77708333333333324</v>
      </c>
      <c r="AH28" s="10">
        <f t="shared" ref="AH28" si="99">IF(AD28=0,0,AD28+1.5)</f>
        <v>19.649999999999999</v>
      </c>
      <c r="AI28" s="13">
        <f t="shared" ref="AI28" si="100">AH28/24</f>
        <v>0.81874999999999998</v>
      </c>
      <c r="AL28" s="68"/>
    </row>
    <row r="32" spans="2:38" x14ac:dyDescent="0.35">
      <c r="O32" s="34"/>
    </row>
  </sheetData>
  <mergeCells count="292">
    <mergeCell ref="L5:L6"/>
    <mergeCell ref="M5:M6"/>
    <mergeCell ref="N5:N6"/>
    <mergeCell ref="O5:O6"/>
    <mergeCell ref="B4:D4"/>
    <mergeCell ref="AE4:AI4"/>
    <mergeCell ref="B5:B14"/>
    <mergeCell ref="C5:C6"/>
    <mergeCell ref="D5:D6"/>
    <mergeCell ref="E5:E6"/>
    <mergeCell ref="F5:F6"/>
    <mergeCell ref="G5:G6"/>
    <mergeCell ref="H5:H6"/>
    <mergeCell ref="I5:I6"/>
    <mergeCell ref="AB5:AB6"/>
    <mergeCell ref="AC5:AC6"/>
    <mergeCell ref="C9:C10"/>
    <mergeCell ref="D9:D10"/>
    <mergeCell ref="E9:E10"/>
    <mergeCell ref="F9:F10"/>
    <mergeCell ref="G9:G10"/>
    <mergeCell ref="H9:H10"/>
    <mergeCell ref="I9:I10"/>
    <mergeCell ref="V7:V8"/>
    <mergeCell ref="AK5:AK6"/>
    <mergeCell ref="C7:C8"/>
    <mergeCell ref="D7:D8"/>
    <mergeCell ref="E7:E8"/>
    <mergeCell ref="F7:F8"/>
    <mergeCell ref="G7:G8"/>
    <mergeCell ref="H7:H8"/>
    <mergeCell ref="I7:I8"/>
    <mergeCell ref="V5:V6"/>
    <mergeCell ref="W5:W6"/>
    <mergeCell ref="X5:X6"/>
    <mergeCell ref="Y5:Y6"/>
    <mergeCell ref="Z5:Z6"/>
    <mergeCell ref="AA5:AA6"/>
    <mergeCell ref="P5:P6"/>
    <mergeCell ref="Q5:Q6"/>
    <mergeCell ref="R5:R6"/>
    <mergeCell ref="S5:S6"/>
    <mergeCell ref="T5:T6"/>
    <mergeCell ref="U5:U6"/>
    <mergeCell ref="J5:J6"/>
    <mergeCell ref="K5:K6"/>
    <mergeCell ref="AC7:AC8"/>
    <mergeCell ref="AK7:AK8"/>
    <mergeCell ref="J7:J8"/>
    <mergeCell ref="K7:K8"/>
    <mergeCell ref="L7:L8"/>
    <mergeCell ref="T9:T10"/>
    <mergeCell ref="U9:U10"/>
    <mergeCell ref="J9:J10"/>
    <mergeCell ref="K9:K10"/>
    <mergeCell ref="L9:L10"/>
    <mergeCell ref="M9:M10"/>
    <mergeCell ref="N9:N10"/>
    <mergeCell ref="O9:O10"/>
    <mergeCell ref="P7:P8"/>
    <mergeCell ref="Q7:Q8"/>
    <mergeCell ref="R7:R8"/>
    <mergeCell ref="S7:S8"/>
    <mergeCell ref="T7:T8"/>
    <mergeCell ref="U7:U8"/>
    <mergeCell ref="AB7:AB8"/>
    <mergeCell ref="M7:M8"/>
    <mergeCell ref="N7:N8"/>
    <mergeCell ref="O7:O8"/>
    <mergeCell ref="AC9:AC10"/>
    <mergeCell ref="AK9:AK10"/>
    <mergeCell ref="AB9:AB10"/>
    <mergeCell ref="Z11:Z12"/>
    <mergeCell ref="AA11:AA12"/>
    <mergeCell ref="W7:W8"/>
    <mergeCell ref="X7:X8"/>
    <mergeCell ref="Y7:Y8"/>
    <mergeCell ref="Z7:Z8"/>
    <mergeCell ref="AA7:AA8"/>
    <mergeCell ref="X9:X10"/>
    <mergeCell ref="Y9:Y10"/>
    <mergeCell ref="Z9:Z10"/>
    <mergeCell ref="AA9:AA10"/>
    <mergeCell ref="AB11:AB12"/>
    <mergeCell ref="AC11:AC12"/>
    <mergeCell ref="AK11:AK12"/>
    <mergeCell ref="X11:X12"/>
    <mergeCell ref="Y11:Y12"/>
    <mergeCell ref="V9:V10"/>
    <mergeCell ref="W9:W10"/>
    <mergeCell ref="P9:P10"/>
    <mergeCell ref="Q9:Q10"/>
    <mergeCell ref="R9:R10"/>
    <mergeCell ref="S9:S10"/>
    <mergeCell ref="L11:L12"/>
    <mergeCell ref="M11:M12"/>
    <mergeCell ref="N11:N12"/>
    <mergeCell ref="O11:O12"/>
    <mergeCell ref="C13:C14"/>
    <mergeCell ref="D13:D14"/>
    <mergeCell ref="E13:E14"/>
    <mergeCell ref="F13:F14"/>
    <mergeCell ref="G13:G14"/>
    <mergeCell ref="H13:H14"/>
    <mergeCell ref="I13:I14"/>
    <mergeCell ref="V11:V12"/>
    <mergeCell ref="W11:W12"/>
    <mergeCell ref="P11:P12"/>
    <mergeCell ref="Q11:Q12"/>
    <mergeCell ref="R11:R12"/>
    <mergeCell ref="S11:S12"/>
    <mergeCell ref="T11:T12"/>
    <mergeCell ref="U11:U12"/>
    <mergeCell ref="J11:J12"/>
    <mergeCell ref="K11:K12"/>
    <mergeCell ref="C11:C12"/>
    <mergeCell ref="D11:D12"/>
    <mergeCell ref="E11:E12"/>
    <mergeCell ref="F11:F12"/>
    <mergeCell ref="G11:G12"/>
    <mergeCell ref="H11:H12"/>
    <mergeCell ref="I11:I12"/>
    <mergeCell ref="AC13:AC14"/>
    <mergeCell ref="AK13:AK14"/>
    <mergeCell ref="X13:X14"/>
    <mergeCell ref="B15:B24"/>
    <mergeCell ref="C15:C16"/>
    <mergeCell ref="D15:D16"/>
    <mergeCell ref="E15:E16"/>
    <mergeCell ref="F15:F16"/>
    <mergeCell ref="G15:G16"/>
    <mergeCell ref="H15:H16"/>
    <mergeCell ref="V13:V14"/>
    <mergeCell ref="W13:W14"/>
    <mergeCell ref="J13:J14"/>
    <mergeCell ref="K13:K14"/>
    <mergeCell ref="L13:L14"/>
    <mergeCell ref="S15:S16"/>
    <mergeCell ref="T15:T16"/>
    <mergeCell ref="I15:I16"/>
    <mergeCell ref="J15:J16"/>
    <mergeCell ref="K15:K16"/>
    <mergeCell ref="L15:L16"/>
    <mergeCell ref="M15:M16"/>
    <mergeCell ref="N15:N16"/>
    <mergeCell ref="C19:C20"/>
    <mergeCell ref="AB13:AB14"/>
    <mergeCell ref="M13:M14"/>
    <mergeCell ref="N13:N14"/>
    <mergeCell ref="O13:O14"/>
    <mergeCell ref="K17:K18"/>
    <mergeCell ref="L17:L18"/>
    <mergeCell ref="M17:M18"/>
    <mergeCell ref="N17:N18"/>
    <mergeCell ref="AA15:AA16"/>
    <mergeCell ref="AB15:AB16"/>
    <mergeCell ref="Y13:Y14"/>
    <mergeCell ref="Z13:Z14"/>
    <mergeCell ref="AA13:AA14"/>
    <mergeCell ref="P13:P14"/>
    <mergeCell ref="Q13:Q14"/>
    <mergeCell ref="R13:R14"/>
    <mergeCell ref="S13:S14"/>
    <mergeCell ref="T13:T14"/>
    <mergeCell ref="U13:U14"/>
    <mergeCell ref="W17:W18"/>
    <mergeCell ref="X17:X18"/>
    <mergeCell ref="Y17:Y18"/>
    <mergeCell ref="Z17:Z18"/>
    <mergeCell ref="O17:O18"/>
    <mergeCell ref="AC15:AC16"/>
    <mergeCell ref="AK15:AK16"/>
    <mergeCell ref="C17:C18"/>
    <mergeCell ref="D17:D18"/>
    <mergeCell ref="E17:E18"/>
    <mergeCell ref="F17:F18"/>
    <mergeCell ref="G17:G18"/>
    <mergeCell ref="H17:H18"/>
    <mergeCell ref="U15:U16"/>
    <mergeCell ref="V15:V16"/>
    <mergeCell ref="W15:W16"/>
    <mergeCell ref="X15:X16"/>
    <mergeCell ref="Y15:Y16"/>
    <mergeCell ref="Z15:Z16"/>
    <mergeCell ref="O15:O16"/>
    <mergeCell ref="P15:P16"/>
    <mergeCell ref="Q15:Q16"/>
    <mergeCell ref="R15:R16"/>
    <mergeCell ref="AA17:AA18"/>
    <mergeCell ref="AB17:AB18"/>
    <mergeCell ref="AC17:AC18"/>
    <mergeCell ref="AK17:AK18"/>
    <mergeCell ref="U17:U18"/>
    <mergeCell ref="V17:V18"/>
    <mergeCell ref="P17:P18"/>
    <mergeCell ref="Q17:Q18"/>
    <mergeCell ref="R17:R18"/>
    <mergeCell ref="S17:S18"/>
    <mergeCell ref="T17:T18"/>
    <mergeCell ref="I17:I18"/>
    <mergeCell ref="J17:J18"/>
    <mergeCell ref="AK19:AK20"/>
    <mergeCell ref="C21:C22"/>
    <mergeCell ref="D21:D22"/>
    <mergeCell ref="U19:U20"/>
    <mergeCell ref="V19:V20"/>
    <mergeCell ref="W19:W20"/>
    <mergeCell ref="X19:X20"/>
    <mergeCell ref="Y19:Y20"/>
    <mergeCell ref="Z19:Z20"/>
    <mergeCell ref="O19:O20"/>
    <mergeCell ref="P19:P20"/>
    <mergeCell ref="Q19:Q20"/>
    <mergeCell ref="R19:R20"/>
    <mergeCell ref="S19:S20"/>
    <mergeCell ref="T19:T20"/>
    <mergeCell ref="I19:I20"/>
    <mergeCell ref="J19:J20"/>
    <mergeCell ref="K19:K20"/>
    <mergeCell ref="L19:L20"/>
    <mergeCell ref="M19:M20"/>
    <mergeCell ref="AA19:AA20"/>
    <mergeCell ref="AB19:AB20"/>
    <mergeCell ref="AC19:AC20"/>
    <mergeCell ref="N19:N20"/>
    <mergeCell ref="AK21:AK22"/>
    <mergeCell ref="C23:C24"/>
    <mergeCell ref="D23:D24"/>
    <mergeCell ref="D19:D20"/>
    <mergeCell ref="E19:E20"/>
    <mergeCell ref="F19:F20"/>
    <mergeCell ref="G19:G20"/>
    <mergeCell ref="H19:H20"/>
    <mergeCell ref="C25:C26"/>
    <mergeCell ref="D25:D26"/>
    <mergeCell ref="E25:E26"/>
    <mergeCell ref="F25:F26"/>
    <mergeCell ref="AK23:AK24"/>
    <mergeCell ref="Z25:Z26"/>
    <mergeCell ref="AA25:AA26"/>
    <mergeCell ref="AB25:AB26"/>
    <mergeCell ref="AC25:AC26"/>
    <mergeCell ref="W25:W26"/>
    <mergeCell ref="X25:X26"/>
    <mergeCell ref="E21:AI24"/>
    <mergeCell ref="D27:D28"/>
    <mergeCell ref="E27:E28"/>
    <mergeCell ref="F27:F28"/>
    <mergeCell ref="G27:G28"/>
    <mergeCell ref="S25:S26"/>
    <mergeCell ref="T25:T26"/>
    <mergeCell ref="U25:U26"/>
    <mergeCell ref="V25:V26"/>
    <mergeCell ref="M25:M26"/>
    <mergeCell ref="N25:N26"/>
    <mergeCell ref="O25:O26"/>
    <mergeCell ref="P25:P26"/>
    <mergeCell ref="Q25:Q26"/>
    <mergeCell ref="R25:R26"/>
    <mergeCell ref="G25:G26"/>
    <mergeCell ref="H25:H26"/>
    <mergeCell ref="I25:I26"/>
    <mergeCell ref="R27:R28"/>
    <mergeCell ref="S27:S28"/>
    <mergeCell ref="H27:H28"/>
    <mergeCell ref="I27:I28"/>
    <mergeCell ref="J27:J28"/>
    <mergeCell ref="K27:K28"/>
    <mergeCell ref="B25:B28"/>
    <mergeCell ref="AL15:AL24"/>
    <mergeCell ref="AL25:AL28"/>
    <mergeCell ref="Z27:Z28"/>
    <mergeCell ref="AA27:AA28"/>
    <mergeCell ref="AB27:AB28"/>
    <mergeCell ref="AC27:AC28"/>
    <mergeCell ref="T27:T28"/>
    <mergeCell ref="U27:U28"/>
    <mergeCell ref="V27:V28"/>
    <mergeCell ref="W27:W28"/>
    <mergeCell ref="X27:X28"/>
    <mergeCell ref="Y27:Y28"/>
    <mergeCell ref="N27:N28"/>
    <mergeCell ref="O27:O28"/>
    <mergeCell ref="P27:P28"/>
    <mergeCell ref="Q27:Q28"/>
    <mergeCell ref="L27:L28"/>
    <mergeCell ref="M27:M28"/>
    <mergeCell ref="Y25:Y26"/>
    <mergeCell ref="J25:J26"/>
    <mergeCell ref="K25:K26"/>
    <mergeCell ref="L25:L26"/>
    <mergeCell ref="C27:C28"/>
  </mergeCells>
  <conditionalFormatting sqref="AB5:AB20 AB25:AB28">
    <cfRule type="containsText" dxfId="11" priority="3" operator="containsText" text="Heure de repas non rentrée">
      <formula>NOT(ISERROR(SEARCH("Heure de repas non rentrée",AB5)))</formula>
    </cfRule>
    <cfRule type="containsText" dxfId="10" priority="4" operator="containsText" text="Heure de sortie non rentrée">
      <formula>NOT(ISERROR(SEARCH("Heure de sortie non rentrée",AB5)))</formula>
    </cfRule>
  </conditionalFormatting>
  <conditionalFormatting sqref="N25:N28 N5:N20">
    <cfRule type="cellIs" dxfId="9" priority="2" operator="greaterThan">
      <formula>0.03125</formula>
    </cfRule>
  </conditionalFormatting>
  <conditionalFormatting sqref="O25:O28 O5:O20">
    <cfRule type="cellIs" dxfId="8" priority="1" operator="not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AW78"/>
  <sheetViews>
    <sheetView topLeftCell="C1" zoomScale="55" zoomScaleNormal="55" workbookViewId="0">
      <selection activeCell="AE4" sqref="AE4:AF4"/>
    </sheetView>
  </sheetViews>
  <sheetFormatPr baseColWidth="10" defaultColWidth="11.453125" defaultRowHeight="14.5" x14ac:dyDescent="0.35"/>
  <cols>
    <col min="1" max="1" width="11.453125" style="2"/>
    <col min="2" max="2" width="11.453125" style="2" customWidth="1"/>
    <col min="3" max="3" width="16.1796875" style="5" customWidth="1"/>
    <col min="4" max="4" width="11.453125" style="2"/>
    <col min="5" max="5" width="11.453125" style="2" customWidth="1"/>
    <col min="6" max="6" width="17.81640625" style="2" customWidth="1"/>
    <col min="7" max="10" width="14.1796875" style="2" customWidth="1"/>
    <col min="11" max="11" width="11.453125" style="2" hidden="1" customWidth="1"/>
    <col min="12" max="15" width="16.453125" style="2" hidden="1" customWidth="1"/>
    <col min="16" max="17" width="18.453125" style="2" customWidth="1"/>
    <col min="18" max="21" width="18.453125" style="2" hidden="1" customWidth="1"/>
    <col min="22" max="24" width="11.453125" style="2" hidden="1" customWidth="1"/>
    <col min="25" max="26" width="20.7265625" style="2" customWidth="1"/>
    <col min="27" max="27" width="20.7265625" style="2" hidden="1" customWidth="1"/>
    <col min="28" max="31" width="20.7265625" style="2" customWidth="1"/>
    <col min="32" max="32" width="21.54296875" style="2" customWidth="1"/>
    <col min="33" max="33" width="11.453125" style="2" hidden="1" customWidth="1"/>
    <col min="34" max="34" width="11.453125" style="2"/>
    <col min="35" max="35" width="11.453125" style="2" hidden="1" customWidth="1"/>
    <col min="36" max="36" width="11.453125" style="2"/>
    <col min="37" max="37" width="11.453125" style="2" hidden="1" customWidth="1"/>
    <col min="38" max="38" width="11.453125" style="2"/>
    <col min="39" max="40" width="11.453125" style="2" hidden="1" customWidth="1"/>
    <col min="41" max="41" width="11.453125" style="2" customWidth="1"/>
    <col min="42" max="46" width="14.26953125" style="2" customWidth="1"/>
    <col min="47" max="47" width="11.453125" style="2" hidden="1" customWidth="1"/>
    <col min="48" max="16384" width="11.453125" style="2"/>
  </cols>
  <sheetData>
    <row r="1" spans="2:49" x14ac:dyDescent="0.35">
      <c r="C1" s="2"/>
    </row>
    <row r="2" spans="2:49" x14ac:dyDescent="0.35">
      <c r="C2" s="2"/>
      <c r="AI2" s="5"/>
      <c r="AJ2" s="5"/>
      <c r="AK2" s="5"/>
      <c r="AL2" s="5"/>
      <c r="AQ2" s="2">
        <f>AQ5+1</f>
        <v>23</v>
      </c>
      <c r="AR2" s="2">
        <f>AQ5+2</f>
        <v>24</v>
      </c>
      <c r="AS2" s="2">
        <f>AQ5+3</f>
        <v>25</v>
      </c>
      <c r="AT2" s="2">
        <f>AQ5+4</f>
        <v>26</v>
      </c>
      <c r="AU2" s="2">
        <v>27</v>
      </c>
    </row>
    <row r="3" spans="2:49" ht="15" thickBot="1" x14ac:dyDescent="0.4">
      <c r="C3" s="2"/>
      <c r="D3" s="4"/>
      <c r="F3" s="4"/>
      <c r="K3" s="58"/>
      <c r="L3" s="58"/>
      <c r="M3" s="58"/>
      <c r="N3" s="58"/>
      <c r="O3" s="58"/>
      <c r="P3" s="58"/>
      <c r="Q3" s="58"/>
      <c r="R3" s="58"/>
      <c r="S3" s="58"/>
      <c r="T3" s="58"/>
      <c r="U3" s="58"/>
      <c r="V3" s="58"/>
      <c r="W3" s="58"/>
      <c r="X3" s="58"/>
      <c r="Y3" s="58"/>
      <c r="Z3" s="58"/>
      <c r="AA3" s="58"/>
      <c r="AB3" s="58"/>
      <c r="AC3" s="58"/>
      <c r="AD3" s="58"/>
      <c r="AE3" s="58"/>
      <c r="AF3" s="58"/>
      <c r="AG3" s="58"/>
      <c r="AI3" s="7"/>
      <c r="AJ3" s="7"/>
      <c r="AK3" s="7"/>
      <c r="AL3" s="7"/>
    </row>
    <row r="4" spans="2:49" ht="66" customHeight="1" thickBot="1" x14ac:dyDescent="0.4">
      <c r="C4" s="121"/>
      <c r="D4" s="122"/>
      <c r="E4" s="122"/>
      <c r="F4" s="123"/>
      <c r="G4" s="17" t="s">
        <v>23</v>
      </c>
      <c r="H4" s="25" t="s">
        <v>22</v>
      </c>
      <c r="I4" s="18" t="s">
        <v>21</v>
      </c>
      <c r="J4" s="19" t="s">
        <v>24</v>
      </c>
      <c r="K4" s="21" t="s">
        <v>1</v>
      </c>
      <c r="L4" s="22" t="s">
        <v>7</v>
      </c>
      <c r="M4" s="22" t="s">
        <v>19</v>
      </c>
      <c r="N4" s="27" t="s">
        <v>26</v>
      </c>
      <c r="O4" s="27" t="s">
        <v>29</v>
      </c>
      <c r="P4" s="22" t="s">
        <v>63</v>
      </c>
      <c r="Q4" s="22" t="s">
        <v>31</v>
      </c>
      <c r="R4" s="27" t="s">
        <v>30</v>
      </c>
      <c r="S4" s="27" t="s">
        <v>27</v>
      </c>
      <c r="T4" s="27" t="s">
        <v>35</v>
      </c>
      <c r="U4" s="27" t="s">
        <v>36</v>
      </c>
      <c r="V4" s="27" t="s">
        <v>2</v>
      </c>
      <c r="W4" s="27" t="s">
        <v>0</v>
      </c>
      <c r="X4" s="28" t="s">
        <v>16</v>
      </c>
      <c r="Y4" s="56" t="s">
        <v>17</v>
      </c>
      <c r="Z4" s="56" t="s">
        <v>32</v>
      </c>
      <c r="AA4" s="29" t="s">
        <v>37</v>
      </c>
      <c r="AB4" s="24" t="s">
        <v>33</v>
      </c>
      <c r="AC4" s="24" t="s">
        <v>34</v>
      </c>
      <c r="AD4" s="24" t="s">
        <v>28</v>
      </c>
      <c r="AE4" s="24" t="s">
        <v>74</v>
      </c>
      <c r="AF4" s="23" t="s">
        <v>75</v>
      </c>
      <c r="AG4" s="8"/>
      <c r="AH4" s="124" t="s">
        <v>6</v>
      </c>
      <c r="AI4" s="125"/>
      <c r="AJ4" s="125"/>
      <c r="AK4" s="125"/>
      <c r="AL4" s="126"/>
      <c r="AP4" s="54" t="s">
        <v>40</v>
      </c>
      <c r="AQ4" s="53" t="s">
        <v>38</v>
      </c>
      <c r="AR4" s="41" t="s">
        <v>67</v>
      </c>
      <c r="AS4" s="54" t="s">
        <v>66</v>
      </c>
      <c r="AT4" s="54" t="s">
        <v>65</v>
      </c>
      <c r="AU4" s="61" t="s">
        <v>9</v>
      </c>
    </row>
    <row r="5" spans="2:49" ht="44" thickBot="1" x14ac:dyDescent="0.4">
      <c r="B5" s="58">
        <f>IF(AP5="Lundi",1,IF(AP5="Mardi",2,IF(AP5="Mercredi",3,IF(AP5="Jeudi",4,IF(AP5="Vendredi",5,IF(AP5="Samedi",6,IF(AP5="Dimanche",7,"y'a un truc bizarre là")))))))</f>
        <v>2</v>
      </c>
      <c r="C5" s="145" t="s">
        <v>69</v>
      </c>
      <c r="D5" s="89" t="str">
        <f>IF($B$5=1,"Lundi",IF($B$5=2,"Mardi",IF($B$5=3,"Mercredi",IF($B$5=4,"Jeudi",IF($B$5=5,"Vendredi")))))</f>
        <v>Mardi</v>
      </c>
      <c r="E5" s="129" t="str">
        <f xml:space="preserve"> "1 " &amp;$AR$5</f>
        <v>1 Juin</v>
      </c>
      <c r="F5" s="91" t="s">
        <v>20</v>
      </c>
      <c r="G5" s="93">
        <v>0.37916666666666665</v>
      </c>
      <c r="H5" s="95">
        <v>0.5131944444444444</v>
      </c>
      <c r="I5" s="97">
        <v>0.5131944444444444</v>
      </c>
      <c r="J5" s="99">
        <v>0.77986111111111101</v>
      </c>
      <c r="K5" s="101">
        <v>0.31111111111111112</v>
      </c>
      <c r="L5" s="86">
        <v>0.32500000000000001</v>
      </c>
      <c r="M5" s="88">
        <v>3.125E-2</v>
      </c>
      <c r="N5" s="76">
        <f t="shared" ref="N5" si="0">M5*24</f>
        <v>0.75</v>
      </c>
      <c r="O5" s="85">
        <f t="shared" ref="O5" si="1">I5-H5</f>
        <v>0</v>
      </c>
      <c r="P5" s="82">
        <f t="shared" ref="P5" si="2">IF(O5&lt;0.75,IF(I5=0,0,I5-H5),M5)</f>
        <v>0</v>
      </c>
      <c r="Q5" s="82">
        <f>IF(R5&lt;0,0,R5/24)</f>
        <v>0</v>
      </c>
      <c r="R5" s="84" t="str">
        <f>IF(P5=0,"0",M5*24-P5*24)</f>
        <v>0</v>
      </c>
      <c r="S5" s="76">
        <f>P5*24</f>
        <v>0</v>
      </c>
      <c r="T5" s="76">
        <f>IF(R5&lt;0,S5,S5+R5)</f>
        <v>0</v>
      </c>
      <c r="U5" s="76">
        <f>IF(T5&lt;=0.75,M5,T5/24)</f>
        <v>3.125E-2</v>
      </c>
      <c r="V5" s="74">
        <f>G5*24</f>
        <v>9.1</v>
      </c>
      <c r="W5" s="76">
        <f>IF(S5&gt;0.75, V5+L5*24+P5*24,V5+L5*24+M5*24)</f>
        <v>17.649999999999999</v>
      </c>
      <c r="X5" s="78">
        <f>IF(J5=0,24*(H5-G5)-(K5*24+1/6),(24*(J5-G5)-((U5*24)+(L5*24))))</f>
        <v>1.0666666666666629</v>
      </c>
      <c r="Y5" s="71">
        <f>IF(X5=-7.8,0,IF(X5&gt;=0,0,IF(X5&lt;0,ABS(X5)/24,"0")))</f>
        <v>0</v>
      </c>
      <c r="Z5" s="71">
        <f>IF(X5&lt;0,"0",ABS(X5)/24)</f>
        <v>4.4444444444444287E-2</v>
      </c>
      <c r="AA5" s="80">
        <f ca="1">IF(X5&lt;-7.63,0,IF(AS5&gt;0,SUM(X5)-AS5*24,IF(AT5&gt;0,SUM(X5)+AT5*24)))</f>
        <v>11.733333333333292</v>
      </c>
      <c r="AB5" s="69">
        <f ca="1">IF(G5=0,"Heure d'arrivée non rentrée",IF((H5=0),"heure de départ en pause repas non rentrée",IF(I5=0,"Heure de fin de repas non rentrée",IF(J5=0,"Heure de sortie non rentrée",IF(AA5&lt;0,ABS(AA5)/24,0)))))</f>
        <v>0</v>
      </c>
      <c r="AC5" s="71">
        <f ca="1">IF(G5=0,"Heure d'arrivée non rentrée",IF((H5=0),"heure de départ en pause repas non rentrée",IF(I5=0,"Heure de fin de repas non rentrée",IF(J5=0,"Heure de sortie non rentrée",IF(AA5&gt;0,ABS(AA5)/24,0)))))</f>
        <v>0.48888888888888715</v>
      </c>
      <c r="AD5" s="71">
        <f>IF(G5=0,0,IF(H5=0, "Heure de repas non rentrée",IF(I5=0, H5-G5, IF(J5=0,"Heure de sortie non rentrée",IF(Y5=0,(K5+Z5),K5-Y5)))))</f>
        <v>0.3555555555555554</v>
      </c>
      <c r="AE5" s="134">
        <f ca="1">IF(G5=0,"",IF($AS$5="Heure d'arrivée non rentrée","",IF($AS$5="heure de départ en pause repas non rentrée","",IF($AS$5="Heure de fin de repas non rentrée","",IF($AS$5="Heure de sortie non rentrée","",IF($AT$5="Heure d'arrivée non rentrée","",IF($AT$5="heure de départ en pause repas non rentrée","",IF($AT$5="Heure de fin de repas non rentrée","",IF($AT$5="Heure de sortie non rentrée","",IF($AS$5&gt;0,AF5+$AS$5,IF($AT$5&gt;0,AF5:AF6-$AT$5,"")))))))))))</f>
        <v>0.29097222222222374</v>
      </c>
      <c r="AF5" s="72">
        <f>IF(W5=8.55,0,W5/24)</f>
        <v>0.73541666666666661</v>
      </c>
      <c r="AG5" s="3" t="s">
        <v>3</v>
      </c>
      <c r="AH5" s="1" t="s">
        <v>3</v>
      </c>
      <c r="AI5" s="1" t="s">
        <v>4</v>
      </c>
      <c r="AJ5" s="1" t="s">
        <v>4</v>
      </c>
      <c r="AK5" s="1" t="s">
        <v>5</v>
      </c>
      <c r="AL5" s="9" t="s">
        <v>5</v>
      </c>
      <c r="AM5" s="129">
        <v>1</v>
      </c>
      <c r="AN5" s="132"/>
      <c r="AP5" s="52" t="s">
        <v>11</v>
      </c>
      <c r="AQ5" s="52">
        <v>22</v>
      </c>
      <c r="AR5" s="52" t="s">
        <v>43</v>
      </c>
      <c r="AS5" s="55">
        <f ca="1">INDIRECT("'"&amp;Feuiprec()&amp;"'!Z27")</f>
        <v>0</v>
      </c>
      <c r="AT5" s="55">
        <f ca="1">INDIRECT("'"&amp;Feuiprec()&amp;"'!AA27")</f>
        <v>0.44444444444444287</v>
      </c>
      <c r="AU5" s="62" t="s">
        <v>11</v>
      </c>
      <c r="AV5" s="34"/>
      <c r="AW5" s="34"/>
    </row>
    <row r="6" spans="2:49" ht="15.75" customHeight="1" thickBot="1" x14ac:dyDescent="0.4">
      <c r="B6" s="58"/>
      <c r="C6" s="147"/>
      <c r="D6" s="103"/>
      <c r="E6" s="130"/>
      <c r="F6" s="92"/>
      <c r="G6" s="94"/>
      <c r="H6" s="96"/>
      <c r="I6" s="98"/>
      <c r="J6" s="100"/>
      <c r="K6" s="102"/>
      <c r="L6" s="87"/>
      <c r="M6" s="87"/>
      <c r="N6" s="77"/>
      <c r="O6" s="77"/>
      <c r="P6" s="83"/>
      <c r="Q6" s="83"/>
      <c r="R6" s="77"/>
      <c r="S6" s="77"/>
      <c r="T6" s="77"/>
      <c r="U6" s="77"/>
      <c r="V6" s="75"/>
      <c r="W6" s="77"/>
      <c r="X6" s="79"/>
      <c r="Y6" s="70"/>
      <c r="Z6" s="70"/>
      <c r="AA6" s="81"/>
      <c r="AB6" s="70"/>
      <c r="AC6" s="70"/>
      <c r="AD6" s="70"/>
      <c r="AE6" s="135"/>
      <c r="AF6" s="73"/>
      <c r="AG6" s="14">
        <f>IF(AF5=0,0,AF5*24 + 0.5)</f>
        <v>18.149999999999999</v>
      </c>
      <c r="AH6" s="11">
        <f>AG6/24</f>
        <v>0.75624999999999998</v>
      </c>
      <c r="AI6" s="10">
        <f>IF(AG6=0,0,AG6+0.5)</f>
        <v>18.649999999999999</v>
      </c>
      <c r="AJ6" s="12">
        <f>IF(AI6=0,0,AI6/24)</f>
        <v>0.77708333333333324</v>
      </c>
      <c r="AK6" s="10">
        <f>IF(AG6=0,0,AG6+1.5)</f>
        <v>19.649999999999999</v>
      </c>
      <c r="AL6" s="13">
        <f>AK6/24</f>
        <v>0.81874999999999998</v>
      </c>
      <c r="AM6" s="131"/>
      <c r="AN6" s="133"/>
      <c r="AO6" s="40"/>
      <c r="AP6" s="32"/>
      <c r="AU6" s="62" t="s">
        <v>12</v>
      </c>
    </row>
    <row r="7" spans="2:49" ht="43.5" x14ac:dyDescent="0.35">
      <c r="C7" s="145"/>
      <c r="D7" s="89" t="str">
        <f>IF($B$5=1,"Mardi",IF($B$5=2,"Mercredi",IF($B$5=3,"Jeudi",IF($B$5=4,"Vendredi",IF($B$5=5,"Lundi")))))</f>
        <v>Mercredi</v>
      </c>
      <c r="E7" s="89" t="str">
        <f>"2 " &amp;$AR$5</f>
        <v>2 Juin</v>
      </c>
      <c r="F7" s="91" t="s">
        <v>20</v>
      </c>
      <c r="G7" s="93"/>
      <c r="H7" s="95"/>
      <c r="I7" s="97"/>
      <c r="J7" s="99"/>
      <c r="K7" s="101">
        <v>0.31111111111111112</v>
      </c>
      <c r="L7" s="86">
        <v>0.32500000000000001</v>
      </c>
      <c r="M7" s="88">
        <v>3.125E-2</v>
      </c>
      <c r="N7" s="76">
        <f t="shared" ref="N7" si="3">M7*24</f>
        <v>0.75</v>
      </c>
      <c r="O7" s="85">
        <f t="shared" ref="O7" si="4">I7-H7</f>
        <v>0</v>
      </c>
      <c r="P7" s="82">
        <f t="shared" ref="P7" si="5">IF(O7&lt;0.75,IF(I7=0,0,I7-H7),M7)</f>
        <v>0</v>
      </c>
      <c r="Q7" s="82">
        <f>IF(R7&lt;0,0,R7/24)</f>
        <v>0</v>
      </c>
      <c r="R7" s="84" t="str">
        <f>IF(P7=0,"0",M7*24-P7*24)</f>
        <v>0</v>
      </c>
      <c r="S7" s="76">
        <f>P7*24</f>
        <v>0</v>
      </c>
      <c r="T7" s="76">
        <f>IF(R7&lt;0,S7,S7+R7)</f>
        <v>0</v>
      </c>
      <c r="U7" s="76">
        <f>IF(T7&lt;=0.75,M7,T7/24)</f>
        <v>3.125E-2</v>
      </c>
      <c r="V7" s="74">
        <f>G7*24</f>
        <v>0</v>
      </c>
      <c r="W7" s="76">
        <f>IF(S7&gt;0.75, V7+L7*24+P7*24,V7+L7*24+M7*24)</f>
        <v>8.5500000000000007</v>
      </c>
      <c r="X7" s="78">
        <f>IF(J7=0,24*(H7-G7)-(K7*24+1/6),(24*(J7-G7)-((U7*24)+(L7*24))))</f>
        <v>-7.6333333333333337</v>
      </c>
      <c r="Y7" s="71">
        <f>IF(X7&lt;=-7.8,0,IF(X7&gt;=0,0,IF(X7&lt;0,ABS(X7)/24,"0")))</f>
        <v>0.31805555555555559</v>
      </c>
      <c r="Z7" s="71" t="str">
        <f>IF(X7&lt;0,"0",ABS(X7)/24)</f>
        <v>0</v>
      </c>
      <c r="AA7" s="80">
        <f>IF(X7&lt;-7.63,0,SUM($X$7:X8)+$AA$5)</f>
        <v>0</v>
      </c>
      <c r="AB7" s="69" t="str">
        <f t="shared" ref="AB7" si="6">IF(G7=0,"Heure d'arrivée non rentrée",IF((H7=0),"heure de départ en pause repas non rentrée",IF(I7=0,"Heure de fin de repas non rentrée",IF(J7=0,"Heure de sortie non rentrée",IF(AA7&lt;0,ABS(AA7)/24,0)))))</f>
        <v>Heure d'arrivée non rentrée</v>
      </c>
      <c r="AC7" s="71" t="str">
        <f>IF(G7=0,"Heure d'arrivée non rentrée",IF((H7=0),"heure de départ en pause repas non rentrée",IF(I7=0,"Heure de fin de repas non rentrée",IF(J7=0,"Heure de sortie non rentrée",IF(AA7&gt;0,ABS(AA7)/24,0)))))</f>
        <v>Heure d'arrivée non rentrée</v>
      </c>
      <c r="AD7" s="71">
        <f>IF(G7=0,0,IF(H7=0, "Heure de repas non rentrée",IF(I7=0, H7-G7, IF(J7=0,"Heure de sortie non rentrée",IF(Y7=0,(K7+Z7),K7-Y7)))))</f>
        <v>0</v>
      </c>
      <c r="AE7" s="134" t="str">
        <f>IF(G7=0,"",IF(AB5="Heure d'arrivée non rentrée","",IF(AB5="heure de départ en pause repas non rentrée","",IF(AB5="Heure de fin de repas non rentrée","",IF(AB5="Heure de sortie non rentrée","",IF(AC5="Heure d'arrivée non rentrée","",IF(AC5="heure de départ en pause repas non rentrée","",IF(AC5="Heure de fin de repas non rentrée","",IF(AC5="Heure de sortie non rentrée","",IF(AB5&gt;0,AF7+AB5,IF(AC5&gt;0,AF7:AF8-AC5,"")))))))))))</f>
        <v/>
      </c>
      <c r="AF7" s="72">
        <f>IF(W7=8.55,0,W7/24)</f>
        <v>0</v>
      </c>
      <c r="AG7" s="3" t="s">
        <v>3</v>
      </c>
      <c r="AH7" s="1" t="s">
        <v>3</v>
      </c>
      <c r="AI7" s="1" t="s">
        <v>4</v>
      </c>
      <c r="AJ7" s="1" t="s">
        <v>4</v>
      </c>
      <c r="AK7" s="1" t="s">
        <v>5</v>
      </c>
      <c r="AL7" s="9" t="s">
        <v>5</v>
      </c>
      <c r="AM7" s="131">
        <v>2</v>
      </c>
      <c r="AN7" s="136"/>
      <c r="AO7" s="40"/>
      <c r="AP7" s="32"/>
      <c r="AU7" s="62" t="s">
        <v>13</v>
      </c>
    </row>
    <row r="8" spans="2:49" ht="15.75" customHeight="1" thickBot="1" x14ac:dyDescent="0.4">
      <c r="C8" s="147"/>
      <c r="D8" s="103"/>
      <c r="E8" s="90"/>
      <c r="F8" s="92"/>
      <c r="G8" s="94"/>
      <c r="H8" s="96"/>
      <c r="I8" s="98"/>
      <c r="J8" s="100"/>
      <c r="K8" s="102"/>
      <c r="L8" s="87"/>
      <c r="M8" s="87"/>
      <c r="N8" s="77"/>
      <c r="O8" s="77"/>
      <c r="P8" s="83"/>
      <c r="Q8" s="83"/>
      <c r="R8" s="77"/>
      <c r="S8" s="77"/>
      <c r="T8" s="77"/>
      <c r="U8" s="77"/>
      <c r="V8" s="75"/>
      <c r="W8" s="77"/>
      <c r="X8" s="79"/>
      <c r="Y8" s="70"/>
      <c r="Z8" s="70"/>
      <c r="AA8" s="81"/>
      <c r="AB8" s="70"/>
      <c r="AC8" s="70"/>
      <c r="AD8" s="70"/>
      <c r="AE8" s="135"/>
      <c r="AF8" s="73"/>
      <c r="AG8" s="14">
        <f>IF(AF7=0,0,AF7*24 + 0.5)</f>
        <v>0</v>
      </c>
      <c r="AH8" s="11">
        <f>AG8/24</f>
        <v>0</v>
      </c>
      <c r="AI8" s="10">
        <f>IF(AG8=0,0,AG8+0.5)</f>
        <v>0</v>
      </c>
      <c r="AJ8" s="12">
        <f>IF(AI8=0,0,AI8/24)</f>
        <v>0</v>
      </c>
      <c r="AK8" s="10">
        <f>IF(AG8=0,0,AG8+1.5)</f>
        <v>0</v>
      </c>
      <c r="AL8" s="13">
        <f>AK8/24</f>
        <v>0</v>
      </c>
      <c r="AM8" s="131"/>
      <c r="AN8" s="137"/>
      <c r="AO8" s="40"/>
      <c r="AP8" s="32"/>
      <c r="AQ8" s="35"/>
      <c r="AU8" s="62" t="s">
        <v>14</v>
      </c>
    </row>
    <row r="9" spans="2:49" ht="43.5" x14ac:dyDescent="0.35">
      <c r="C9" s="145"/>
      <c r="D9" s="89" t="str">
        <f>IF($B$5=1,"Mercredi",IF($B$5=2,"Jeudi",IF($B$5=3,"Vendredi",IF($B$5=4,"Lundi",IF($B$5=5,"Mardi")))))</f>
        <v>Jeudi</v>
      </c>
      <c r="E9" s="103" t="str">
        <f>"3 " &amp;$AR$5</f>
        <v>3 Juin</v>
      </c>
      <c r="F9" s="91" t="s">
        <v>20</v>
      </c>
      <c r="G9" s="93"/>
      <c r="H9" s="95"/>
      <c r="I9" s="97"/>
      <c r="J9" s="99"/>
      <c r="K9" s="101">
        <v>0.31111111111111112</v>
      </c>
      <c r="L9" s="86">
        <v>0.32500000000000001</v>
      </c>
      <c r="M9" s="88">
        <v>3.125E-2</v>
      </c>
      <c r="N9" s="76">
        <f t="shared" ref="N9" si="7">M9*24</f>
        <v>0.75</v>
      </c>
      <c r="O9" s="85">
        <f t="shared" ref="O9" si="8">I9-H9</f>
        <v>0</v>
      </c>
      <c r="P9" s="82">
        <f t="shared" ref="P9" si="9">IF(O9&lt;0.75,IF(I9=0,0,I9-H9),M9)</f>
        <v>0</v>
      </c>
      <c r="Q9" s="82">
        <f t="shared" ref="Q9" si="10">IF(R9&lt;0,0,R9/24)</f>
        <v>0</v>
      </c>
      <c r="R9" s="84" t="str">
        <f>IF(P9=0,"0",M9*24-P9*24)</f>
        <v>0</v>
      </c>
      <c r="S9" s="76">
        <f>P9*24</f>
        <v>0</v>
      </c>
      <c r="T9" s="76">
        <f t="shared" ref="T9" si="11">IF(R9&lt;0,S9,S9+R9)</f>
        <v>0</v>
      </c>
      <c r="U9" s="76">
        <f>IF(T9&lt;=0.75,M9,T9/24)</f>
        <v>3.125E-2</v>
      </c>
      <c r="V9" s="74">
        <f>G9*24</f>
        <v>0</v>
      </c>
      <c r="W9" s="76">
        <f>IF(S9&gt;0.75, V9+L9*24+P9*24,V9+L9*24+M9*24)</f>
        <v>8.5500000000000007</v>
      </c>
      <c r="X9" s="117">
        <f>IF(J9=0,24*(H9-G9)-(K9*24+1/6),(24*(J9-G9)-((U9*24)+(L9*24))))</f>
        <v>-7.6333333333333337</v>
      </c>
      <c r="Y9" s="71">
        <f>IF(X9&lt;=-7.63,0,IF(X9&gt;=0,0,IF(X9&lt;0,ABS(X9)/24,"0")))</f>
        <v>0</v>
      </c>
      <c r="Z9" s="71" t="str">
        <f t="shared" ref="Z9" si="12">IF(X9&lt;0,"0",ABS(X9)/24)</f>
        <v>0</v>
      </c>
      <c r="AA9" s="80">
        <f>IF(X9&lt;-7.63,0,SUM($X$7:X10)+$AA$5)</f>
        <v>0</v>
      </c>
      <c r="AB9" s="69" t="str">
        <f t="shared" ref="AB9" si="13">IF(G9=0,"Heure d'arrivée non rentrée",IF((H9=0),"heure de départ en pause repas non rentrée",IF(I9=0,"Heure de fin de repas non rentrée",IF(J9=0,"Heure de sortie non rentrée",IF(AA9&lt;0,ABS(AA9)/24,0)))))</f>
        <v>Heure d'arrivée non rentrée</v>
      </c>
      <c r="AC9" s="71" t="str">
        <f>IF(G9=0,"Heure d'arrivée non rentrée",IF((H9=0),"heure de départ en pause repas non rentrée",IF(I9=0,"Heure de fin de repas non rentrée",IF(J9=0,"Heure de sortie non rentrée",IF(AA9&gt;0,ABS(AA9)/24,0)))))</f>
        <v>Heure d'arrivée non rentrée</v>
      </c>
      <c r="AD9" s="71">
        <f>IF(G9=0,0,IF(H9=0, "Heure de repas non rentrée",IF(I9=0, H9-G9, IF(J9=0,"Heure de sortie non rentrée",IF(Y9=0,(K9+Z9),K9-Y9)))))</f>
        <v>0</v>
      </c>
      <c r="AE9" s="134" t="str">
        <f>IF(G9=0,"",IF(AB7="Heure d'arrivée non rentrée","",IF(AB7="heure de départ en pause repas non rentrée","",IF(AB7="Heure de fin de repas non rentrée","",IF(AB7="Heure de sortie non rentrée","",IF(AC7="Heure d'arrivée non rentrée","",IF(AC7="heure de départ en pause repas non rentrée","",IF(AC7="Heure de fin de repas non rentrée","",IF(AC7="Heure de sortie non rentrée","",IF(AB7&gt;0,AF9+AB7,IF(AC7&gt;0,AF9:AF10-AC7,"")))))))))))</f>
        <v/>
      </c>
      <c r="AF9" s="72">
        <f>IF(W9=8.55,0,W9/24)</f>
        <v>0</v>
      </c>
      <c r="AG9" s="3" t="s">
        <v>3</v>
      </c>
      <c r="AH9" s="1" t="s">
        <v>3</v>
      </c>
      <c r="AI9" s="1" t="s">
        <v>4</v>
      </c>
      <c r="AJ9" s="1" t="s">
        <v>4</v>
      </c>
      <c r="AK9" s="1" t="s">
        <v>5</v>
      </c>
      <c r="AL9" s="9" t="s">
        <v>5</v>
      </c>
      <c r="AM9" s="131">
        <v>3</v>
      </c>
      <c r="AN9" s="139"/>
      <c r="AO9" s="40"/>
      <c r="AP9" s="32"/>
      <c r="AU9" s="62" t="s">
        <v>41</v>
      </c>
    </row>
    <row r="10" spans="2:49" ht="15.75" customHeight="1" thickBot="1" x14ac:dyDescent="0.4">
      <c r="C10" s="147"/>
      <c r="D10" s="103"/>
      <c r="E10" s="90"/>
      <c r="F10" s="92"/>
      <c r="G10" s="94"/>
      <c r="H10" s="96"/>
      <c r="I10" s="98"/>
      <c r="J10" s="100"/>
      <c r="K10" s="102"/>
      <c r="L10" s="87"/>
      <c r="M10" s="87"/>
      <c r="N10" s="77"/>
      <c r="O10" s="77"/>
      <c r="P10" s="83"/>
      <c r="Q10" s="83"/>
      <c r="R10" s="77"/>
      <c r="S10" s="77"/>
      <c r="T10" s="77"/>
      <c r="U10" s="77"/>
      <c r="V10" s="75"/>
      <c r="W10" s="77"/>
      <c r="X10" s="118"/>
      <c r="Y10" s="70"/>
      <c r="Z10" s="70"/>
      <c r="AA10" s="81"/>
      <c r="AB10" s="70"/>
      <c r="AC10" s="70"/>
      <c r="AD10" s="70"/>
      <c r="AE10" s="135"/>
      <c r="AF10" s="73"/>
      <c r="AG10" s="14">
        <f>IF(AF9=0,0,AF9*24 + 0.5)</f>
        <v>0</v>
      </c>
      <c r="AH10" s="11">
        <f>AG10/24</f>
        <v>0</v>
      </c>
      <c r="AI10" s="10">
        <f>IF(AG10=0,0,AG10+0.5)</f>
        <v>0</v>
      </c>
      <c r="AJ10" s="12">
        <f>IF(AI10=0,0,AI10/24)</f>
        <v>0</v>
      </c>
      <c r="AK10" s="10">
        <f>IF(AG10=0,0,AG10+1.5)</f>
        <v>0</v>
      </c>
      <c r="AL10" s="13">
        <f>AK10/24</f>
        <v>0</v>
      </c>
      <c r="AM10" s="138"/>
      <c r="AN10" s="140"/>
      <c r="AO10" s="40"/>
      <c r="AP10" s="32"/>
      <c r="AU10" s="63" t="s">
        <v>42</v>
      </c>
    </row>
    <row r="11" spans="2:49" ht="44" thickBot="1" x14ac:dyDescent="0.4">
      <c r="C11" s="145"/>
      <c r="D11" s="89" t="str">
        <f>IF($B$5=1,"Jeudi",IF($B$5=2,"Vendredi",IF($B$5=3,"Lundi",IF($B$5=4,"Mardi",IF($B$5=5,"Mercredi","")))))</f>
        <v>Vendredi</v>
      </c>
      <c r="E11" s="89" t="str">
        <f>"6 "&amp; $AR$5</f>
        <v>6 Juin</v>
      </c>
      <c r="F11" s="91" t="s">
        <v>20</v>
      </c>
      <c r="G11" s="93"/>
      <c r="H11" s="95"/>
      <c r="I11" s="97"/>
      <c r="J11" s="99"/>
      <c r="K11" s="101">
        <v>0.31111111111111112</v>
      </c>
      <c r="L11" s="86">
        <v>0.32500000000000001</v>
      </c>
      <c r="M11" s="88">
        <v>3.125E-2</v>
      </c>
      <c r="N11" s="76">
        <f t="shared" ref="N11:N13" si="14">M11*24</f>
        <v>0.75</v>
      </c>
      <c r="O11" s="85">
        <f t="shared" ref="O11:O13" si="15">I11-H11</f>
        <v>0</v>
      </c>
      <c r="P11" s="82">
        <f t="shared" ref="P11:P13" si="16">IF(O11&lt;0.75,IF(I11=0,0,I11-H11),M11)</f>
        <v>0</v>
      </c>
      <c r="Q11" s="82">
        <f t="shared" ref="Q11:Q13" si="17">IF(R11&lt;0,0,R11/24)</f>
        <v>0</v>
      </c>
      <c r="R11" s="84" t="str">
        <f>IF(P11=0,"0",M11*24-P11*24)</f>
        <v>0</v>
      </c>
      <c r="S11" s="76">
        <f>P11*24</f>
        <v>0</v>
      </c>
      <c r="T11" s="76">
        <f t="shared" ref="T11" si="18">IF(R11&lt;0,S11,S11+R11)</f>
        <v>0</v>
      </c>
      <c r="U11" s="76">
        <f>IF(T11&lt;=0.75,M11,T11/24)</f>
        <v>3.125E-2</v>
      </c>
      <c r="V11" s="74">
        <f>G11*24</f>
        <v>0</v>
      </c>
      <c r="W11" s="76">
        <f>IF(S11&gt;0.75, V11+L11*24+P11*24,V11+L11*24+M11*24)</f>
        <v>8.5500000000000007</v>
      </c>
      <c r="X11" s="78">
        <f>IF(J11=0,24*(H11-G11)-(K11*24+1/6),(24*(J11-G11)-((U11*24)+(L11*24))))</f>
        <v>-7.6333333333333337</v>
      </c>
      <c r="Y11" s="71">
        <f t="shared" ref="Y11" si="19">IF(X11&lt;=-7.63,0,IF(X11&gt;=0,0,IF(X11&lt;0,ABS(X11)/24,"0")))</f>
        <v>0</v>
      </c>
      <c r="Z11" s="71" t="str">
        <f t="shared" ref="Z11" si="20">IF(X11&lt;0,"0",ABS(X11)/24)</f>
        <v>0</v>
      </c>
      <c r="AA11" s="80">
        <f>IF(X11&lt;-7.63,0,SUM($X$7:X12)+$AA$5)</f>
        <v>0</v>
      </c>
      <c r="AB11" s="69" t="str">
        <f t="shared" ref="AB11" si="21">IF(G11=0,"Heure d'arrivée non rentrée",IF((H11=0),"heure de départ en pause repas non rentrée",IF(I11=0,"Heure de fin de repas non rentrée",IF(J11=0,"Heure de sortie non rentrée",IF(AA11&lt;0,ABS(AA11)/24,0)))))</f>
        <v>Heure d'arrivée non rentrée</v>
      </c>
      <c r="AC11" s="71" t="str">
        <f t="shared" ref="AC11" si="22">IF(G11=0,"Heure d'arrivée non rentrée",IF((H11=0),"heure de départ en pause repas non rentrée",IF(I11=0,"Heure de fin de repas non rentrée",IF(J11=0,"Heure de sortie non rentrée",IF(AA11&gt;0,ABS(AA11)/24,0)))))</f>
        <v>Heure d'arrivée non rentrée</v>
      </c>
      <c r="AD11" s="71">
        <f t="shared" ref="AD11" si="23">IF(G11=0,0,IF(H11=0, "Heure de repas non rentrée",IF(I11=0, H11-G11, IF(J11=0,"Heure de sortie non rentrée",IF(Y11=0,(K11+Z11),K11-Y11)))))</f>
        <v>0</v>
      </c>
      <c r="AE11" s="134" t="str">
        <f>IF(G11=0,"",IF(AB9="Heure d'arrivée non rentrée","",IF(AB9="heure de départ en pause repas non rentrée","",IF(AB9="Heure de fin de repas non rentrée","",IF(AB9="Heure de sortie non rentrée","",IF(AC9="Heure d'arrivée non rentrée","",IF(AC9="heure de départ en pause repas non rentrée","",IF(AC9="Heure de fin de repas non rentrée","",IF(AC9="Heure de sortie non rentrée","",IF(AB9&gt;0,AF11+AB9,IF(AC9&gt;0,AF11:AF12-AC9,"")))))))))))</f>
        <v/>
      </c>
      <c r="AF11" s="72">
        <f>IF(W11=8.55,0,W11/24)</f>
        <v>0</v>
      </c>
      <c r="AG11" s="3" t="s">
        <v>3</v>
      </c>
      <c r="AH11" s="1" t="s">
        <v>3</v>
      </c>
      <c r="AI11" s="1" t="s">
        <v>4</v>
      </c>
      <c r="AJ11" s="1" t="s">
        <v>4</v>
      </c>
      <c r="AK11" s="1" t="s">
        <v>5</v>
      </c>
      <c r="AL11" s="9" t="s">
        <v>5</v>
      </c>
      <c r="AM11" s="129">
        <v>6</v>
      </c>
      <c r="AN11" s="141">
        <f>AQ5+1</f>
        <v>23</v>
      </c>
      <c r="AO11" s="39"/>
      <c r="AQ11" s="104"/>
      <c r="AU11" s="41">
        <f>IF(AR5="Janvier", 31, IF(AR5="Février",28,IF(AR5="Mars", 31, IF(AR5 = "Avril", 30, IF(AR5 = "Mai", 31, IF(AR5 = "Juin", 30, IF(AR5 = "Juillet", 31, IF(AR5 = "Août", 31, IF(AR5 = "Septembre", 30, IF(AR5 = "Octobre", 31, IF(AR5 = "Novembre", 30, IF(AR5 = "Décembre", 31,"formule"))))))))))))</f>
        <v>30</v>
      </c>
    </row>
    <row r="12" spans="2:49" ht="15.75" customHeight="1" thickBot="1" x14ac:dyDescent="0.4">
      <c r="C12" s="147"/>
      <c r="D12" s="90"/>
      <c r="E12" s="90"/>
      <c r="F12" s="92"/>
      <c r="G12" s="94"/>
      <c r="H12" s="96"/>
      <c r="I12" s="98"/>
      <c r="J12" s="100"/>
      <c r="K12" s="102"/>
      <c r="L12" s="87"/>
      <c r="M12" s="87"/>
      <c r="N12" s="77"/>
      <c r="O12" s="77"/>
      <c r="P12" s="83"/>
      <c r="Q12" s="83"/>
      <c r="R12" s="77"/>
      <c r="S12" s="77"/>
      <c r="T12" s="77"/>
      <c r="U12" s="77"/>
      <c r="V12" s="75"/>
      <c r="W12" s="77"/>
      <c r="X12" s="79"/>
      <c r="Y12" s="70"/>
      <c r="Z12" s="70"/>
      <c r="AA12" s="81"/>
      <c r="AB12" s="70"/>
      <c r="AC12" s="70"/>
      <c r="AD12" s="70"/>
      <c r="AE12" s="135"/>
      <c r="AF12" s="73"/>
      <c r="AG12" s="14">
        <f>IF(AF11=0,0,AF11*24 + 0.5)</f>
        <v>0</v>
      </c>
      <c r="AH12" s="11">
        <f>AG12/24</f>
        <v>0</v>
      </c>
      <c r="AI12" s="10">
        <f>IF(AG12=0,0,AG12+0.5)</f>
        <v>0</v>
      </c>
      <c r="AJ12" s="12">
        <f>IF(AI12=0,0,AI12/24)</f>
        <v>0</v>
      </c>
      <c r="AK12" s="10">
        <f>IF(AG12=0,0,AG12+1.5)</f>
        <v>0</v>
      </c>
      <c r="AL12" s="13">
        <f>AK12/24</f>
        <v>0</v>
      </c>
      <c r="AM12" s="131"/>
      <c r="AN12" s="142">
        <f>AQ5+1</f>
        <v>23</v>
      </c>
      <c r="AO12" s="39"/>
      <c r="AQ12" s="104"/>
      <c r="AU12" s="57"/>
    </row>
    <row r="13" spans="2:49" ht="43.5" x14ac:dyDescent="0.35">
      <c r="C13" s="145" t="s">
        <v>70</v>
      </c>
      <c r="D13" s="89" t="str">
        <f>IF($B$5=1,"Vendredi",IF($B$5=2,"Lundi",IF($B$5=3,"Mardi",IF($B$5=4,"Mercredi",IF($B$5=5,"Jeudi","")))))</f>
        <v>Lundi</v>
      </c>
      <c r="E13" s="89" t="str">
        <f>"7 "&amp; $AR$5</f>
        <v>7 Juin</v>
      </c>
      <c r="F13" s="91" t="s">
        <v>20</v>
      </c>
      <c r="G13" s="93"/>
      <c r="H13" s="95"/>
      <c r="I13" s="97"/>
      <c r="J13" s="99"/>
      <c r="K13" s="101">
        <v>0.31111111111111112</v>
      </c>
      <c r="L13" s="86">
        <v>0.32500000000000001</v>
      </c>
      <c r="M13" s="88">
        <v>3.125E-2</v>
      </c>
      <c r="N13" s="76">
        <f t="shared" si="14"/>
        <v>0.75</v>
      </c>
      <c r="O13" s="85">
        <f t="shared" si="15"/>
        <v>0</v>
      </c>
      <c r="P13" s="82">
        <f t="shared" si="16"/>
        <v>0</v>
      </c>
      <c r="Q13" s="82">
        <f t="shared" si="17"/>
        <v>0</v>
      </c>
      <c r="R13" s="84" t="str">
        <f>IF(P13=0,"0",M13*24-P13*24)</f>
        <v>0</v>
      </c>
      <c r="S13" s="76">
        <f>P13*24</f>
        <v>0</v>
      </c>
      <c r="T13" s="76">
        <f t="shared" ref="T13" si="24">IF(R13&lt;0,S13,S13+R13)</f>
        <v>0</v>
      </c>
      <c r="U13" s="76">
        <f>IF(T13&lt;=0.75,M13,T13/24)</f>
        <v>3.125E-2</v>
      </c>
      <c r="V13" s="74">
        <f>G13*24</f>
        <v>0</v>
      </c>
      <c r="W13" s="76">
        <f>IF(S13&gt;0.75, V13+L13*24+P13*24,V13+L13*24+M13*24)</f>
        <v>8.5500000000000007</v>
      </c>
      <c r="X13" s="78">
        <f>IF(J13=0,24*(H13-G13)-(K13*24+1/6),(24*(J13-G13)-((U13*24)+(L13*24))))</f>
        <v>-7.6333333333333337</v>
      </c>
      <c r="Y13" s="71">
        <f t="shared" ref="Y13" si="25">IF(X13&lt;=-7.63,0,IF(X13&gt;=0,0,IF(X13&lt;0,ABS(X13)/24,"0")))</f>
        <v>0</v>
      </c>
      <c r="Z13" s="71" t="str">
        <f t="shared" ref="Z13" si="26">IF(X13&lt;0,"0",ABS(X13)/24)</f>
        <v>0</v>
      </c>
      <c r="AA13" s="80">
        <f>IF(X13&lt;-7.63,0,SUM($X$7:X14)+$AA$5)</f>
        <v>0</v>
      </c>
      <c r="AB13" s="69" t="str">
        <f t="shared" ref="AB13:AB19" si="27">IF(G13=0,"Heure d'arrivée non rentrée",IF((H13=0),"heure de départ en pause repas non rentrée",IF(I13=0,"Heure de fin de repas non rentrée",IF(J13=0,"Heure de sortie non rentrée",IF(AA13&lt;0,ABS(AA13)/24,0)))))</f>
        <v>Heure d'arrivée non rentrée</v>
      </c>
      <c r="AC13" s="71" t="str">
        <f t="shared" ref="AC13:AC19" si="28">IF(G13=0,"Heure d'arrivée non rentrée",IF((H13=0),"heure de départ en pause repas non rentrée",IF(I13=0,"Heure de fin de repas non rentrée",IF(J13=0,"Heure de sortie non rentrée",IF(AA13&gt;0,ABS(AA13)/24,0)))))</f>
        <v>Heure d'arrivée non rentrée</v>
      </c>
      <c r="AD13" s="71">
        <f t="shared" ref="AD13" si="29">IF(G13=0,0,IF(H13=0, "Heure de repas non rentrée",IF(I13=0, H13-G13, IF(J13=0,"Heure de sortie non rentrée",IF(Y13=0,(K13+Z13),K13-Y13)))))</f>
        <v>0</v>
      </c>
      <c r="AE13" s="134" t="str">
        <f t="shared" ref="AE13" si="30">IF(G13=0,"",IF(AB11="Heure d'arrivée non rentrée","",IF(AB11="heure de départ en pause repas non rentrée","",IF(AB11="Heure de fin de repas non rentrée","",IF(AB11="Heure de sortie non rentrée","",IF(AC11="Heure d'arrivée non rentrée","",IF(AC11="heure de départ en pause repas non rentrée","",IF(AC11="Heure de fin de repas non rentrée","",IF(AC11="Heure de sortie non rentrée","",IF(AB11&gt;0,AF13+AB11,IF(AC11&gt;0,AF13:AF14-AC11,"")))))))))))</f>
        <v/>
      </c>
      <c r="AF13" s="72">
        <f t="shared" ref="AF13" si="31">IF(W13=8.55,0,W13/24)</f>
        <v>0</v>
      </c>
      <c r="AG13" s="3" t="s">
        <v>3</v>
      </c>
      <c r="AH13" s="1" t="s">
        <v>3</v>
      </c>
      <c r="AI13" s="1" t="s">
        <v>4</v>
      </c>
      <c r="AJ13" s="1" t="s">
        <v>4</v>
      </c>
      <c r="AK13" s="1" t="s">
        <v>5</v>
      </c>
      <c r="AL13" s="9" t="s">
        <v>5</v>
      </c>
      <c r="AM13" s="131">
        <v>7</v>
      </c>
      <c r="AN13" s="142">
        <f>AQ5+1</f>
        <v>23</v>
      </c>
      <c r="AO13" s="39"/>
      <c r="AQ13" s="104"/>
      <c r="AU13" s="61" t="s">
        <v>44</v>
      </c>
    </row>
    <row r="14" spans="2:49" ht="15" thickBot="1" x14ac:dyDescent="0.4">
      <c r="C14" s="146"/>
      <c r="D14" s="90"/>
      <c r="E14" s="90"/>
      <c r="F14" s="92"/>
      <c r="G14" s="94"/>
      <c r="H14" s="96"/>
      <c r="I14" s="98"/>
      <c r="J14" s="100"/>
      <c r="K14" s="102"/>
      <c r="L14" s="87"/>
      <c r="M14" s="87"/>
      <c r="N14" s="77"/>
      <c r="O14" s="77"/>
      <c r="P14" s="83"/>
      <c r="Q14" s="83"/>
      <c r="R14" s="77"/>
      <c r="S14" s="77"/>
      <c r="T14" s="77"/>
      <c r="U14" s="77"/>
      <c r="V14" s="75"/>
      <c r="W14" s="77"/>
      <c r="X14" s="79"/>
      <c r="Y14" s="70"/>
      <c r="Z14" s="70"/>
      <c r="AA14" s="81"/>
      <c r="AB14" s="70"/>
      <c r="AC14" s="70"/>
      <c r="AD14" s="70"/>
      <c r="AE14" s="135"/>
      <c r="AF14" s="73"/>
      <c r="AG14" s="14">
        <f>IF(AF13=0,0,AF13*24 + 0.5)</f>
        <v>0</v>
      </c>
      <c r="AH14" s="11">
        <f>AG14/24</f>
        <v>0</v>
      </c>
      <c r="AI14" s="10">
        <f>IF(AG14=0,0,AG14+0.5)</f>
        <v>0</v>
      </c>
      <c r="AJ14" s="12">
        <f>IF(AI14=0,0,AI14/24)</f>
        <v>0</v>
      </c>
      <c r="AK14" s="10">
        <f>IF(AG14=0,0,AG14+1.5)</f>
        <v>0</v>
      </c>
      <c r="AL14" s="13">
        <f>AK14/24</f>
        <v>0</v>
      </c>
      <c r="AM14" s="131"/>
      <c r="AN14" s="142">
        <f>AQ5+1</f>
        <v>23</v>
      </c>
      <c r="AO14" s="39"/>
      <c r="AQ14" s="104"/>
      <c r="AU14" s="62" t="s">
        <v>45</v>
      </c>
    </row>
    <row r="15" spans="2:49" ht="43.5" x14ac:dyDescent="0.35">
      <c r="C15" s="146"/>
      <c r="D15" s="89" t="str">
        <f>IF($B$5=1,"Lundi",IF($B$5=2,"Mardi",IF($B$5=3,"Mercredi",IF($B$5=4,"Jeudi",IF($B$5=5,"Vendredi")))))</f>
        <v>Mardi</v>
      </c>
      <c r="E15" s="89" t="str">
        <f>"8 "&amp; $AR$5</f>
        <v>8 Juin</v>
      </c>
      <c r="F15" s="91" t="s">
        <v>20</v>
      </c>
      <c r="G15" s="93"/>
      <c r="H15" s="95"/>
      <c r="I15" s="97"/>
      <c r="J15" s="99"/>
      <c r="K15" s="101">
        <v>0.31111111111111112</v>
      </c>
      <c r="L15" s="86">
        <v>0.32500000000000001</v>
      </c>
      <c r="M15" s="88">
        <v>3.125E-2</v>
      </c>
      <c r="N15" s="76">
        <f t="shared" ref="N15" si="32">M15*24</f>
        <v>0.75</v>
      </c>
      <c r="O15" s="85">
        <f t="shared" ref="O15" si="33">I15-H15</f>
        <v>0</v>
      </c>
      <c r="P15" s="82">
        <f t="shared" ref="P15" si="34">IF(O15&lt;0.75,IF(I15=0,0,I15-H15),M15)</f>
        <v>0</v>
      </c>
      <c r="Q15" s="82">
        <f t="shared" ref="Q15" si="35">IF(R15&lt;0,0,R15/24)</f>
        <v>0</v>
      </c>
      <c r="R15" s="84" t="str">
        <f>IF(P15=0,"0",M15*24-P15*24)</f>
        <v>0</v>
      </c>
      <c r="S15" s="76">
        <f>P15*24</f>
        <v>0</v>
      </c>
      <c r="T15" s="76">
        <f t="shared" ref="T15" si="36">IF(R15&lt;0,S15,S15+R15)</f>
        <v>0</v>
      </c>
      <c r="U15" s="76">
        <f>IF(T15&lt;=0.75,M15,T15/24)</f>
        <v>3.125E-2</v>
      </c>
      <c r="V15" s="74">
        <f>G15*24</f>
        <v>0</v>
      </c>
      <c r="W15" s="76">
        <f>IF(S15&gt;0.75, V15+L15*24+P15*24,V15+L15*24+M15*24)</f>
        <v>8.5500000000000007</v>
      </c>
      <c r="X15" s="78">
        <f>IF(J15=0,24*(H15-G15)-(K15*24+1/6),(24*(J15-G15)-((U15*24)+(L15*24))))</f>
        <v>-7.6333333333333337</v>
      </c>
      <c r="Y15" s="71">
        <f t="shared" ref="Y15" si="37">IF(X15&lt;=-7.63,0,IF(X15&gt;=0,0,IF(X15&lt;0,ABS(X15)/24,"0")))</f>
        <v>0</v>
      </c>
      <c r="Z15" s="71" t="str">
        <f t="shared" ref="Z15" si="38">IF(X15&lt;0,"0",ABS(X15)/24)</f>
        <v>0</v>
      </c>
      <c r="AA15" s="80">
        <f>IF(X15&lt;-7.63,0,SUM($X$7:X16)+$AA$5)</f>
        <v>0</v>
      </c>
      <c r="AB15" s="69" t="str">
        <f t="shared" si="27"/>
        <v>Heure d'arrivée non rentrée</v>
      </c>
      <c r="AC15" s="71" t="str">
        <f t="shared" si="28"/>
        <v>Heure d'arrivée non rentrée</v>
      </c>
      <c r="AD15" s="71">
        <f t="shared" ref="AD15" si="39">IF(G15=0,0,IF(H15=0, "Heure de repas non rentrée",IF(I15=0, H15-G15, IF(J15=0,"Heure de sortie non rentrée",IF(Y15=0,(K15+Z15),K15-Y15)))))</f>
        <v>0</v>
      </c>
      <c r="AE15" s="134" t="str">
        <f t="shared" ref="AE15" si="40">IF(G15=0,"",IF(AB13="Heure d'arrivée non rentrée","",IF(AB13="heure de départ en pause repas non rentrée","",IF(AB13="Heure de fin de repas non rentrée","",IF(AB13="Heure de sortie non rentrée","",IF(AC13="Heure d'arrivée non rentrée","",IF(AC13="heure de départ en pause repas non rentrée","",IF(AC13="Heure de fin de repas non rentrée","",IF(AC13="Heure de sortie non rentrée","",IF(AB13&gt;0,AF15+AB13,IF(AC13&gt;0,AF15:AF16-AC13,"")))))))))))</f>
        <v/>
      </c>
      <c r="AF15" s="72">
        <f t="shared" ref="AF15" si="41">IF(W15=8.55,0,W15/24)</f>
        <v>0</v>
      </c>
      <c r="AG15" s="3" t="s">
        <v>3</v>
      </c>
      <c r="AH15" s="1" t="s">
        <v>3</v>
      </c>
      <c r="AI15" s="1" t="s">
        <v>4</v>
      </c>
      <c r="AJ15" s="1" t="s">
        <v>4</v>
      </c>
      <c r="AK15" s="1" t="s">
        <v>5</v>
      </c>
      <c r="AL15" s="9" t="s">
        <v>5</v>
      </c>
      <c r="AM15" s="131">
        <v>8</v>
      </c>
      <c r="AN15" s="142">
        <f>AQ5+1</f>
        <v>23</v>
      </c>
      <c r="AO15" s="39"/>
      <c r="AQ15" s="104"/>
      <c r="AU15" s="62" t="s">
        <v>46</v>
      </c>
    </row>
    <row r="16" spans="2:49" ht="15" thickBot="1" x14ac:dyDescent="0.4">
      <c r="C16" s="147"/>
      <c r="D16" s="103"/>
      <c r="E16" s="90"/>
      <c r="F16" s="92"/>
      <c r="G16" s="94"/>
      <c r="H16" s="96"/>
      <c r="I16" s="98"/>
      <c r="J16" s="100"/>
      <c r="K16" s="102"/>
      <c r="L16" s="87"/>
      <c r="M16" s="87"/>
      <c r="N16" s="77"/>
      <c r="O16" s="77"/>
      <c r="P16" s="83"/>
      <c r="Q16" s="83"/>
      <c r="R16" s="77"/>
      <c r="S16" s="77"/>
      <c r="T16" s="77"/>
      <c r="U16" s="77"/>
      <c r="V16" s="75"/>
      <c r="W16" s="77"/>
      <c r="X16" s="79"/>
      <c r="Y16" s="70"/>
      <c r="Z16" s="70"/>
      <c r="AA16" s="81"/>
      <c r="AB16" s="70"/>
      <c r="AC16" s="70"/>
      <c r="AD16" s="70"/>
      <c r="AE16" s="135"/>
      <c r="AF16" s="73"/>
      <c r="AG16" s="14">
        <f>IF(AF15=0,0,AF15*24 + 0.5)</f>
        <v>0</v>
      </c>
      <c r="AH16" s="11">
        <f>AG16/24</f>
        <v>0</v>
      </c>
      <c r="AI16" s="10">
        <f>IF(AG16=0,0,AG16+0.5)</f>
        <v>0</v>
      </c>
      <c r="AJ16" s="12">
        <f>IF(AI16=0,0,AI16/24)</f>
        <v>0</v>
      </c>
      <c r="AK16" s="10">
        <f>IF(AG16=0,0,AG16+1.5)</f>
        <v>0</v>
      </c>
      <c r="AL16" s="13">
        <f>AK16/24</f>
        <v>0</v>
      </c>
      <c r="AM16" s="131"/>
      <c r="AN16" s="142">
        <f>AQ5+1</f>
        <v>23</v>
      </c>
      <c r="AO16" s="39"/>
      <c r="AQ16" s="104"/>
      <c r="AU16" s="62" t="s">
        <v>47</v>
      </c>
    </row>
    <row r="17" spans="3:47" ht="36" customHeight="1" x14ac:dyDescent="0.35">
      <c r="C17" s="145"/>
      <c r="D17" s="89" t="str">
        <f>IF($B$5=1,"Mardi",IF($B$5=2,"Mercredi",IF($B$5=3,"Jeudi",IF($B$5=4,"Vendredi",IF($B$5=5,"Lundi")))))</f>
        <v>Mercredi</v>
      </c>
      <c r="E17" s="103" t="str">
        <f>"9 "&amp; $AR$5</f>
        <v>9 Juin</v>
      </c>
      <c r="F17" s="91" t="s">
        <v>20</v>
      </c>
      <c r="G17" s="93"/>
      <c r="H17" s="95"/>
      <c r="I17" s="97"/>
      <c r="J17" s="99"/>
      <c r="K17" s="101">
        <v>0.31111111111111101</v>
      </c>
      <c r="L17" s="86">
        <v>0.32500000000000001</v>
      </c>
      <c r="M17" s="88">
        <v>3.125E-2</v>
      </c>
      <c r="N17" s="76">
        <f t="shared" ref="N17" si="42">M17*24</f>
        <v>0.75</v>
      </c>
      <c r="O17" s="85">
        <f t="shared" ref="O17" si="43">I17-H17</f>
        <v>0</v>
      </c>
      <c r="P17" s="82">
        <f t="shared" ref="P17" si="44">IF(O17&lt;0.75,IF(I17=0,0,I17-H17),M17)</f>
        <v>0</v>
      </c>
      <c r="Q17" s="82">
        <f t="shared" ref="Q17" si="45">IF(R17&lt;0,0,R17/24)</f>
        <v>0</v>
      </c>
      <c r="R17" s="84" t="str">
        <f>IF(P17=0,"0",M17*24-P17*24)</f>
        <v>0</v>
      </c>
      <c r="S17" s="76">
        <f>P17*24</f>
        <v>0</v>
      </c>
      <c r="T17" s="76">
        <f t="shared" ref="T17" si="46">IF(R17&lt;0,S17,S17+R17)</f>
        <v>0</v>
      </c>
      <c r="U17" s="76">
        <f>IF(T17&lt;=0.75,M17,T17/24)</f>
        <v>3.125E-2</v>
      </c>
      <c r="V17" s="74">
        <f>G17*24</f>
        <v>0</v>
      </c>
      <c r="W17" s="76">
        <f>IF(S17&gt;0.75, V17+L17*24+P17*24,V17+L17*24+M17*24)</f>
        <v>8.5500000000000007</v>
      </c>
      <c r="X17" s="78">
        <f>IF(J17=0,24*(H17-G17)-(K17*24+1/6),(24*(J17-G17)-((U17*24)+(L17*24))))</f>
        <v>-7.6333333333333311</v>
      </c>
      <c r="Y17" s="71">
        <f t="shared" ref="Y17" si="47">IF(X17&lt;=-7.63,0,IF(X17&gt;=0,0,IF(X17&lt;0,ABS(X17)/24,"0")))</f>
        <v>0</v>
      </c>
      <c r="Z17" s="71" t="str">
        <f t="shared" ref="Z17" si="48">IF(X17&lt;0,"0",ABS(X17)/24)</f>
        <v>0</v>
      </c>
      <c r="AA17" s="80">
        <f>IF(X17&lt;-7.63,0,SUM($X$7:X18)+$AA$5)</f>
        <v>0</v>
      </c>
      <c r="AB17" s="69" t="str">
        <f t="shared" si="27"/>
        <v>Heure d'arrivée non rentrée</v>
      </c>
      <c r="AC17" s="71" t="str">
        <f t="shared" si="28"/>
        <v>Heure d'arrivée non rentrée</v>
      </c>
      <c r="AD17" s="71">
        <f t="shared" ref="AD17" si="49">IF(G17=0,0,IF(H17=0, "Heure de repas non rentrée",IF(I17=0, H17-G17, IF(J17=0,"Heure de sortie non rentrée",IF(Y17=0,(K17+Z17),K17-Y17)))))</f>
        <v>0</v>
      </c>
      <c r="AE17" s="134" t="str">
        <f t="shared" ref="AE17" si="50">IF(G17=0,"",IF(AB15="Heure d'arrivée non rentrée","",IF(AB15="heure de départ en pause repas non rentrée","",IF(AB15="Heure de fin de repas non rentrée","",IF(AB15="Heure de sortie non rentrée","",IF(AC15="Heure d'arrivée non rentrée","",IF(AC15="heure de départ en pause repas non rentrée","",IF(AC15="Heure de fin de repas non rentrée","",IF(AC15="Heure de sortie non rentrée","",IF(AB15&gt;0,AF17+AB15,IF(AC15&gt;0,AF17:AF18-AC15,"")))))))))))</f>
        <v/>
      </c>
      <c r="AF17" s="72">
        <f t="shared" ref="AF17" si="51">IF(W17=8.55,0,W17/24)</f>
        <v>0</v>
      </c>
      <c r="AG17" s="3" t="s">
        <v>3</v>
      </c>
      <c r="AH17" s="1" t="s">
        <v>3</v>
      </c>
      <c r="AI17" s="1" t="s">
        <v>4</v>
      </c>
      <c r="AJ17" s="1" t="s">
        <v>4</v>
      </c>
      <c r="AK17" s="1" t="s">
        <v>5</v>
      </c>
      <c r="AL17" s="9" t="s">
        <v>5</v>
      </c>
      <c r="AM17" s="131">
        <v>9</v>
      </c>
      <c r="AN17" s="142">
        <f>AQ5+1</f>
        <v>23</v>
      </c>
      <c r="AO17" s="39"/>
      <c r="AQ17" s="104"/>
      <c r="AU17" s="62" t="s">
        <v>48</v>
      </c>
    </row>
    <row r="18" spans="3:47" ht="15" customHeight="1" thickBot="1" x14ac:dyDescent="0.4">
      <c r="C18" s="147"/>
      <c r="D18" s="103"/>
      <c r="E18" s="103"/>
      <c r="F18" s="92"/>
      <c r="G18" s="94"/>
      <c r="H18" s="96"/>
      <c r="I18" s="98"/>
      <c r="J18" s="100"/>
      <c r="K18" s="102"/>
      <c r="L18" s="87"/>
      <c r="M18" s="87"/>
      <c r="N18" s="77"/>
      <c r="O18" s="77"/>
      <c r="P18" s="83"/>
      <c r="Q18" s="83"/>
      <c r="R18" s="77"/>
      <c r="S18" s="77"/>
      <c r="T18" s="77"/>
      <c r="U18" s="77"/>
      <c r="V18" s="75"/>
      <c r="W18" s="77"/>
      <c r="X18" s="79"/>
      <c r="Y18" s="70"/>
      <c r="Z18" s="70"/>
      <c r="AA18" s="81"/>
      <c r="AB18" s="70"/>
      <c r="AC18" s="70"/>
      <c r="AD18" s="70"/>
      <c r="AE18" s="135"/>
      <c r="AF18" s="73"/>
      <c r="AG18" s="14">
        <f>IF(AF17=0,0,AF17*24 + 0.5)</f>
        <v>0</v>
      </c>
      <c r="AH18" s="11">
        <f>AG18/24</f>
        <v>0</v>
      </c>
      <c r="AI18" s="10">
        <f>IF(AG18=0,0,AG18+0.5)</f>
        <v>0</v>
      </c>
      <c r="AJ18" s="12">
        <f>IF(AI18=0,0,AI18/24)</f>
        <v>0</v>
      </c>
      <c r="AK18" s="10">
        <f>IF(AG18=0,0,AG18+1.5)</f>
        <v>0</v>
      </c>
      <c r="AL18" s="13">
        <f>AK18/24</f>
        <v>0</v>
      </c>
      <c r="AM18" s="131"/>
      <c r="AN18" s="142">
        <f>AQ5+1</f>
        <v>23</v>
      </c>
      <c r="AO18" s="39"/>
      <c r="AQ18" s="104"/>
      <c r="AU18" s="62" t="s">
        <v>43</v>
      </c>
    </row>
    <row r="19" spans="3:47" ht="36.5" customHeight="1" x14ac:dyDescent="0.35">
      <c r="C19" s="145"/>
      <c r="D19" s="89" t="str">
        <f>IF($B$5=1,"Mercredi",IF($B$5=2,"Jeudi",IF($B$5=3,"Vendredi",IF($B$5=4,"Lundi",IF($B$5=5,"Mardi")))))</f>
        <v>Jeudi</v>
      </c>
      <c r="E19" s="89" t="str">
        <f>"10 "&amp; $AR$5</f>
        <v>10 Juin</v>
      </c>
      <c r="F19" s="91" t="s">
        <v>20</v>
      </c>
      <c r="G19" s="93"/>
      <c r="H19" s="95"/>
      <c r="I19" s="97"/>
      <c r="J19" s="99"/>
      <c r="K19" s="101">
        <v>0.31111111111111101</v>
      </c>
      <c r="L19" s="86">
        <v>0.32500000000000001</v>
      </c>
      <c r="M19" s="88">
        <v>3.125E-2</v>
      </c>
      <c r="N19" s="76">
        <f t="shared" ref="N19" si="52">M19*24</f>
        <v>0.75</v>
      </c>
      <c r="O19" s="85">
        <f t="shared" ref="O19" si="53">I19-H19</f>
        <v>0</v>
      </c>
      <c r="P19" s="82">
        <f t="shared" ref="P19" si="54">IF(O19&lt;0.75,IF(I19=0,0,I19-H19),M19)</f>
        <v>0</v>
      </c>
      <c r="Q19" s="82">
        <f t="shared" ref="Q19" si="55">IF(R19&lt;0,0,R19/24)</f>
        <v>0</v>
      </c>
      <c r="R19" s="84" t="str">
        <f>IF(P19=0,"0",M19*24-P19*24)</f>
        <v>0</v>
      </c>
      <c r="S19" s="76">
        <f>P19*24</f>
        <v>0</v>
      </c>
      <c r="T19" s="76">
        <f t="shared" ref="T19" si="56">IF(R19&lt;0,S19,S19+R19)</f>
        <v>0</v>
      </c>
      <c r="U19" s="76">
        <f>IF(T19&lt;=0.75,M19,T19/24)</f>
        <v>3.125E-2</v>
      </c>
      <c r="V19" s="74">
        <f>G19*24</f>
        <v>0</v>
      </c>
      <c r="W19" s="76">
        <f>IF(S19&gt;0.75, V19+L19*24+P19*24,V19+L19*24+M19*24)</f>
        <v>8.5500000000000007</v>
      </c>
      <c r="X19" s="78">
        <f>IF(J19=0,24*(H19-G19)-(K19*24+1/6),(24*(J19-G19)-((U19*24)+(L19*24))))</f>
        <v>-7.6333333333333311</v>
      </c>
      <c r="Y19" s="71">
        <f t="shared" ref="Y19" si="57">IF(X19&lt;=-7.63,0,IF(X19&gt;=0,0,IF(X19&lt;0,ABS(X19)/24,"0")))</f>
        <v>0</v>
      </c>
      <c r="Z19" s="71" t="str">
        <f t="shared" ref="Z19" si="58">IF(X19&lt;0,"0",ABS(X19)/24)</f>
        <v>0</v>
      </c>
      <c r="AA19" s="80">
        <f>IF(X19&lt;-7.63,0,SUM($X$7:X20)+$AA$5)</f>
        <v>0</v>
      </c>
      <c r="AB19" s="69" t="str">
        <f t="shared" si="27"/>
        <v>Heure d'arrivée non rentrée</v>
      </c>
      <c r="AC19" s="71" t="str">
        <f t="shared" si="28"/>
        <v>Heure d'arrivée non rentrée</v>
      </c>
      <c r="AD19" s="71">
        <f t="shared" ref="AD19" si="59">IF(G19=0,0,IF(H19=0, "Heure de repas non rentrée",IF(I19=0, H19-G19, IF(J19=0,"Heure de sortie non rentrée",IF(Y19=0,(K19+Z19),K19-Y19)))))</f>
        <v>0</v>
      </c>
      <c r="AE19" s="134" t="str">
        <f t="shared" ref="AE19" si="60">IF(G19=0,"",IF(AB17="Heure d'arrivée non rentrée","",IF(AB17="heure de départ en pause repas non rentrée","",IF(AB17="Heure de fin de repas non rentrée","",IF(AB17="Heure de sortie non rentrée","",IF(AC17="Heure d'arrivée non rentrée","",IF(AC17="heure de départ en pause repas non rentrée","",IF(AC17="Heure de fin de repas non rentrée","",IF(AC17="Heure de sortie non rentrée","",IF(AB17&gt;0,AF19+AB17,IF(AC17&gt;0,AF19:AF20-AC17,"")))))))))))</f>
        <v/>
      </c>
      <c r="AF19" s="72">
        <f t="shared" ref="AF19" si="61">IF(W19=8.55,0,W19/24)</f>
        <v>0</v>
      </c>
      <c r="AG19" s="3" t="s">
        <v>3</v>
      </c>
      <c r="AH19" s="1" t="s">
        <v>3</v>
      </c>
      <c r="AI19" s="1" t="s">
        <v>4</v>
      </c>
      <c r="AJ19" s="1" t="s">
        <v>4</v>
      </c>
      <c r="AK19" s="1" t="s">
        <v>5</v>
      </c>
      <c r="AL19" s="9" t="s">
        <v>5</v>
      </c>
      <c r="AM19" s="131">
        <v>10</v>
      </c>
      <c r="AN19" s="142">
        <f>AQ5+1</f>
        <v>23</v>
      </c>
      <c r="AO19" s="39"/>
      <c r="AQ19" s="104"/>
      <c r="AU19" s="62" t="s">
        <v>49</v>
      </c>
    </row>
    <row r="20" spans="3:47" ht="15" customHeight="1" thickBot="1" x14ac:dyDescent="0.4">
      <c r="C20" s="147"/>
      <c r="D20" s="103"/>
      <c r="E20" s="90"/>
      <c r="F20" s="92"/>
      <c r="G20" s="94"/>
      <c r="H20" s="96"/>
      <c r="I20" s="98"/>
      <c r="J20" s="100"/>
      <c r="K20" s="102"/>
      <c r="L20" s="87"/>
      <c r="M20" s="87"/>
      <c r="N20" s="77"/>
      <c r="O20" s="77"/>
      <c r="P20" s="83"/>
      <c r="Q20" s="83"/>
      <c r="R20" s="77"/>
      <c r="S20" s="77"/>
      <c r="T20" s="77"/>
      <c r="U20" s="77"/>
      <c r="V20" s="75"/>
      <c r="W20" s="77"/>
      <c r="X20" s="79"/>
      <c r="Y20" s="70"/>
      <c r="Z20" s="70"/>
      <c r="AA20" s="81"/>
      <c r="AB20" s="70"/>
      <c r="AC20" s="70"/>
      <c r="AD20" s="70"/>
      <c r="AE20" s="135"/>
      <c r="AF20" s="73"/>
      <c r="AG20" s="14">
        <f>IF(AF19=0,0,AF19*24 + 0.5)</f>
        <v>0</v>
      </c>
      <c r="AH20" s="11">
        <f>AG20/24</f>
        <v>0</v>
      </c>
      <c r="AI20" s="10">
        <f>IF(AG20=0,0,AG20+0.5)</f>
        <v>0</v>
      </c>
      <c r="AJ20" s="12">
        <f>IF(AI20=0,0,AI20/24)</f>
        <v>0</v>
      </c>
      <c r="AK20" s="10">
        <f>IF(AG20=0,0,AG20+1.5)</f>
        <v>0</v>
      </c>
      <c r="AL20" s="13">
        <f>AK20/24</f>
        <v>0</v>
      </c>
      <c r="AM20" s="138"/>
      <c r="AN20" s="143">
        <f>AQ5+1</f>
        <v>23</v>
      </c>
      <c r="AO20" s="39"/>
      <c r="AQ20" s="104"/>
      <c r="AU20" s="62" t="s">
        <v>50</v>
      </c>
    </row>
    <row r="21" spans="3:47" ht="43.5" x14ac:dyDescent="0.35">
      <c r="C21" s="145"/>
      <c r="D21" s="89" t="str">
        <f>IF($B$5=1,"Jeudi",IF($B$5=2,"Vendredi",IF($B$5=3,"Lundi",IF($B$5=4,"Mardi",IF($B$5=5,"Mercredi","")))))</f>
        <v>Vendredi</v>
      </c>
      <c r="E21" s="89" t="str">
        <f>"13 "&amp; $AR$5</f>
        <v>13 Juin</v>
      </c>
      <c r="F21" s="91" t="s">
        <v>20</v>
      </c>
      <c r="G21" s="93"/>
      <c r="H21" s="95"/>
      <c r="I21" s="97"/>
      <c r="J21" s="99"/>
      <c r="K21" s="101">
        <v>0.31111111111111101</v>
      </c>
      <c r="L21" s="86">
        <v>0.32500000000000001</v>
      </c>
      <c r="M21" s="88">
        <v>3.125E-2</v>
      </c>
      <c r="N21" s="76">
        <f t="shared" ref="N21" si="62">M21*24</f>
        <v>0.75</v>
      </c>
      <c r="O21" s="85">
        <f t="shared" ref="O21" si="63">I21-H21</f>
        <v>0</v>
      </c>
      <c r="P21" s="82">
        <f t="shared" ref="P21" si="64">IF(O21&lt;0.75,IF(I21=0,0,I21-H21),M21)</f>
        <v>0</v>
      </c>
      <c r="Q21" s="82">
        <f t="shared" ref="Q21" si="65">IF(R21&lt;0,0,R21/24)</f>
        <v>0</v>
      </c>
      <c r="R21" s="84" t="str">
        <f t="shared" ref="R21" si="66">IF(P21=0,"0",M21*24-P21*24)</f>
        <v>0</v>
      </c>
      <c r="S21" s="76">
        <f t="shared" ref="S21" si="67">P21*24</f>
        <v>0</v>
      </c>
      <c r="T21" s="76">
        <f t="shared" ref="T21" si="68">IF(R21&lt;0,S21,S21+R21)</f>
        <v>0</v>
      </c>
      <c r="U21" s="76">
        <f t="shared" ref="U21" si="69">IF(T21&lt;=0.75,M21,T21/24)</f>
        <v>3.125E-2</v>
      </c>
      <c r="V21" s="74">
        <f t="shared" ref="V21" si="70">G21*24</f>
        <v>0</v>
      </c>
      <c r="W21" s="76">
        <f t="shared" ref="W21" si="71">IF(S21&gt;0.75, V21+L21*24+P21*24,V21+L21*24+M21*24)</f>
        <v>8.5500000000000007</v>
      </c>
      <c r="X21" s="78">
        <f t="shared" ref="X21" si="72">IF(J21=0,24*(H21-G21)-(K21*24+1/6),(24*(J21-G21)-((U21*24)+(L21*24))))</f>
        <v>-7.6333333333333311</v>
      </c>
      <c r="Y21" s="71">
        <f t="shared" ref="Y21" si="73">IF(X21&lt;=-7.63,0,IF(X21&gt;=0,0,IF(X21&lt;0,ABS(X21)/24,"0")))</f>
        <v>0</v>
      </c>
      <c r="Z21" s="71" t="str">
        <f t="shared" ref="Z21" si="74">IF(X21&lt;0,"0",ABS(X21)/24)</f>
        <v>0</v>
      </c>
      <c r="AA21" s="80">
        <f>IF(X21&lt;-7.63,0,SUM($X$7:X22)+$AA$5)</f>
        <v>0</v>
      </c>
      <c r="AB21" s="69" t="str">
        <f t="shared" ref="AB21" si="75">IF(G21=0,"Heure d'arrivée non rentrée",IF((H21=0),"heure de départ en pause repas non rentrée",IF(I21=0,"Heure de fin de repas non rentrée",IF(J21=0,"Heure de sortie non rentrée",IF(AA21&lt;0,ABS(AA21)/24,0)))))</f>
        <v>Heure d'arrivée non rentrée</v>
      </c>
      <c r="AC21" s="71" t="str">
        <f t="shared" ref="AC21" si="76">IF(G21=0,"Heure d'arrivée non rentrée",IF((H21=0),"heure de départ en pause repas non rentrée",IF(I21=0,"Heure de fin de repas non rentrée",IF(J21=0,"Heure de sortie non rentrée",IF(AA21&gt;0,ABS(AA21)/24,0)))))</f>
        <v>Heure d'arrivée non rentrée</v>
      </c>
      <c r="AD21" s="71">
        <f t="shared" ref="AD21" si="77">IF(G21=0,0,IF(H21=0, "Heure de repas non rentrée",IF(I21=0, H21-G21, IF(J21=0,"Heure de sortie non rentrée",IF(Y21=0,(K21+Z21),K21-Y21)))))</f>
        <v>0</v>
      </c>
      <c r="AE21" s="134" t="str">
        <f t="shared" ref="AE21" si="78">IF(G21=0,"",IF(AB19="Heure d'arrivée non rentrée","",IF(AB19="heure de départ en pause repas non rentrée","",IF(AB19="Heure de fin de repas non rentrée","",IF(AB19="Heure de sortie non rentrée","",IF(AC19="Heure d'arrivée non rentrée","",IF(AC19="heure de départ en pause repas non rentrée","",IF(AC19="Heure de fin de repas non rentrée","",IF(AC19="Heure de sortie non rentrée","",IF(AB19&gt;0,AF21+AB19,IF(AC19&gt;0,AF21:AF22-AC19,"")))))))))))</f>
        <v/>
      </c>
      <c r="AF21" s="72">
        <f t="shared" ref="AF21" si="79">IF(W21=8.55,0,W21/24)</f>
        <v>0</v>
      </c>
      <c r="AG21" s="3" t="s">
        <v>3</v>
      </c>
      <c r="AH21" s="1" t="s">
        <v>3</v>
      </c>
      <c r="AI21" s="1" t="s">
        <v>4</v>
      </c>
      <c r="AJ21" s="1" t="s">
        <v>4</v>
      </c>
      <c r="AK21" s="1" t="s">
        <v>5</v>
      </c>
      <c r="AL21" s="9" t="s">
        <v>5</v>
      </c>
      <c r="AM21" s="129">
        <v>13</v>
      </c>
      <c r="AN21" s="141">
        <f>AQ5+2</f>
        <v>24</v>
      </c>
      <c r="AO21" s="39"/>
      <c r="AU21" s="62" t="s">
        <v>51</v>
      </c>
    </row>
    <row r="22" spans="3:47" ht="15" thickBot="1" x14ac:dyDescent="0.4">
      <c r="C22" s="147"/>
      <c r="D22" s="90"/>
      <c r="E22" s="90"/>
      <c r="F22" s="92"/>
      <c r="G22" s="94"/>
      <c r="H22" s="96"/>
      <c r="I22" s="98"/>
      <c r="J22" s="100"/>
      <c r="K22" s="102"/>
      <c r="L22" s="87"/>
      <c r="M22" s="87"/>
      <c r="N22" s="77"/>
      <c r="O22" s="77"/>
      <c r="P22" s="83"/>
      <c r="Q22" s="83"/>
      <c r="R22" s="77"/>
      <c r="S22" s="77"/>
      <c r="T22" s="77"/>
      <c r="U22" s="77"/>
      <c r="V22" s="75"/>
      <c r="W22" s="77"/>
      <c r="X22" s="79"/>
      <c r="Y22" s="70"/>
      <c r="Z22" s="70"/>
      <c r="AA22" s="81"/>
      <c r="AB22" s="70"/>
      <c r="AC22" s="70"/>
      <c r="AD22" s="70"/>
      <c r="AE22" s="135"/>
      <c r="AF22" s="73"/>
      <c r="AG22" s="14">
        <f t="shared" ref="AG22" si="80">IF(AF21=0,0,AF21*24 + 0.5)</f>
        <v>0</v>
      </c>
      <c r="AH22" s="11">
        <f t="shared" ref="AH22" si="81">AG22/24</f>
        <v>0</v>
      </c>
      <c r="AI22" s="10">
        <f t="shared" ref="AI22" si="82">IF(AG22=0,0,AG22+0.5)</f>
        <v>0</v>
      </c>
      <c r="AJ22" s="12">
        <f t="shared" ref="AJ22" si="83">IF(AI22=0,0,AI22/24)</f>
        <v>0</v>
      </c>
      <c r="AK22" s="10">
        <f t="shared" ref="AK22" si="84">IF(AG22=0,0,AG22+1.5)</f>
        <v>0</v>
      </c>
      <c r="AL22" s="13">
        <f t="shared" ref="AL22" si="85">AK22/24</f>
        <v>0</v>
      </c>
      <c r="AM22" s="131"/>
      <c r="AN22" s="142">
        <f>AQ5+2</f>
        <v>24</v>
      </c>
      <c r="AO22" s="39"/>
      <c r="AU22" s="62" t="s">
        <v>52</v>
      </c>
    </row>
    <row r="23" spans="3:47" ht="43.5" x14ac:dyDescent="0.35">
      <c r="C23" s="145" t="s">
        <v>71</v>
      </c>
      <c r="D23" s="89" t="str">
        <f>IF($B$5=1,"Vendredi",IF($B$5=2,"Lundi",IF($B$5=3,"Mardi",IF($B$5=4,"Mercredi",IF($B$5=5,"Jeudi","")))))</f>
        <v>Lundi</v>
      </c>
      <c r="E23" s="89" t="str">
        <f>"14 "&amp; $AR$5</f>
        <v>14 Juin</v>
      </c>
      <c r="F23" s="91" t="s">
        <v>20</v>
      </c>
      <c r="G23" s="93"/>
      <c r="H23" s="95"/>
      <c r="I23" s="97"/>
      <c r="J23" s="99"/>
      <c r="K23" s="101">
        <v>0.31111111111111101</v>
      </c>
      <c r="L23" s="86">
        <v>0.32500000000000001</v>
      </c>
      <c r="M23" s="88">
        <v>3.125E-2</v>
      </c>
      <c r="N23" s="76">
        <f t="shared" ref="N23" si="86">M23*24</f>
        <v>0.75</v>
      </c>
      <c r="O23" s="85">
        <f t="shared" ref="O23" si="87">I23-H23</f>
        <v>0</v>
      </c>
      <c r="P23" s="82">
        <f t="shared" ref="P23" si="88">IF(O23&lt;0.75,IF(I23=0,0,I23-H23),M23)</f>
        <v>0</v>
      </c>
      <c r="Q23" s="82">
        <f t="shared" ref="Q23" si="89">IF(R23&lt;0,0,R23/24)</f>
        <v>0</v>
      </c>
      <c r="R23" s="84" t="str">
        <f t="shared" ref="R23" si="90">IF(P23=0,"0",M23*24-P23*24)</f>
        <v>0</v>
      </c>
      <c r="S23" s="76">
        <f t="shared" ref="S23" si="91">P23*24</f>
        <v>0</v>
      </c>
      <c r="T23" s="76">
        <f t="shared" ref="T23" si="92">IF(R23&lt;0,S23,S23+R23)</f>
        <v>0</v>
      </c>
      <c r="U23" s="76">
        <f t="shared" ref="U23" si="93">IF(T23&lt;=0.75,M23,T23/24)</f>
        <v>3.125E-2</v>
      </c>
      <c r="V23" s="74">
        <f t="shared" ref="V23" si="94">G23*24</f>
        <v>0</v>
      </c>
      <c r="W23" s="76">
        <f t="shared" ref="W23" si="95">IF(S23&gt;0.75, V23+L23*24+P23*24,V23+L23*24+M23*24)</f>
        <v>8.5500000000000007</v>
      </c>
      <c r="X23" s="78">
        <f t="shared" ref="X23" si="96">IF(J23=0,24*(H23-G23)-(K23*24+1/6),(24*(J23-G23)-((U23*24)+(L23*24))))</f>
        <v>-7.6333333333333311</v>
      </c>
      <c r="Y23" s="71">
        <f t="shared" ref="Y23" si="97">IF(X23&lt;=-7.63,0,IF(X23&gt;=0,0,IF(X23&lt;0,ABS(X23)/24,"0")))</f>
        <v>0</v>
      </c>
      <c r="Z23" s="71" t="str">
        <f t="shared" ref="Z23" si="98">IF(X23&lt;0,"0",ABS(X23)/24)</f>
        <v>0</v>
      </c>
      <c r="AA23" s="80">
        <f>IF(X23&lt;-7.63,0,SUM($X$7:X24)+$AA$5)</f>
        <v>0</v>
      </c>
      <c r="AB23" s="69" t="str">
        <f t="shared" ref="AB23" si="99">IF(G23=0,"Heure d'arrivée non rentrée",IF((H23=0),"heure de départ en pause repas non rentrée",IF(I23=0,"Heure de fin de repas non rentrée",IF(J23=0,"Heure de sortie non rentrée",IF(AA23&lt;0,ABS(AA23)/24,0)))))</f>
        <v>Heure d'arrivée non rentrée</v>
      </c>
      <c r="AC23" s="71" t="str">
        <f t="shared" ref="AC23" si="100">IF(G23=0,"Heure d'arrivée non rentrée",IF((H23=0),"heure de départ en pause repas non rentrée",IF(I23=0,"Heure de fin de repas non rentrée",IF(J23=0,"Heure de sortie non rentrée",IF(AA23&gt;0,ABS(AA23)/24,0)))))</f>
        <v>Heure d'arrivée non rentrée</v>
      </c>
      <c r="AD23" s="71">
        <f t="shared" ref="AD23" si="101">IF(G23=0,0,IF(H23=0, "Heure de repas non rentrée",IF(I23=0, H23-G23, IF(J23=0,"Heure de sortie non rentrée",IF(Y23=0,(K23+Z23),K23-Y23)))))</f>
        <v>0</v>
      </c>
      <c r="AE23" s="134" t="str">
        <f t="shared" ref="AE23" si="102">IF(G23=0,"",IF(AB21="Heure d'arrivée non rentrée","",IF(AB21="heure de départ en pause repas non rentrée","",IF(AB21="Heure de fin de repas non rentrée","",IF(AB21="Heure de sortie non rentrée","",IF(AC21="Heure d'arrivée non rentrée","",IF(AC21="heure de départ en pause repas non rentrée","",IF(AC21="Heure de fin de repas non rentrée","",IF(AC21="Heure de sortie non rentrée","",IF(AB21&gt;0,AF23+AB21,IF(AC21&gt;0,AF23:AF24-AC21,"")))))))))))</f>
        <v/>
      </c>
      <c r="AF23" s="72">
        <f t="shared" ref="AF23" si="103">IF(W23=8.55,0,W23/24)</f>
        <v>0</v>
      </c>
      <c r="AG23" s="3" t="s">
        <v>3</v>
      </c>
      <c r="AH23" s="1" t="s">
        <v>3</v>
      </c>
      <c r="AI23" s="1" t="s">
        <v>4</v>
      </c>
      <c r="AJ23" s="1" t="s">
        <v>4</v>
      </c>
      <c r="AK23" s="1" t="s">
        <v>5</v>
      </c>
      <c r="AL23" s="9" t="s">
        <v>5</v>
      </c>
      <c r="AM23" s="131">
        <v>14</v>
      </c>
      <c r="AN23" s="142">
        <f>AQ5+2</f>
        <v>24</v>
      </c>
      <c r="AO23" s="39"/>
      <c r="AU23" s="62" t="s">
        <v>53</v>
      </c>
    </row>
    <row r="24" spans="3:47" ht="15" thickBot="1" x14ac:dyDescent="0.4">
      <c r="C24" s="146"/>
      <c r="D24" s="90"/>
      <c r="E24" s="90"/>
      <c r="F24" s="92"/>
      <c r="G24" s="94"/>
      <c r="H24" s="96"/>
      <c r="I24" s="98"/>
      <c r="J24" s="100"/>
      <c r="K24" s="102"/>
      <c r="L24" s="87"/>
      <c r="M24" s="87"/>
      <c r="N24" s="77"/>
      <c r="O24" s="77"/>
      <c r="P24" s="83"/>
      <c r="Q24" s="83"/>
      <c r="R24" s="77"/>
      <c r="S24" s="77"/>
      <c r="T24" s="77"/>
      <c r="U24" s="77"/>
      <c r="V24" s="75"/>
      <c r="W24" s="77"/>
      <c r="X24" s="79"/>
      <c r="Y24" s="70"/>
      <c r="Z24" s="70"/>
      <c r="AA24" s="81"/>
      <c r="AB24" s="70"/>
      <c r="AC24" s="70"/>
      <c r="AD24" s="70"/>
      <c r="AE24" s="135"/>
      <c r="AF24" s="73"/>
      <c r="AG24" s="14">
        <f t="shared" ref="AG24" si="104">IF(AF23=0,0,AF23*24 + 0.5)</f>
        <v>0</v>
      </c>
      <c r="AH24" s="11">
        <f t="shared" ref="AH24" si="105">AG24/24</f>
        <v>0</v>
      </c>
      <c r="AI24" s="10">
        <f t="shared" ref="AI24" si="106">IF(AG24=0,0,AG24+0.5)</f>
        <v>0</v>
      </c>
      <c r="AJ24" s="12">
        <f t="shared" ref="AJ24" si="107">IF(AI24=0,0,AI24/24)</f>
        <v>0</v>
      </c>
      <c r="AK24" s="10">
        <f t="shared" ref="AK24" si="108">IF(AG24=0,0,AG24+1.5)</f>
        <v>0</v>
      </c>
      <c r="AL24" s="13">
        <f t="shared" ref="AL24" si="109">AK24/24</f>
        <v>0</v>
      </c>
      <c r="AM24" s="131"/>
      <c r="AN24" s="142">
        <f>AQ5+2</f>
        <v>24</v>
      </c>
      <c r="AO24" s="39"/>
      <c r="AU24" s="63" t="s">
        <v>54</v>
      </c>
    </row>
    <row r="25" spans="3:47" ht="43.5" x14ac:dyDescent="0.35">
      <c r="C25" s="146"/>
      <c r="D25" s="89" t="str">
        <f t="shared" ref="D25" si="110">IF($B$5=1,"Lundi",IF($B$5=2,"Mardi",IF($B$5=3,"Mercredi",IF($B$5=4,"Jeudi",IF($B$5=5,"Vendredi")))))</f>
        <v>Mardi</v>
      </c>
      <c r="E25" s="89" t="str">
        <f>"15 "&amp; $AR$5</f>
        <v>15 Juin</v>
      </c>
      <c r="F25" s="91" t="s">
        <v>20</v>
      </c>
      <c r="G25" s="93"/>
      <c r="H25" s="95"/>
      <c r="I25" s="97"/>
      <c r="J25" s="99"/>
      <c r="K25" s="101">
        <v>0.31111111111111101</v>
      </c>
      <c r="L25" s="86">
        <v>0.32500000000000001</v>
      </c>
      <c r="M25" s="88">
        <v>3.125E-2</v>
      </c>
      <c r="N25" s="76">
        <f t="shared" ref="N25" si="111">M25*24</f>
        <v>0.75</v>
      </c>
      <c r="O25" s="85">
        <f t="shared" ref="O25" si="112">I25-H25</f>
        <v>0</v>
      </c>
      <c r="P25" s="82">
        <f t="shared" ref="P25" si="113">IF(O25&lt;0.75,IF(I25=0,0,I25-H25),M25)</f>
        <v>0</v>
      </c>
      <c r="Q25" s="82">
        <f t="shared" ref="Q25" si="114">IF(R25&lt;0,0,R25/24)</f>
        <v>0</v>
      </c>
      <c r="R25" s="84" t="str">
        <f t="shared" ref="R25" si="115">IF(P25=0,"0",M25*24-P25*24)</f>
        <v>0</v>
      </c>
      <c r="S25" s="76">
        <f t="shared" ref="S25" si="116">P25*24</f>
        <v>0</v>
      </c>
      <c r="T25" s="76">
        <f t="shared" ref="T25" si="117">IF(R25&lt;0,S25,S25+R25)</f>
        <v>0</v>
      </c>
      <c r="U25" s="76">
        <f t="shared" ref="U25" si="118">IF(T25&lt;=0.75,M25,T25/24)</f>
        <v>3.125E-2</v>
      </c>
      <c r="V25" s="74">
        <f t="shared" ref="V25" si="119">G25*24</f>
        <v>0</v>
      </c>
      <c r="W25" s="76">
        <f t="shared" ref="W25" si="120">IF(S25&gt;0.75, V25+L25*24+P25*24,V25+L25*24+M25*24)</f>
        <v>8.5500000000000007</v>
      </c>
      <c r="X25" s="78">
        <f t="shared" ref="X25" si="121">IF(J25=0,24*(H25-G25)-(K25*24+1/6),(24*(J25-G25)-((U25*24)+(L25*24))))</f>
        <v>-7.6333333333333311</v>
      </c>
      <c r="Y25" s="71">
        <f t="shared" ref="Y25" si="122">IF(X25&lt;=-7.63,0,IF(X25&gt;=0,0,IF(X25&lt;0,ABS(X25)/24,"0")))</f>
        <v>0</v>
      </c>
      <c r="Z25" s="71" t="str">
        <f t="shared" ref="Z25" si="123">IF(X25&lt;0,"0",ABS(X25)/24)</f>
        <v>0</v>
      </c>
      <c r="AA25" s="80">
        <f>IF(X25&lt;-7.63,0,SUM($X$7:X26)+$AA$5)</f>
        <v>0</v>
      </c>
      <c r="AB25" s="69" t="str">
        <f t="shared" ref="AB25" si="124">IF(G25=0,"Heure d'arrivée non rentrée",IF((H25=0),"heure de départ en pause repas non rentrée",IF(I25=0,"Heure de fin de repas non rentrée",IF(J25=0,"Heure de sortie non rentrée",IF(AA25&lt;0,ABS(AA25)/24,0)))))</f>
        <v>Heure d'arrivée non rentrée</v>
      </c>
      <c r="AC25" s="71" t="str">
        <f t="shared" ref="AC25" si="125">IF(G25=0,"Heure d'arrivée non rentrée",IF((H25=0),"heure de départ en pause repas non rentrée",IF(I25=0,"Heure de fin de repas non rentrée",IF(J25=0,"Heure de sortie non rentrée",IF(AA25&gt;0,ABS(AA25)/24,0)))))</f>
        <v>Heure d'arrivée non rentrée</v>
      </c>
      <c r="AD25" s="71">
        <f t="shared" ref="AD25" si="126">IF(G25=0,0,IF(H25=0, "Heure de repas non rentrée",IF(I25=0, H25-G25, IF(J25=0,"Heure de sortie non rentrée",IF(Y25=0,(K25+Z25),K25-Y25)))))</f>
        <v>0</v>
      </c>
      <c r="AE25" s="134" t="str">
        <f t="shared" ref="AE25" si="127">IF(G25=0,"",IF(AB23="Heure d'arrivée non rentrée","",IF(AB23="heure de départ en pause repas non rentrée","",IF(AB23="Heure de fin de repas non rentrée","",IF(AB23="Heure de sortie non rentrée","",IF(AC23="Heure d'arrivée non rentrée","",IF(AC23="heure de départ en pause repas non rentrée","",IF(AC23="Heure de fin de repas non rentrée","",IF(AC23="Heure de sortie non rentrée","",IF(AB23&gt;0,AF25+AB23,IF(AC23&gt;0,AF25:AF26-AC23,"")))))))))))</f>
        <v/>
      </c>
      <c r="AF25" s="72">
        <f t="shared" ref="AF25" si="128">IF(W25=8.55,0,W25/24)</f>
        <v>0</v>
      </c>
      <c r="AG25" s="3" t="s">
        <v>3</v>
      </c>
      <c r="AH25" s="1" t="s">
        <v>3</v>
      </c>
      <c r="AI25" s="1" t="s">
        <v>4</v>
      </c>
      <c r="AJ25" s="1" t="s">
        <v>4</v>
      </c>
      <c r="AK25" s="1" t="s">
        <v>5</v>
      </c>
      <c r="AL25" s="9" t="s">
        <v>5</v>
      </c>
      <c r="AM25" s="131">
        <v>15</v>
      </c>
      <c r="AN25" s="142">
        <f>AQ5+2</f>
        <v>24</v>
      </c>
      <c r="AO25" s="39"/>
      <c r="AU25" s="57"/>
    </row>
    <row r="26" spans="3:47" ht="15" thickBot="1" x14ac:dyDescent="0.4">
      <c r="C26" s="147"/>
      <c r="D26" s="103"/>
      <c r="E26" s="90"/>
      <c r="F26" s="92"/>
      <c r="G26" s="94"/>
      <c r="H26" s="96"/>
      <c r="I26" s="98"/>
      <c r="J26" s="100"/>
      <c r="K26" s="102"/>
      <c r="L26" s="87"/>
      <c r="M26" s="87"/>
      <c r="N26" s="77"/>
      <c r="O26" s="77"/>
      <c r="P26" s="83"/>
      <c r="Q26" s="83"/>
      <c r="R26" s="77"/>
      <c r="S26" s="77"/>
      <c r="T26" s="77"/>
      <c r="U26" s="77"/>
      <c r="V26" s="75"/>
      <c r="W26" s="77"/>
      <c r="X26" s="79"/>
      <c r="Y26" s="70"/>
      <c r="Z26" s="70"/>
      <c r="AA26" s="81"/>
      <c r="AB26" s="70"/>
      <c r="AC26" s="70"/>
      <c r="AD26" s="70"/>
      <c r="AE26" s="135"/>
      <c r="AF26" s="73"/>
      <c r="AG26" s="14">
        <f t="shared" ref="AG26" si="129">IF(AF25=0,0,AF25*24 + 0.5)</f>
        <v>0</v>
      </c>
      <c r="AH26" s="11">
        <f t="shared" ref="AH26" si="130">AG26/24</f>
        <v>0</v>
      </c>
      <c r="AI26" s="10">
        <f t="shared" ref="AI26" si="131">IF(AG26=0,0,AG26+0.5)</f>
        <v>0</v>
      </c>
      <c r="AJ26" s="12">
        <f t="shared" ref="AJ26" si="132">IF(AI26=0,0,AI26/24)</f>
        <v>0</v>
      </c>
      <c r="AK26" s="10">
        <f t="shared" ref="AK26" si="133">IF(AG26=0,0,AG26+1.5)</f>
        <v>0</v>
      </c>
      <c r="AL26" s="13">
        <f t="shared" ref="AL26" si="134">AK26/24</f>
        <v>0</v>
      </c>
      <c r="AM26" s="131"/>
      <c r="AN26" s="142">
        <f>AQ5+2</f>
        <v>24</v>
      </c>
      <c r="AO26" s="39"/>
      <c r="AU26" s="2">
        <v>1</v>
      </c>
    </row>
    <row r="27" spans="3:47" ht="43.5" x14ac:dyDescent="0.35">
      <c r="C27" s="145"/>
      <c r="D27" s="89" t="str">
        <f t="shared" ref="D27" si="135">IF($B$5=1,"Mardi",IF($B$5=2,"Mercredi",IF($B$5=3,"Jeudi",IF($B$5=4,"Vendredi",IF($B$5=5,"Lundi")))))</f>
        <v>Mercredi</v>
      </c>
      <c r="E27" s="103" t="str">
        <f>"16 "&amp; $AR$5</f>
        <v>16 Juin</v>
      </c>
      <c r="F27" s="91" t="s">
        <v>20</v>
      </c>
      <c r="G27" s="93"/>
      <c r="H27" s="95"/>
      <c r="I27" s="97"/>
      <c r="J27" s="99"/>
      <c r="K27" s="101">
        <v>0.31111111111111101</v>
      </c>
      <c r="L27" s="86">
        <v>0.32500000000000001</v>
      </c>
      <c r="M27" s="88">
        <v>3.125E-2</v>
      </c>
      <c r="N27" s="76">
        <f t="shared" ref="N27" si="136">M27*24</f>
        <v>0.75</v>
      </c>
      <c r="O27" s="85">
        <f t="shared" ref="O27" si="137">I27-H27</f>
        <v>0</v>
      </c>
      <c r="P27" s="82">
        <f t="shared" ref="P27" si="138">IF(O27&lt;0.75,IF(I27=0,0,I27-H27),M27)</f>
        <v>0</v>
      </c>
      <c r="Q27" s="82">
        <f t="shared" ref="Q27" si="139">IF(R27&lt;0,0,R27/24)</f>
        <v>0</v>
      </c>
      <c r="R27" s="84" t="str">
        <f t="shared" ref="R27" si="140">IF(P27=0,"0",M27*24-P27*24)</f>
        <v>0</v>
      </c>
      <c r="S27" s="76">
        <f t="shared" ref="S27" si="141">P27*24</f>
        <v>0</v>
      </c>
      <c r="T27" s="76">
        <f t="shared" ref="T27" si="142">IF(R27&lt;0,S27,S27+R27)</f>
        <v>0</v>
      </c>
      <c r="U27" s="76">
        <f t="shared" ref="U27" si="143">IF(T27&lt;=0.75,M27,T27/24)</f>
        <v>3.125E-2</v>
      </c>
      <c r="V27" s="74">
        <f t="shared" ref="V27" si="144">G27*24</f>
        <v>0</v>
      </c>
      <c r="W27" s="76">
        <f t="shared" ref="W27" si="145">IF(S27&gt;0.75, V27+L27*24+P27*24,V27+L27*24+M27*24)</f>
        <v>8.5500000000000007</v>
      </c>
      <c r="X27" s="78">
        <f t="shared" ref="X27" si="146">IF(J27=0,24*(H27-G27)-(K27*24+1/6),(24*(J27-G27)-((U27*24)+(L27*24))))</f>
        <v>-7.6333333333333311</v>
      </c>
      <c r="Y27" s="71">
        <f t="shared" ref="Y27" si="147">IF(X27&lt;=-7.63,0,IF(X27&gt;=0,0,IF(X27&lt;0,ABS(X27)/24,"0")))</f>
        <v>0</v>
      </c>
      <c r="Z27" s="71" t="str">
        <f t="shared" ref="Z27" si="148">IF(X27&lt;0,"0",ABS(X27)/24)</f>
        <v>0</v>
      </c>
      <c r="AA27" s="80">
        <f>IF(X27&lt;-7.63,0,SUM($X$7:X28)+$AA$5)</f>
        <v>0</v>
      </c>
      <c r="AB27" s="69" t="str">
        <f t="shared" ref="AB27" si="149">IF(G27=0,"Heure d'arrivée non rentrée",IF((H27=0),"heure de départ en pause repas non rentrée",IF(I27=0,"Heure de fin de repas non rentrée",IF(J27=0,"Heure de sortie non rentrée",IF(AA27&lt;0,ABS(AA27)/24,0)))))</f>
        <v>Heure d'arrivée non rentrée</v>
      </c>
      <c r="AC27" s="71" t="str">
        <f t="shared" ref="AC27" si="150">IF(G27=0,"Heure d'arrivée non rentrée",IF((H27=0),"heure de départ en pause repas non rentrée",IF(I27=0,"Heure de fin de repas non rentrée",IF(J27=0,"Heure de sortie non rentrée",IF(AA27&gt;0,ABS(AA27)/24,0)))))</f>
        <v>Heure d'arrivée non rentrée</v>
      </c>
      <c r="AD27" s="71">
        <f t="shared" ref="AD27" si="151">IF(G27=0,0,IF(H27=0, "Heure de repas non rentrée",IF(I27=0, H27-G27, IF(J27=0,"Heure de sortie non rentrée",IF(Y27=0,(K27+Z27),K27-Y27)))))</f>
        <v>0</v>
      </c>
      <c r="AE27" s="134" t="str">
        <f t="shared" ref="AE27" si="152">IF(G27=0,"",IF(AB25="Heure d'arrivée non rentrée","",IF(AB25="heure de départ en pause repas non rentrée","",IF(AB25="Heure de fin de repas non rentrée","",IF(AB25="Heure de sortie non rentrée","",IF(AC25="Heure d'arrivée non rentrée","",IF(AC25="heure de départ en pause repas non rentrée","",IF(AC25="Heure de fin de repas non rentrée","",IF(AC25="Heure de sortie non rentrée","",IF(AB25&gt;0,AF27+AB25,IF(AC25&gt;0,AF27:AF28-AC25,"")))))))))))</f>
        <v/>
      </c>
      <c r="AF27" s="72">
        <f t="shared" ref="AF27" si="153">IF(W27=8.55,0,W27/24)</f>
        <v>0</v>
      </c>
      <c r="AG27" s="3" t="s">
        <v>3</v>
      </c>
      <c r="AH27" s="1" t="s">
        <v>3</v>
      </c>
      <c r="AI27" s="1" t="s">
        <v>4</v>
      </c>
      <c r="AJ27" s="1" t="s">
        <v>4</v>
      </c>
      <c r="AK27" s="1" t="s">
        <v>5</v>
      </c>
      <c r="AL27" s="9" t="s">
        <v>5</v>
      </c>
      <c r="AM27" s="131">
        <v>16</v>
      </c>
      <c r="AN27" s="142">
        <f>AQ5+2</f>
        <v>24</v>
      </c>
      <c r="AO27" s="39"/>
      <c r="AU27" s="2">
        <v>2</v>
      </c>
    </row>
    <row r="28" spans="3:47" ht="15" thickBot="1" x14ac:dyDescent="0.4">
      <c r="C28" s="147"/>
      <c r="D28" s="103"/>
      <c r="E28" s="103"/>
      <c r="F28" s="92"/>
      <c r="G28" s="94"/>
      <c r="H28" s="96"/>
      <c r="I28" s="98"/>
      <c r="J28" s="100"/>
      <c r="K28" s="102"/>
      <c r="L28" s="87"/>
      <c r="M28" s="87"/>
      <c r="N28" s="77"/>
      <c r="O28" s="77"/>
      <c r="P28" s="83"/>
      <c r="Q28" s="83"/>
      <c r="R28" s="77"/>
      <c r="S28" s="77"/>
      <c r="T28" s="77"/>
      <c r="U28" s="77"/>
      <c r="V28" s="75"/>
      <c r="W28" s="77"/>
      <c r="X28" s="79"/>
      <c r="Y28" s="70"/>
      <c r="Z28" s="70"/>
      <c r="AA28" s="81"/>
      <c r="AB28" s="70"/>
      <c r="AC28" s="70"/>
      <c r="AD28" s="70"/>
      <c r="AE28" s="135"/>
      <c r="AF28" s="73"/>
      <c r="AG28" s="14">
        <f t="shared" ref="AG28" si="154">IF(AF27=0,0,AF27*24 + 0.5)</f>
        <v>0</v>
      </c>
      <c r="AH28" s="11">
        <f t="shared" ref="AH28" si="155">AG28/24</f>
        <v>0</v>
      </c>
      <c r="AI28" s="10">
        <f t="shared" ref="AI28" si="156">IF(AG28=0,0,AG28+0.5)</f>
        <v>0</v>
      </c>
      <c r="AJ28" s="12">
        <f t="shared" ref="AJ28" si="157">IF(AI28=0,0,AI28/24)</f>
        <v>0</v>
      </c>
      <c r="AK28" s="10">
        <f t="shared" ref="AK28" si="158">IF(AG28=0,0,AG28+1.5)</f>
        <v>0</v>
      </c>
      <c r="AL28" s="13">
        <f t="shared" ref="AL28" si="159">AK28/24</f>
        <v>0</v>
      </c>
      <c r="AM28" s="131"/>
      <c r="AN28" s="142">
        <f>AQ5+2</f>
        <v>24</v>
      </c>
      <c r="AO28" s="39"/>
      <c r="AU28" s="2">
        <v>3</v>
      </c>
    </row>
    <row r="29" spans="3:47" ht="43.5" x14ac:dyDescent="0.35">
      <c r="C29" s="145"/>
      <c r="D29" s="89" t="str">
        <f t="shared" ref="D29" si="160">IF($B$5=1,"Mercredi",IF($B$5=2,"Jeudi",IF($B$5=3,"Vendredi",IF($B$5=4,"Lundi",IF($B$5=5,"Mardi")))))</f>
        <v>Jeudi</v>
      </c>
      <c r="E29" s="89" t="str">
        <f>"17 "&amp; $AR$5</f>
        <v>17 Juin</v>
      </c>
      <c r="F29" s="91" t="s">
        <v>20</v>
      </c>
      <c r="G29" s="93"/>
      <c r="H29" s="95"/>
      <c r="I29" s="97"/>
      <c r="J29" s="99"/>
      <c r="K29" s="101">
        <v>0.31111111111111101</v>
      </c>
      <c r="L29" s="86">
        <v>0.32500000000000001</v>
      </c>
      <c r="M29" s="88">
        <v>3.125E-2</v>
      </c>
      <c r="N29" s="76">
        <f t="shared" ref="N29" si="161">M29*24</f>
        <v>0.75</v>
      </c>
      <c r="O29" s="85">
        <f t="shared" ref="O29" si="162">I29-H29</f>
        <v>0</v>
      </c>
      <c r="P29" s="82">
        <f t="shared" ref="P29" si="163">IF(O29&lt;0.75,IF(I29=0,0,I29-H29),M29)</f>
        <v>0</v>
      </c>
      <c r="Q29" s="82">
        <f t="shared" ref="Q29" si="164">IF(R29&lt;0,0,R29/24)</f>
        <v>0</v>
      </c>
      <c r="R29" s="84" t="str">
        <f t="shared" ref="R29" si="165">IF(P29=0,"0",M29*24-P29*24)</f>
        <v>0</v>
      </c>
      <c r="S29" s="76">
        <f t="shared" ref="S29" si="166">P29*24</f>
        <v>0</v>
      </c>
      <c r="T29" s="76">
        <f t="shared" ref="T29" si="167">IF(R29&lt;0,S29,S29+R29)</f>
        <v>0</v>
      </c>
      <c r="U29" s="76">
        <f t="shared" ref="U29" si="168">IF(T29&lt;=0.75,M29,T29/24)</f>
        <v>3.125E-2</v>
      </c>
      <c r="V29" s="74">
        <f t="shared" ref="V29" si="169">G29*24</f>
        <v>0</v>
      </c>
      <c r="W29" s="76">
        <f t="shared" ref="W29" si="170">IF(S29&gt;0.75, V29+L29*24+P29*24,V29+L29*24+M29*24)</f>
        <v>8.5500000000000007</v>
      </c>
      <c r="X29" s="78">
        <f t="shared" ref="X29" si="171">IF(J29=0,24*(H29-G29)-(K29*24+1/6),(24*(J29-G29)-((U29*24)+(L29*24))))</f>
        <v>-7.6333333333333311</v>
      </c>
      <c r="Y29" s="71">
        <f t="shared" ref="Y29" si="172">IF(X29&lt;=-7.63,0,IF(X29&gt;=0,0,IF(X29&lt;0,ABS(X29)/24,"0")))</f>
        <v>0</v>
      </c>
      <c r="Z29" s="71" t="str">
        <f t="shared" ref="Z29" si="173">IF(X29&lt;0,"0",ABS(X29)/24)</f>
        <v>0</v>
      </c>
      <c r="AA29" s="80">
        <f>IF(X29&lt;-7.63,0,SUM($X$7:X30)+$AA$5)</f>
        <v>0</v>
      </c>
      <c r="AB29" s="69" t="str">
        <f t="shared" ref="AB29" si="174">IF(G29=0,"Heure d'arrivée non rentrée",IF((H29=0),"heure de départ en pause repas non rentrée",IF(I29=0,"Heure de fin de repas non rentrée",IF(J29=0,"Heure de sortie non rentrée",IF(AA29&lt;0,ABS(AA29)/24,0)))))</f>
        <v>Heure d'arrivée non rentrée</v>
      </c>
      <c r="AC29" s="71" t="str">
        <f t="shared" ref="AC29" si="175">IF(G29=0,"Heure d'arrivée non rentrée",IF((H29=0),"heure de départ en pause repas non rentrée",IF(I29=0,"Heure de fin de repas non rentrée",IF(J29=0,"Heure de sortie non rentrée",IF(AA29&gt;0,ABS(AA29)/24,0)))))</f>
        <v>Heure d'arrivée non rentrée</v>
      </c>
      <c r="AD29" s="71">
        <f t="shared" ref="AD29" si="176">IF(G29=0,0,IF(H29=0, "Heure de repas non rentrée",IF(I29=0, H29-G29, IF(J29=0,"Heure de sortie non rentrée",IF(Y29=0,(K29+Z29),K29-Y29)))))</f>
        <v>0</v>
      </c>
      <c r="AE29" s="134" t="str">
        <f t="shared" ref="AE29" si="177">IF(G29=0,"",IF(AB27="Heure d'arrivée non rentrée","",IF(AB27="heure de départ en pause repas non rentrée","",IF(AB27="Heure de fin de repas non rentrée","",IF(AB27="Heure de sortie non rentrée","",IF(AC27="Heure d'arrivée non rentrée","",IF(AC27="heure de départ en pause repas non rentrée","",IF(AC27="Heure de fin de repas non rentrée","",IF(AC27="Heure de sortie non rentrée","",IF(AB27&gt;0,AF29+AB27,IF(AC27&gt;0,AF29:AF30-AC27,"")))))))))))</f>
        <v/>
      </c>
      <c r="AF29" s="72">
        <f t="shared" ref="AF29" si="178">IF(W29=8.55,0,W29/24)</f>
        <v>0</v>
      </c>
      <c r="AG29" s="3" t="s">
        <v>3</v>
      </c>
      <c r="AH29" s="1" t="s">
        <v>3</v>
      </c>
      <c r="AI29" s="1" t="s">
        <v>4</v>
      </c>
      <c r="AJ29" s="1" t="s">
        <v>4</v>
      </c>
      <c r="AK29" s="1" t="s">
        <v>5</v>
      </c>
      <c r="AL29" s="9" t="s">
        <v>5</v>
      </c>
      <c r="AM29" s="131">
        <v>17</v>
      </c>
      <c r="AN29" s="142">
        <f>AQ5+2</f>
        <v>24</v>
      </c>
      <c r="AO29" s="39"/>
      <c r="AU29" s="2">
        <v>4</v>
      </c>
    </row>
    <row r="30" spans="3:47" ht="15" thickBot="1" x14ac:dyDescent="0.4">
      <c r="C30" s="147"/>
      <c r="D30" s="103"/>
      <c r="E30" s="90"/>
      <c r="F30" s="92"/>
      <c r="G30" s="94"/>
      <c r="H30" s="96"/>
      <c r="I30" s="98"/>
      <c r="J30" s="100"/>
      <c r="K30" s="102"/>
      <c r="L30" s="87"/>
      <c r="M30" s="87"/>
      <c r="N30" s="77"/>
      <c r="O30" s="77"/>
      <c r="P30" s="83"/>
      <c r="Q30" s="83"/>
      <c r="R30" s="77"/>
      <c r="S30" s="77"/>
      <c r="T30" s="77"/>
      <c r="U30" s="77"/>
      <c r="V30" s="75"/>
      <c r="W30" s="77"/>
      <c r="X30" s="79"/>
      <c r="Y30" s="70"/>
      <c r="Z30" s="70"/>
      <c r="AA30" s="81"/>
      <c r="AB30" s="70"/>
      <c r="AC30" s="70"/>
      <c r="AD30" s="70"/>
      <c r="AE30" s="135"/>
      <c r="AF30" s="73"/>
      <c r="AG30" s="14">
        <f t="shared" ref="AG30" si="179">IF(AF29=0,0,AF29*24 + 0.5)</f>
        <v>0</v>
      </c>
      <c r="AH30" s="11">
        <f t="shared" ref="AH30" si="180">AG30/24</f>
        <v>0</v>
      </c>
      <c r="AI30" s="10">
        <f t="shared" ref="AI30" si="181">IF(AG30=0,0,AG30+0.5)</f>
        <v>0</v>
      </c>
      <c r="AJ30" s="12">
        <f t="shared" ref="AJ30" si="182">IF(AI30=0,0,AI30/24)</f>
        <v>0</v>
      </c>
      <c r="AK30" s="10">
        <f t="shared" ref="AK30" si="183">IF(AG30=0,0,AG30+1.5)</f>
        <v>0</v>
      </c>
      <c r="AL30" s="13">
        <f t="shared" ref="AL30" si="184">AK30/24</f>
        <v>0</v>
      </c>
      <c r="AM30" s="138"/>
      <c r="AN30" s="143">
        <f>AQ5+2</f>
        <v>24</v>
      </c>
      <c r="AO30" s="39"/>
      <c r="AU30" s="2">
        <v>5</v>
      </c>
    </row>
    <row r="31" spans="3:47" ht="43.5" x14ac:dyDescent="0.35">
      <c r="C31" s="145"/>
      <c r="D31" s="89" t="str">
        <f t="shared" ref="D31" si="185">IF($B$5=1,"Jeudi",IF($B$5=2,"Vendredi",IF($B$5=3,"Lundi",IF($B$5=4,"Mardi",IF($B$5=5,"Mercredi","")))))</f>
        <v>Vendredi</v>
      </c>
      <c r="E31" s="89" t="str">
        <f>"20 "&amp; $AR$5</f>
        <v>20 Juin</v>
      </c>
      <c r="F31" s="91" t="s">
        <v>20</v>
      </c>
      <c r="G31" s="93"/>
      <c r="H31" s="95"/>
      <c r="I31" s="97"/>
      <c r="J31" s="99"/>
      <c r="K31" s="101">
        <v>0.31111111111111101</v>
      </c>
      <c r="L31" s="86">
        <v>0.32500000000000001</v>
      </c>
      <c r="M31" s="88">
        <v>3.125E-2</v>
      </c>
      <c r="N31" s="76">
        <f t="shared" ref="N31" si="186">M31*24</f>
        <v>0.75</v>
      </c>
      <c r="O31" s="85">
        <f t="shared" ref="O31" si="187">I31-H31</f>
        <v>0</v>
      </c>
      <c r="P31" s="82">
        <f t="shared" ref="P31" si="188">IF(O31&lt;0.75,IF(I31=0,0,I31-H31),M31)</f>
        <v>0</v>
      </c>
      <c r="Q31" s="82">
        <f t="shared" ref="Q31" si="189">IF(R31&lt;0,0,R31/24)</f>
        <v>0</v>
      </c>
      <c r="R31" s="84" t="str">
        <f t="shared" ref="R31" si="190">IF(P31=0,"0",M31*24-P31*24)</f>
        <v>0</v>
      </c>
      <c r="S31" s="76">
        <f t="shared" ref="S31" si="191">P31*24</f>
        <v>0</v>
      </c>
      <c r="T31" s="76">
        <f t="shared" ref="T31" si="192">IF(R31&lt;0,S31,S31+R31)</f>
        <v>0</v>
      </c>
      <c r="U31" s="76">
        <f t="shared" ref="U31" si="193">IF(T31&lt;=0.75,M31,T31/24)</f>
        <v>3.125E-2</v>
      </c>
      <c r="V31" s="74">
        <f t="shared" ref="V31" si="194">G31*24</f>
        <v>0</v>
      </c>
      <c r="W31" s="76">
        <f t="shared" ref="W31" si="195">IF(S31&gt;0.75, V31+L31*24+P31*24,V31+L31*24+M31*24)</f>
        <v>8.5500000000000007</v>
      </c>
      <c r="X31" s="78">
        <f t="shared" ref="X31" si="196">IF(J31=0,24*(H31-G31)-(K31*24+1/6),(24*(J31-G31)-((U31*24)+(L31*24))))</f>
        <v>-7.6333333333333311</v>
      </c>
      <c r="Y31" s="71">
        <f t="shared" ref="Y31" si="197">IF(X31&lt;=-7.63,0,IF(X31&gt;=0,0,IF(X31&lt;0,ABS(X31)/24,"0")))</f>
        <v>0</v>
      </c>
      <c r="Z31" s="71" t="str">
        <f t="shared" ref="Z31" si="198">IF(X31&lt;0,"0",ABS(X31)/24)</f>
        <v>0</v>
      </c>
      <c r="AA31" s="80">
        <f>IF(X31&lt;-7.63,0,SUM($X$7:X32)+$AA$5)</f>
        <v>0</v>
      </c>
      <c r="AB31" s="69" t="str">
        <f t="shared" ref="AB31" si="199">IF(G31=0,"Heure d'arrivée non rentrée",IF((H31=0),"heure de départ en pause repas non rentrée",IF(I31=0,"Heure de fin de repas non rentrée",IF(J31=0,"Heure de sortie non rentrée",IF(AA31&lt;0,ABS(AA31)/24,0)))))</f>
        <v>Heure d'arrivée non rentrée</v>
      </c>
      <c r="AC31" s="71" t="str">
        <f t="shared" ref="AC31" si="200">IF(G31=0,"Heure d'arrivée non rentrée",IF((H31=0),"heure de départ en pause repas non rentrée",IF(I31=0,"Heure de fin de repas non rentrée",IF(J31=0,"Heure de sortie non rentrée",IF(AA31&gt;0,ABS(AA31)/24,0)))))</f>
        <v>Heure d'arrivée non rentrée</v>
      </c>
      <c r="AD31" s="71">
        <f t="shared" ref="AD31" si="201">IF(G31=0,0,IF(H31=0, "Heure de repas non rentrée",IF(I31=0, H31-G31, IF(J31=0,"Heure de sortie non rentrée",IF(Y31=0,(K31+Z31),K31-Y31)))))</f>
        <v>0</v>
      </c>
      <c r="AE31" s="134" t="str">
        <f t="shared" ref="AE31" si="202">IF(G31=0,"",IF(AB29="Heure d'arrivée non rentrée","",IF(AB29="heure de départ en pause repas non rentrée","",IF(AB29="Heure de fin de repas non rentrée","",IF(AB29="Heure de sortie non rentrée","",IF(AC29="Heure d'arrivée non rentrée","",IF(AC29="heure de départ en pause repas non rentrée","",IF(AC29="Heure de fin de repas non rentrée","",IF(AC29="Heure de sortie non rentrée","",IF(AB29&gt;0,AF31+AB29,IF(AC29&gt;0,AF31:AF32-AC29,"")))))))))))</f>
        <v/>
      </c>
      <c r="AF31" s="72">
        <f t="shared" ref="AF31" si="203">IF(W31=8.55,0,W31/24)</f>
        <v>0</v>
      </c>
      <c r="AG31" s="3" t="s">
        <v>3</v>
      </c>
      <c r="AH31" s="1" t="s">
        <v>3</v>
      </c>
      <c r="AI31" s="1" t="s">
        <v>4</v>
      </c>
      <c r="AJ31" s="1" t="s">
        <v>4</v>
      </c>
      <c r="AK31" s="1" t="s">
        <v>5</v>
      </c>
      <c r="AL31" s="9" t="s">
        <v>5</v>
      </c>
      <c r="AM31" s="129">
        <v>20</v>
      </c>
      <c r="AN31" s="141">
        <f>AQ5+3</f>
        <v>25</v>
      </c>
      <c r="AO31" s="39"/>
      <c r="AU31" s="2">
        <v>6</v>
      </c>
    </row>
    <row r="32" spans="3:47" ht="15" thickBot="1" x14ac:dyDescent="0.4">
      <c r="C32" s="147"/>
      <c r="D32" s="90"/>
      <c r="E32" s="90"/>
      <c r="F32" s="92"/>
      <c r="G32" s="94"/>
      <c r="H32" s="96"/>
      <c r="I32" s="98"/>
      <c r="J32" s="100"/>
      <c r="K32" s="102"/>
      <c r="L32" s="87"/>
      <c r="M32" s="87"/>
      <c r="N32" s="77"/>
      <c r="O32" s="77"/>
      <c r="P32" s="83"/>
      <c r="Q32" s="83"/>
      <c r="R32" s="77"/>
      <c r="S32" s="77"/>
      <c r="T32" s="77"/>
      <c r="U32" s="77"/>
      <c r="V32" s="75"/>
      <c r="W32" s="77"/>
      <c r="X32" s="79"/>
      <c r="Y32" s="70"/>
      <c r="Z32" s="70"/>
      <c r="AA32" s="81"/>
      <c r="AB32" s="70"/>
      <c r="AC32" s="70"/>
      <c r="AD32" s="70"/>
      <c r="AE32" s="135"/>
      <c r="AF32" s="73"/>
      <c r="AG32" s="14">
        <f t="shared" ref="AG32" si="204">IF(AF31=0,0,AF31*24 + 0.5)</f>
        <v>0</v>
      </c>
      <c r="AH32" s="11">
        <f t="shared" ref="AH32" si="205">AG32/24</f>
        <v>0</v>
      </c>
      <c r="AI32" s="10">
        <f t="shared" ref="AI32" si="206">IF(AG32=0,0,AG32+0.5)</f>
        <v>0</v>
      </c>
      <c r="AJ32" s="12">
        <f t="shared" ref="AJ32" si="207">IF(AI32=0,0,AI32/24)</f>
        <v>0</v>
      </c>
      <c r="AK32" s="10">
        <f t="shared" ref="AK32" si="208">IF(AG32=0,0,AG32+1.5)</f>
        <v>0</v>
      </c>
      <c r="AL32" s="13">
        <f t="shared" ref="AL32" si="209">AK32/24</f>
        <v>0</v>
      </c>
      <c r="AM32" s="131"/>
      <c r="AN32" s="142">
        <f>AQ5+3</f>
        <v>25</v>
      </c>
      <c r="AO32" s="39"/>
      <c r="AU32" s="2">
        <v>7</v>
      </c>
    </row>
    <row r="33" spans="3:47" ht="43.5" x14ac:dyDescent="0.35">
      <c r="C33" s="145" t="s">
        <v>72</v>
      </c>
      <c r="D33" s="89" t="str">
        <f t="shared" ref="D33" si="210">IF($B$5=1,"Vendredi",IF($B$5=2,"Lundi",IF($B$5=3,"Mardi",IF($B$5=4,"Mercredi",IF($B$5=5,"Jeudi","")))))</f>
        <v>Lundi</v>
      </c>
      <c r="E33" s="89" t="str">
        <f>"21 "&amp; $AR$5</f>
        <v>21 Juin</v>
      </c>
      <c r="F33" s="91" t="s">
        <v>20</v>
      </c>
      <c r="G33" s="93"/>
      <c r="H33" s="95"/>
      <c r="I33" s="97"/>
      <c r="J33" s="99"/>
      <c r="K33" s="101">
        <v>0.31111111111111101</v>
      </c>
      <c r="L33" s="86">
        <v>0.32500000000000001</v>
      </c>
      <c r="M33" s="88">
        <v>3.125E-2</v>
      </c>
      <c r="N33" s="76">
        <f t="shared" ref="N33" si="211">M33*24</f>
        <v>0.75</v>
      </c>
      <c r="O33" s="85">
        <f t="shared" ref="O33" si="212">I33-H33</f>
        <v>0</v>
      </c>
      <c r="P33" s="82">
        <f t="shared" ref="P33" si="213">IF(O33&lt;0.75,IF(I33=0,0,I33-H33),M33)</f>
        <v>0</v>
      </c>
      <c r="Q33" s="82">
        <f t="shared" ref="Q33" si="214">IF(R33&lt;0,0,R33/24)</f>
        <v>0</v>
      </c>
      <c r="R33" s="84" t="str">
        <f t="shared" ref="R33" si="215">IF(P33=0,"0",M33*24-P33*24)</f>
        <v>0</v>
      </c>
      <c r="S33" s="76">
        <f t="shared" ref="S33" si="216">P33*24</f>
        <v>0</v>
      </c>
      <c r="T33" s="76">
        <f t="shared" ref="T33" si="217">IF(R33&lt;0,S33,S33+R33)</f>
        <v>0</v>
      </c>
      <c r="U33" s="76">
        <f t="shared" ref="U33" si="218">IF(T33&lt;=0.75,M33,T33/24)</f>
        <v>3.125E-2</v>
      </c>
      <c r="V33" s="74">
        <f t="shared" ref="V33" si="219">G33*24</f>
        <v>0</v>
      </c>
      <c r="W33" s="76">
        <f t="shared" ref="W33" si="220">IF(S33&gt;0.75, V33+L33*24+P33*24,V33+L33*24+M33*24)</f>
        <v>8.5500000000000007</v>
      </c>
      <c r="X33" s="78">
        <f t="shared" ref="X33" si="221">IF(J33=0,24*(H33-G33)-(K33*24+1/6),(24*(J33-G33)-((U33*24)+(L33*24))))</f>
        <v>-7.6333333333333311</v>
      </c>
      <c r="Y33" s="71">
        <f t="shared" ref="Y33" si="222">IF(X33&lt;=-7.63,0,IF(X33&gt;=0,0,IF(X33&lt;0,ABS(X33)/24,"0")))</f>
        <v>0</v>
      </c>
      <c r="Z33" s="71" t="str">
        <f t="shared" ref="Z33" si="223">IF(X33&lt;0,"0",ABS(X33)/24)</f>
        <v>0</v>
      </c>
      <c r="AA33" s="80">
        <f>IF(X33&lt;-7.63,0,SUM($X$7:X34)+$AA$5)</f>
        <v>0</v>
      </c>
      <c r="AB33" s="69" t="str">
        <f t="shared" ref="AB33" si="224">IF(G33=0,"Heure d'arrivée non rentrée",IF((H33=0),"heure de départ en pause repas non rentrée",IF(I33=0,"Heure de fin de repas non rentrée",IF(J33=0,"Heure de sortie non rentrée",IF(AA33&lt;0,ABS(AA33)/24,0)))))</f>
        <v>Heure d'arrivée non rentrée</v>
      </c>
      <c r="AC33" s="71" t="str">
        <f t="shared" ref="AC33" si="225">IF(G33=0,"Heure d'arrivée non rentrée",IF((H33=0),"heure de départ en pause repas non rentrée",IF(I33=0,"Heure de fin de repas non rentrée",IF(J33=0,"Heure de sortie non rentrée",IF(AA33&gt;0,ABS(AA33)/24,0)))))</f>
        <v>Heure d'arrivée non rentrée</v>
      </c>
      <c r="AD33" s="71">
        <f t="shared" ref="AD33" si="226">IF(G33=0,0,IF(H33=0, "Heure de repas non rentrée",IF(I33=0, H33-G33, IF(J33=0,"Heure de sortie non rentrée",IF(Y33=0,(K33+Z33),K33-Y33)))))</f>
        <v>0</v>
      </c>
      <c r="AE33" s="134" t="str">
        <f t="shared" ref="AE33" si="227">IF(G33=0,"",IF(AB31="Heure d'arrivée non rentrée","",IF(AB31="heure de départ en pause repas non rentrée","",IF(AB31="Heure de fin de repas non rentrée","",IF(AB31="Heure de sortie non rentrée","",IF(AC31="Heure d'arrivée non rentrée","",IF(AC31="heure de départ en pause repas non rentrée","",IF(AC31="Heure de fin de repas non rentrée","",IF(AC31="Heure de sortie non rentrée","",IF(AB31&gt;0,AF33+AB31,IF(AC31&gt;0,AF33:AF34-AC31,"")))))))))))</f>
        <v/>
      </c>
      <c r="AF33" s="72">
        <f t="shared" ref="AF33" si="228">IF(W33=8.55,0,W33/24)</f>
        <v>0</v>
      </c>
      <c r="AG33" s="3" t="s">
        <v>3</v>
      </c>
      <c r="AH33" s="1" t="s">
        <v>3</v>
      </c>
      <c r="AI33" s="1" t="s">
        <v>4</v>
      </c>
      <c r="AJ33" s="1" t="s">
        <v>4</v>
      </c>
      <c r="AK33" s="1" t="s">
        <v>5</v>
      </c>
      <c r="AL33" s="9" t="s">
        <v>5</v>
      </c>
      <c r="AM33" s="131">
        <v>21</v>
      </c>
      <c r="AN33" s="142">
        <f>AQ5+3</f>
        <v>25</v>
      </c>
      <c r="AO33" s="39"/>
      <c r="AU33" s="2">
        <v>8</v>
      </c>
    </row>
    <row r="34" spans="3:47" ht="15" thickBot="1" x14ac:dyDescent="0.4">
      <c r="C34" s="146"/>
      <c r="D34" s="90"/>
      <c r="E34" s="90"/>
      <c r="F34" s="92"/>
      <c r="G34" s="94"/>
      <c r="H34" s="96"/>
      <c r="I34" s="98"/>
      <c r="J34" s="100"/>
      <c r="K34" s="102"/>
      <c r="L34" s="87"/>
      <c r="M34" s="87"/>
      <c r="N34" s="77"/>
      <c r="O34" s="77"/>
      <c r="P34" s="83"/>
      <c r="Q34" s="83"/>
      <c r="R34" s="77"/>
      <c r="S34" s="77"/>
      <c r="T34" s="77"/>
      <c r="U34" s="77"/>
      <c r="V34" s="75"/>
      <c r="W34" s="77"/>
      <c r="X34" s="79"/>
      <c r="Y34" s="70"/>
      <c r="Z34" s="70"/>
      <c r="AA34" s="81"/>
      <c r="AB34" s="70"/>
      <c r="AC34" s="70"/>
      <c r="AD34" s="70"/>
      <c r="AE34" s="135"/>
      <c r="AF34" s="73"/>
      <c r="AG34" s="14">
        <f t="shared" ref="AG34" si="229">IF(AF33=0,0,AF33*24 + 0.5)</f>
        <v>0</v>
      </c>
      <c r="AH34" s="11">
        <f t="shared" ref="AH34" si="230">AG34/24</f>
        <v>0</v>
      </c>
      <c r="AI34" s="10">
        <f t="shared" ref="AI34" si="231">IF(AG34=0,0,AG34+0.5)</f>
        <v>0</v>
      </c>
      <c r="AJ34" s="12">
        <f t="shared" ref="AJ34" si="232">IF(AI34=0,0,AI34/24)</f>
        <v>0</v>
      </c>
      <c r="AK34" s="10">
        <f t="shared" ref="AK34" si="233">IF(AG34=0,0,AG34+1.5)</f>
        <v>0</v>
      </c>
      <c r="AL34" s="13">
        <f t="shared" ref="AL34" si="234">AK34/24</f>
        <v>0</v>
      </c>
      <c r="AM34" s="131"/>
      <c r="AN34" s="142">
        <f>AQ5+3</f>
        <v>25</v>
      </c>
      <c r="AO34" s="39"/>
      <c r="AU34" s="2">
        <v>9</v>
      </c>
    </row>
    <row r="35" spans="3:47" ht="43.5" x14ac:dyDescent="0.35">
      <c r="C35" s="146"/>
      <c r="D35" s="89" t="str">
        <f t="shared" ref="D35" si="235">IF($B$5=1,"Lundi",IF($B$5=2,"Mardi",IF($B$5=3,"Mercredi",IF($B$5=4,"Jeudi",IF($B$5=5,"Vendredi")))))</f>
        <v>Mardi</v>
      </c>
      <c r="E35" s="89" t="str">
        <f>"22 "&amp; $AR$5</f>
        <v>22 Juin</v>
      </c>
      <c r="F35" s="91" t="s">
        <v>20</v>
      </c>
      <c r="G35" s="93"/>
      <c r="H35" s="95"/>
      <c r="I35" s="97"/>
      <c r="J35" s="99"/>
      <c r="K35" s="101">
        <v>0.31111111111111101</v>
      </c>
      <c r="L35" s="86">
        <v>0.32500000000000001</v>
      </c>
      <c r="M35" s="88">
        <v>3.125E-2</v>
      </c>
      <c r="N35" s="76">
        <f t="shared" ref="N35" si="236">M35*24</f>
        <v>0.75</v>
      </c>
      <c r="O35" s="85">
        <f t="shared" ref="O35" si="237">I35-H35</f>
        <v>0</v>
      </c>
      <c r="P35" s="82">
        <f t="shared" ref="P35" si="238">IF(O35&lt;0.75,IF(I35=0,0,I35-H35),M35)</f>
        <v>0</v>
      </c>
      <c r="Q35" s="82">
        <f t="shared" ref="Q35" si="239">IF(R35&lt;0,0,R35/24)</f>
        <v>0</v>
      </c>
      <c r="R35" s="84" t="str">
        <f t="shared" ref="R35" si="240">IF(P35=0,"0",M35*24-P35*24)</f>
        <v>0</v>
      </c>
      <c r="S35" s="76">
        <f t="shared" ref="S35" si="241">P35*24</f>
        <v>0</v>
      </c>
      <c r="T35" s="76">
        <f t="shared" ref="T35" si="242">IF(R35&lt;0,S35,S35+R35)</f>
        <v>0</v>
      </c>
      <c r="U35" s="76">
        <f t="shared" ref="U35" si="243">IF(T35&lt;=0.75,M35,T35/24)</f>
        <v>3.125E-2</v>
      </c>
      <c r="V35" s="74">
        <f t="shared" ref="V35" si="244">G35*24</f>
        <v>0</v>
      </c>
      <c r="W35" s="76">
        <f t="shared" ref="W35" si="245">IF(S35&gt;0.75, V35+L35*24+P35*24,V35+L35*24+M35*24)</f>
        <v>8.5500000000000007</v>
      </c>
      <c r="X35" s="78">
        <f t="shared" ref="X35" si="246">IF(J35=0,24*(H35-G35)-(K35*24+1/6),(24*(J35-G35)-((U35*24)+(L35*24))))</f>
        <v>-7.6333333333333311</v>
      </c>
      <c r="Y35" s="71">
        <f t="shared" ref="Y35" si="247">IF(X35&lt;=-7.63,0,IF(X35&gt;=0,0,IF(X35&lt;0,ABS(X35)/24,"0")))</f>
        <v>0</v>
      </c>
      <c r="Z35" s="71" t="str">
        <f t="shared" ref="Z35" si="248">IF(X35&lt;0,"0",ABS(X35)/24)</f>
        <v>0</v>
      </c>
      <c r="AA35" s="80">
        <f>IF(X35&lt;-7.63,0,SUM($X$7:X36)+$AA$5)</f>
        <v>0</v>
      </c>
      <c r="AB35" s="69" t="str">
        <f t="shared" ref="AB35" si="249">IF(G35=0,"Heure d'arrivée non rentrée",IF((H35=0),"heure de départ en pause repas non rentrée",IF(I35=0,"Heure de fin de repas non rentrée",IF(J35=0,"Heure de sortie non rentrée",IF(AA35&lt;0,ABS(AA35)/24,0)))))</f>
        <v>Heure d'arrivée non rentrée</v>
      </c>
      <c r="AC35" s="71" t="str">
        <f t="shared" ref="AC35" si="250">IF(G35=0,"Heure d'arrivée non rentrée",IF((H35=0),"heure de départ en pause repas non rentrée",IF(I35=0,"Heure de fin de repas non rentrée",IF(J35=0,"Heure de sortie non rentrée",IF(AA35&gt;0,ABS(AA35)/24,0)))))</f>
        <v>Heure d'arrivée non rentrée</v>
      </c>
      <c r="AD35" s="71">
        <f t="shared" ref="AD35" si="251">IF(G35=0,0,IF(H35=0, "Heure de repas non rentrée",IF(I35=0, H35-G35, IF(J35=0,"Heure de sortie non rentrée",IF(Y35=0,(K35+Z35),K35-Y35)))))</f>
        <v>0</v>
      </c>
      <c r="AE35" s="134" t="str">
        <f t="shared" ref="AE35" si="252">IF(G35=0,"",IF(AB33="Heure d'arrivée non rentrée","",IF(AB33="heure de départ en pause repas non rentrée","",IF(AB33="Heure de fin de repas non rentrée","",IF(AB33="Heure de sortie non rentrée","",IF(AC33="Heure d'arrivée non rentrée","",IF(AC33="heure de départ en pause repas non rentrée","",IF(AC33="Heure de fin de repas non rentrée","",IF(AC33="Heure de sortie non rentrée","",IF(AB33&gt;0,AF35+AB33,IF(AC33&gt;0,AF35:AF36-AC33,"")))))))))))</f>
        <v/>
      </c>
      <c r="AF35" s="72">
        <f t="shared" ref="AF35" si="253">IF(W35=8.55,0,W35/24)</f>
        <v>0</v>
      </c>
      <c r="AG35" s="3" t="s">
        <v>3</v>
      </c>
      <c r="AH35" s="1" t="s">
        <v>3</v>
      </c>
      <c r="AI35" s="1" t="s">
        <v>4</v>
      </c>
      <c r="AJ35" s="1" t="s">
        <v>4</v>
      </c>
      <c r="AK35" s="1" t="s">
        <v>5</v>
      </c>
      <c r="AL35" s="9" t="s">
        <v>5</v>
      </c>
      <c r="AM35" s="131">
        <v>22</v>
      </c>
      <c r="AN35" s="142">
        <f>AQ5+3</f>
        <v>25</v>
      </c>
      <c r="AO35" s="39"/>
      <c r="AU35" s="2">
        <v>10</v>
      </c>
    </row>
    <row r="36" spans="3:47" ht="15" thickBot="1" x14ac:dyDescent="0.4">
      <c r="C36" s="147"/>
      <c r="D36" s="103"/>
      <c r="E36" s="90"/>
      <c r="F36" s="92"/>
      <c r="G36" s="94"/>
      <c r="H36" s="96"/>
      <c r="I36" s="98"/>
      <c r="J36" s="100"/>
      <c r="K36" s="102"/>
      <c r="L36" s="87"/>
      <c r="M36" s="87"/>
      <c r="N36" s="77"/>
      <c r="O36" s="77"/>
      <c r="P36" s="83"/>
      <c r="Q36" s="83"/>
      <c r="R36" s="77"/>
      <c r="S36" s="77"/>
      <c r="T36" s="77"/>
      <c r="U36" s="77"/>
      <c r="V36" s="75"/>
      <c r="W36" s="77"/>
      <c r="X36" s="79"/>
      <c r="Y36" s="70"/>
      <c r="Z36" s="70"/>
      <c r="AA36" s="81"/>
      <c r="AB36" s="70"/>
      <c r="AC36" s="70"/>
      <c r="AD36" s="70"/>
      <c r="AE36" s="135"/>
      <c r="AF36" s="73"/>
      <c r="AG36" s="14">
        <f t="shared" ref="AG36" si="254">IF(AF35=0,0,AF35*24 + 0.5)</f>
        <v>0</v>
      </c>
      <c r="AH36" s="11">
        <f t="shared" ref="AH36" si="255">AG36/24</f>
        <v>0</v>
      </c>
      <c r="AI36" s="10">
        <f t="shared" ref="AI36" si="256">IF(AG36=0,0,AG36+0.5)</f>
        <v>0</v>
      </c>
      <c r="AJ36" s="12">
        <f t="shared" ref="AJ36" si="257">IF(AI36=0,0,AI36/24)</f>
        <v>0</v>
      </c>
      <c r="AK36" s="10">
        <f t="shared" ref="AK36" si="258">IF(AG36=0,0,AG36+1.5)</f>
        <v>0</v>
      </c>
      <c r="AL36" s="13">
        <f t="shared" ref="AL36" si="259">AK36/24</f>
        <v>0</v>
      </c>
      <c r="AM36" s="131"/>
      <c r="AN36" s="142">
        <f>AQ5+3</f>
        <v>25</v>
      </c>
      <c r="AO36" s="39"/>
      <c r="AU36" s="2">
        <v>11</v>
      </c>
    </row>
    <row r="37" spans="3:47" ht="43.5" x14ac:dyDescent="0.35">
      <c r="C37" s="145"/>
      <c r="D37" s="89" t="str">
        <f t="shared" ref="D37" si="260">IF($B$5=1,"Mardi",IF($B$5=2,"Mercredi",IF($B$5=3,"Jeudi",IF($B$5=4,"Vendredi",IF($B$5=5,"Lundi")))))</f>
        <v>Mercredi</v>
      </c>
      <c r="E37" s="89" t="str">
        <f>"23 "&amp; $AR$5</f>
        <v>23 Juin</v>
      </c>
      <c r="F37" s="91" t="s">
        <v>20</v>
      </c>
      <c r="G37" s="93"/>
      <c r="H37" s="95"/>
      <c r="I37" s="97"/>
      <c r="J37" s="99"/>
      <c r="K37" s="101">
        <v>0.31111111111111101</v>
      </c>
      <c r="L37" s="86">
        <v>0.32500000000000001</v>
      </c>
      <c r="M37" s="88">
        <v>3.125E-2</v>
      </c>
      <c r="N37" s="76">
        <f t="shared" ref="N37" si="261">M37*24</f>
        <v>0.75</v>
      </c>
      <c r="O37" s="85">
        <f t="shared" ref="O37" si="262">I37-H37</f>
        <v>0</v>
      </c>
      <c r="P37" s="82">
        <f t="shared" ref="P37" si="263">IF(O37&lt;0.75,IF(I37=0,0,I37-H37),M37)</f>
        <v>0</v>
      </c>
      <c r="Q37" s="82">
        <f t="shared" ref="Q37" si="264">IF(R37&lt;0,0,R37/24)</f>
        <v>0</v>
      </c>
      <c r="R37" s="84" t="str">
        <f t="shared" ref="R37" si="265">IF(P37=0,"0",M37*24-P37*24)</f>
        <v>0</v>
      </c>
      <c r="S37" s="76">
        <f t="shared" ref="S37" si="266">P37*24</f>
        <v>0</v>
      </c>
      <c r="T37" s="76">
        <f t="shared" ref="T37" si="267">IF(R37&lt;0,S37,S37+R37)</f>
        <v>0</v>
      </c>
      <c r="U37" s="76">
        <f t="shared" ref="U37" si="268">IF(T37&lt;=0.75,M37,T37/24)</f>
        <v>3.125E-2</v>
      </c>
      <c r="V37" s="74">
        <f t="shared" ref="V37" si="269">G37*24</f>
        <v>0</v>
      </c>
      <c r="W37" s="76">
        <f t="shared" ref="W37" si="270">IF(S37&gt;0.75, V37+L37*24+P37*24,V37+L37*24+M37*24)</f>
        <v>8.5500000000000007</v>
      </c>
      <c r="X37" s="78">
        <f t="shared" ref="X37" si="271">IF(J37=0,24*(H37-G37)-(K37*24+1/6),(24*(J37-G37)-((U37*24)+(L37*24))))</f>
        <v>-7.6333333333333311</v>
      </c>
      <c r="Y37" s="71">
        <f t="shared" ref="Y37" si="272">IF(X37&lt;=-7.63,0,IF(X37&gt;=0,0,IF(X37&lt;0,ABS(X37)/24,"0")))</f>
        <v>0</v>
      </c>
      <c r="Z37" s="71" t="str">
        <f t="shared" ref="Z37" si="273">IF(X37&lt;0,"0",ABS(X37)/24)</f>
        <v>0</v>
      </c>
      <c r="AA37" s="80">
        <f>IF(X37&lt;-7.63,0,SUM($X$7:X38)+$AA$5)</f>
        <v>0</v>
      </c>
      <c r="AB37" s="69" t="str">
        <f t="shared" ref="AB37" si="274">IF(G37=0,"Heure d'arrivée non rentrée",IF((H37=0),"heure de départ en pause repas non rentrée",IF(I37=0,"Heure de fin de repas non rentrée",IF(J37=0,"Heure de sortie non rentrée",IF(AA37&lt;0,ABS(AA37)/24,0)))))</f>
        <v>Heure d'arrivée non rentrée</v>
      </c>
      <c r="AC37" s="71" t="str">
        <f t="shared" ref="AC37" si="275">IF(G37=0,"Heure d'arrivée non rentrée",IF((H37=0),"heure de départ en pause repas non rentrée",IF(I37=0,"Heure de fin de repas non rentrée",IF(J37=0,"Heure de sortie non rentrée",IF(AA37&gt;0,ABS(AA37)/24,0)))))</f>
        <v>Heure d'arrivée non rentrée</v>
      </c>
      <c r="AD37" s="71">
        <f t="shared" ref="AD37" si="276">IF(G37=0,0,IF(H37=0, "Heure de repas non rentrée",IF(I37=0, H37-G37, IF(J37=0,"Heure de sortie non rentrée",IF(Y37=0,(K37+Z37),K37-Y37)))))</f>
        <v>0</v>
      </c>
      <c r="AE37" s="134" t="str">
        <f t="shared" ref="AE37" si="277">IF(G37=0,"",IF(AB35="Heure d'arrivée non rentrée","",IF(AB35="heure de départ en pause repas non rentrée","",IF(AB35="Heure de fin de repas non rentrée","",IF(AB35="Heure de sortie non rentrée","",IF(AC35="Heure d'arrivée non rentrée","",IF(AC35="heure de départ en pause repas non rentrée","",IF(AC35="Heure de fin de repas non rentrée","",IF(AC35="Heure de sortie non rentrée","",IF(AB35&gt;0,AF37+AB35,IF(AC35&gt;0,AF37:AF38-AC35,"")))))))))))</f>
        <v/>
      </c>
      <c r="AF37" s="72">
        <f t="shared" ref="AF37" si="278">IF(W37=8.55,0,W37/24)</f>
        <v>0</v>
      </c>
      <c r="AG37" s="3" t="s">
        <v>3</v>
      </c>
      <c r="AH37" s="1" t="s">
        <v>3</v>
      </c>
      <c r="AI37" s="1" t="s">
        <v>4</v>
      </c>
      <c r="AJ37" s="1" t="s">
        <v>4</v>
      </c>
      <c r="AK37" s="1" t="s">
        <v>5</v>
      </c>
      <c r="AL37" s="9" t="s">
        <v>5</v>
      </c>
      <c r="AM37" s="131">
        <v>23</v>
      </c>
      <c r="AN37" s="142">
        <f>AQ5+3</f>
        <v>25</v>
      </c>
      <c r="AO37" s="39"/>
      <c r="AU37" s="2">
        <v>12</v>
      </c>
    </row>
    <row r="38" spans="3:47" ht="15" thickBot="1" x14ac:dyDescent="0.4">
      <c r="C38" s="147"/>
      <c r="D38" s="103"/>
      <c r="E38" s="90"/>
      <c r="F38" s="92"/>
      <c r="G38" s="94"/>
      <c r="H38" s="96"/>
      <c r="I38" s="98"/>
      <c r="J38" s="100"/>
      <c r="K38" s="102"/>
      <c r="L38" s="87"/>
      <c r="M38" s="87"/>
      <c r="N38" s="77"/>
      <c r="O38" s="77"/>
      <c r="P38" s="83"/>
      <c r="Q38" s="83"/>
      <c r="R38" s="77"/>
      <c r="S38" s="77"/>
      <c r="T38" s="77"/>
      <c r="U38" s="77"/>
      <c r="V38" s="75"/>
      <c r="W38" s="77"/>
      <c r="X38" s="79"/>
      <c r="Y38" s="70"/>
      <c r="Z38" s="70"/>
      <c r="AA38" s="81"/>
      <c r="AB38" s="70"/>
      <c r="AC38" s="70"/>
      <c r="AD38" s="70"/>
      <c r="AE38" s="135"/>
      <c r="AF38" s="73"/>
      <c r="AG38" s="14">
        <f t="shared" ref="AG38" si="279">IF(AF37=0,0,AF37*24 + 0.5)</f>
        <v>0</v>
      </c>
      <c r="AH38" s="11">
        <f t="shared" ref="AH38" si="280">AG38/24</f>
        <v>0</v>
      </c>
      <c r="AI38" s="10">
        <f t="shared" ref="AI38" si="281">IF(AG38=0,0,AG38+0.5)</f>
        <v>0</v>
      </c>
      <c r="AJ38" s="12">
        <f t="shared" ref="AJ38" si="282">IF(AI38=0,0,AI38/24)</f>
        <v>0</v>
      </c>
      <c r="AK38" s="10">
        <f t="shared" ref="AK38" si="283">IF(AG38=0,0,AG38+1.5)</f>
        <v>0</v>
      </c>
      <c r="AL38" s="13">
        <f t="shared" ref="AL38" si="284">AK38/24</f>
        <v>0</v>
      </c>
      <c r="AM38" s="131"/>
      <c r="AN38" s="142">
        <f>AQ5+3</f>
        <v>25</v>
      </c>
      <c r="AO38" s="39"/>
      <c r="AU38" s="2">
        <v>13</v>
      </c>
    </row>
    <row r="39" spans="3:47" ht="43.5" x14ac:dyDescent="0.35">
      <c r="C39" s="145"/>
      <c r="D39" s="89" t="str">
        <f t="shared" ref="D39" si="285">IF($B$5=1,"Mercredi",IF($B$5=2,"Jeudi",IF($B$5=3,"Vendredi",IF($B$5=4,"Lundi",IF($B$5=5,"Mardi")))))</f>
        <v>Jeudi</v>
      </c>
      <c r="E39" s="89" t="str">
        <f>"24 "&amp; $AR$5</f>
        <v>24 Juin</v>
      </c>
      <c r="F39" s="91" t="s">
        <v>20</v>
      </c>
      <c r="G39" s="93"/>
      <c r="H39" s="95"/>
      <c r="I39" s="97"/>
      <c r="J39" s="99"/>
      <c r="K39" s="101">
        <v>0.31111111111111101</v>
      </c>
      <c r="L39" s="86">
        <v>0.32500000000000001</v>
      </c>
      <c r="M39" s="88">
        <v>3.125E-2</v>
      </c>
      <c r="N39" s="76">
        <f t="shared" ref="N39" si="286">M39*24</f>
        <v>0.75</v>
      </c>
      <c r="O39" s="85">
        <f t="shared" ref="O39" si="287">I39-H39</f>
        <v>0</v>
      </c>
      <c r="P39" s="82">
        <f t="shared" ref="P39" si="288">IF(O39&lt;0.75,IF(I39=0,0,I39-H39),M39)</f>
        <v>0</v>
      </c>
      <c r="Q39" s="82">
        <f t="shared" ref="Q39" si="289">IF(R39&lt;0,0,R39/24)</f>
        <v>0</v>
      </c>
      <c r="R39" s="84" t="str">
        <f t="shared" ref="R39" si="290">IF(P39=0,"0",M39*24-P39*24)</f>
        <v>0</v>
      </c>
      <c r="S39" s="76">
        <f t="shared" ref="S39" si="291">P39*24</f>
        <v>0</v>
      </c>
      <c r="T39" s="76">
        <f t="shared" ref="T39" si="292">IF(R39&lt;0,S39,S39+R39)</f>
        <v>0</v>
      </c>
      <c r="U39" s="76">
        <f t="shared" ref="U39" si="293">IF(T39&lt;=0.75,M39,T39/24)</f>
        <v>3.125E-2</v>
      </c>
      <c r="V39" s="74">
        <f t="shared" ref="V39" si="294">G39*24</f>
        <v>0</v>
      </c>
      <c r="W39" s="76">
        <f t="shared" ref="W39" si="295">IF(S39&gt;0.75, V39+L39*24+P39*24,V39+L39*24+M39*24)</f>
        <v>8.5500000000000007</v>
      </c>
      <c r="X39" s="78">
        <f t="shared" ref="X39" si="296">IF(J39=0,24*(H39-G39)-(K39*24+1/6),(24*(J39-G39)-((U39*24)+(L39*24))))</f>
        <v>-7.6333333333333311</v>
      </c>
      <c r="Y39" s="71">
        <f t="shared" ref="Y39" si="297">IF(X39&lt;=-7.63,0,IF(X39&gt;=0,0,IF(X39&lt;0,ABS(X39)/24,"0")))</f>
        <v>0</v>
      </c>
      <c r="Z39" s="71" t="str">
        <f t="shared" ref="Z39" si="298">IF(X39&lt;0,"0",ABS(X39)/24)</f>
        <v>0</v>
      </c>
      <c r="AA39" s="80">
        <f>IF(X39&lt;-7.63,0,SUM($X$7:X40)+$AA$5)</f>
        <v>0</v>
      </c>
      <c r="AB39" s="69" t="str">
        <f t="shared" ref="AB39" si="299">IF(G39=0,"Heure d'arrivée non rentrée",IF((H39=0),"heure de départ en pause repas non rentrée",IF(I39=0,"Heure de fin de repas non rentrée",IF(J39=0,"Heure de sortie non rentrée",IF(AA39&lt;0,ABS(AA39)/24,0)))))</f>
        <v>Heure d'arrivée non rentrée</v>
      </c>
      <c r="AC39" s="71" t="str">
        <f t="shared" ref="AC39" si="300">IF(G39=0,"Heure d'arrivée non rentrée",IF((H39=0),"heure de départ en pause repas non rentrée",IF(I39=0,"Heure de fin de repas non rentrée",IF(J39=0,"Heure de sortie non rentrée",IF(AA39&gt;0,ABS(AA39)/24,0)))))</f>
        <v>Heure d'arrivée non rentrée</v>
      </c>
      <c r="AD39" s="71">
        <f t="shared" ref="AD39" si="301">IF(G39=0,0,IF(H39=0, "Heure de repas non rentrée",IF(I39=0, H39-G39, IF(J39=0,"Heure de sortie non rentrée",IF(Y39=0,(K39+Z39),K39-Y39)))))</f>
        <v>0</v>
      </c>
      <c r="AE39" s="134" t="str">
        <f t="shared" ref="AE39" si="302">IF(G39=0,"",IF(AB37="Heure d'arrivée non rentrée","",IF(AB37="heure de départ en pause repas non rentrée","",IF(AB37="Heure de fin de repas non rentrée","",IF(AB37="Heure de sortie non rentrée","",IF(AC37="Heure d'arrivée non rentrée","",IF(AC37="heure de départ en pause repas non rentrée","",IF(AC37="Heure de fin de repas non rentrée","",IF(AC37="Heure de sortie non rentrée","",IF(AB37&gt;0,AF39+AB37,IF(AC37&gt;0,AF39:AF40-AC37,"")))))))))))</f>
        <v/>
      </c>
      <c r="AF39" s="72">
        <f t="shared" ref="AF39" si="303">IF(W39=8.55,0,W39/24)</f>
        <v>0</v>
      </c>
      <c r="AG39" s="3" t="s">
        <v>3</v>
      </c>
      <c r="AH39" s="1" t="s">
        <v>3</v>
      </c>
      <c r="AI39" s="1" t="s">
        <v>4</v>
      </c>
      <c r="AJ39" s="1" t="s">
        <v>4</v>
      </c>
      <c r="AK39" s="1" t="s">
        <v>5</v>
      </c>
      <c r="AL39" s="9" t="s">
        <v>5</v>
      </c>
      <c r="AM39" s="131">
        <v>24</v>
      </c>
      <c r="AN39" s="142">
        <f>AQ5+3</f>
        <v>25</v>
      </c>
      <c r="AO39" s="39"/>
      <c r="AU39" s="2">
        <v>14</v>
      </c>
    </row>
    <row r="40" spans="3:47" ht="15" thickBot="1" x14ac:dyDescent="0.4">
      <c r="C40" s="147"/>
      <c r="D40" s="103"/>
      <c r="E40" s="90"/>
      <c r="F40" s="92"/>
      <c r="G40" s="94"/>
      <c r="H40" s="96"/>
      <c r="I40" s="98"/>
      <c r="J40" s="100"/>
      <c r="K40" s="102"/>
      <c r="L40" s="87"/>
      <c r="M40" s="87"/>
      <c r="N40" s="77"/>
      <c r="O40" s="77"/>
      <c r="P40" s="83"/>
      <c r="Q40" s="83"/>
      <c r="R40" s="77"/>
      <c r="S40" s="77"/>
      <c r="T40" s="77"/>
      <c r="U40" s="77"/>
      <c r="V40" s="75"/>
      <c r="W40" s="77"/>
      <c r="X40" s="79"/>
      <c r="Y40" s="70"/>
      <c r="Z40" s="70"/>
      <c r="AA40" s="81"/>
      <c r="AB40" s="70"/>
      <c r="AC40" s="70"/>
      <c r="AD40" s="70"/>
      <c r="AE40" s="135"/>
      <c r="AF40" s="73"/>
      <c r="AG40" s="14">
        <f t="shared" ref="AG40" si="304">IF(AF39=0,0,AF39*24 + 0.5)</f>
        <v>0</v>
      </c>
      <c r="AH40" s="11">
        <f t="shared" ref="AH40" si="305">AG40/24</f>
        <v>0</v>
      </c>
      <c r="AI40" s="10">
        <f t="shared" ref="AI40" si="306">IF(AG40=0,0,AG40+0.5)</f>
        <v>0</v>
      </c>
      <c r="AJ40" s="12">
        <f t="shared" ref="AJ40" si="307">IF(AI40=0,0,AI40/24)</f>
        <v>0</v>
      </c>
      <c r="AK40" s="10">
        <f t="shared" ref="AK40" si="308">IF(AG40=0,0,AG40+1.5)</f>
        <v>0</v>
      </c>
      <c r="AL40" s="13">
        <f t="shared" ref="AL40" si="309">AK40/24</f>
        <v>0</v>
      </c>
      <c r="AM40" s="138"/>
      <c r="AN40" s="143">
        <f>AQ5+3</f>
        <v>25</v>
      </c>
      <c r="AO40" s="39"/>
      <c r="AU40" s="2">
        <v>15</v>
      </c>
    </row>
    <row r="41" spans="3:47" ht="43.5" x14ac:dyDescent="0.35">
      <c r="C41" s="145"/>
      <c r="D41" s="89" t="str">
        <f t="shared" ref="D41" si="310">IF($B$5=1,"Jeudi",IF($B$5=2,"Vendredi",IF($B$5=3,"Lundi",IF($B$5=4,"Mardi",IF($B$5=5,"Mercredi","")))))</f>
        <v>Vendredi</v>
      </c>
      <c r="E41" s="89" t="str">
        <f>"27 "&amp; $AR$5</f>
        <v>27 Juin</v>
      </c>
      <c r="F41" s="91" t="s">
        <v>20</v>
      </c>
      <c r="G41" s="93"/>
      <c r="H41" s="95"/>
      <c r="I41" s="97"/>
      <c r="J41" s="99"/>
      <c r="K41" s="101">
        <v>0.31111111111111101</v>
      </c>
      <c r="L41" s="86">
        <v>0.32500000000000001</v>
      </c>
      <c r="M41" s="88">
        <v>3.125E-2</v>
      </c>
      <c r="N41" s="76">
        <f t="shared" ref="N41" si="311">M41*24</f>
        <v>0.75</v>
      </c>
      <c r="O41" s="85">
        <f t="shared" ref="O41" si="312">I41-H41</f>
        <v>0</v>
      </c>
      <c r="P41" s="82">
        <f t="shared" ref="P41" si="313">IF(O41&lt;0.75,IF(I41=0,0,I41-H41),M41)</f>
        <v>0</v>
      </c>
      <c r="Q41" s="82">
        <f t="shared" ref="Q41" si="314">IF(R41&lt;0,0,R41/24)</f>
        <v>0</v>
      </c>
      <c r="R41" s="84" t="str">
        <f t="shared" ref="R41" si="315">IF(P41=0,"0",M41*24-P41*24)</f>
        <v>0</v>
      </c>
      <c r="S41" s="76">
        <f t="shared" ref="S41" si="316">P41*24</f>
        <v>0</v>
      </c>
      <c r="T41" s="76">
        <f t="shared" ref="T41" si="317">IF(R41&lt;0,S41,S41+R41)</f>
        <v>0</v>
      </c>
      <c r="U41" s="76">
        <f t="shared" ref="U41" si="318">IF(T41&lt;=0.75,M41,T41/24)</f>
        <v>3.125E-2</v>
      </c>
      <c r="V41" s="74">
        <f t="shared" ref="V41" si="319">G41*24</f>
        <v>0</v>
      </c>
      <c r="W41" s="76">
        <f t="shared" ref="W41" si="320">IF(S41&gt;0.75, V41+L41*24+P41*24,V41+L41*24+M41*24)</f>
        <v>8.5500000000000007</v>
      </c>
      <c r="X41" s="78">
        <f t="shared" ref="X41" si="321">IF(J41=0,24*(H41-G41)-(K41*24+1/6),(24*(J41-G41)-((U41*24)+(L41*24))))</f>
        <v>-7.6333333333333311</v>
      </c>
      <c r="Y41" s="71">
        <f t="shared" ref="Y41" si="322">IF(X41&lt;=-7.63,0,IF(X41&gt;=0,0,IF(X41&lt;0,ABS(X41)/24,"0")))</f>
        <v>0</v>
      </c>
      <c r="Z41" s="71" t="str">
        <f t="shared" ref="Z41" si="323">IF(X41&lt;0,"0",ABS(X41)/24)</f>
        <v>0</v>
      </c>
      <c r="AA41" s="80">
        <f>IF(X41&lt;-7.63,0,SUM($X$7:X42)+$AA$5)</f>
        <v>0</v>
      </c>
      <c r="AB41" s="69" t="str">
        <f t="shared" ref="AB41" si="324">IF(G41=0,"Heure d'arrivée non rentrée",IF((H41=0),"heure de départ en pause repas non rentrée",IF(I41=0,"Heure de fin de repas non rentrée",IF(J41=0,"Heure de sortie non rentrée",IF(AA41&lt;0,ABS(AA41)/24,0)))))</f>
        <v>Heure d'arrivée non rentrée</v>
      </c>
      <c r="AC41" s="71" t="str">
        <f t="shared" ref="AC41" si="325">IF(G41=0,"Heure d'arrivée non rentrée",IF((H41=0),"heure de départ en pause repas non rentrée",IF(I41=0,"Heure de fin de repas non rentrée",IF(J41=0,"Heure de sortie non rentrée",IF(AA41&gt;0,ABS(AA41)/24,0)))))</f>
        <v>Heure d'arrivée non rentrée</v>
      </c>
      <c r="AD41" s="71">
        <f t="shared" ref="AD41" si="326">IF(G41=0,0,IF(H41=0, "Heure de repas non rentrée",IF(I41=0, H41-G41, IF(J41=0,"Heure de sortie non rentrée",IF(Y41=0,(K41+Z41),K41-Y41)))))</f>
        <v>0</v>
      </c>
      <c r="AE41" s="134" t="str">
        <f t="shared" ref="AE41" si="327">IF(G41=0,"",IF(AB39="Heure d'arrivée non rentrée","",IF(AB39="heure de départ en pause repas non rentrée","",IF(AB39="Heure de fin de repas non rentrée","",IF(AB39="Heure de sortie non rentrée","",IF(AC39="Heure d'arrivée non rentrée","",IF(AC39="heure de départ en pause repas non rentrée","",IF(AC39="Heure de fin de repas non rentrée","",IF(AC39="Heure de sortie non rentrée","",IF(AB39&gt;0,AF41+AB39,IF(AC39&gt;0,AF41:AF42-AC39,"")))))))))))</f>
        <v/>
      </c>
      <c r="AF41" s="72">
        <f t="shared" ref="AF41" si="328">IF(W41=8.55,0,W41/24)</f>
        <v>0</v>
      </c>
      <c r="AG41" s="3" t="s">
        <v>3</v>
      </c>
      <c r="AH41" s="1" t="s">
        <v>3</v>
      </c>
      <c r="AI41" s="1" t="s">
        <v>4</v>
      </c>
      <c r="AJ41" s="1" t="s">
        <v>4</v>
      </c>
      <c r="AK41" s="1" t="s">
        <v>5</v>
      </c>
      <c r="AL41" s="9" t="s">
        <v>5</v>
      </c>
      <c r="AM41" s="129">
        <v>27</v>
      </c>
      <c r="AN41" s="141">
        <f>AQ5+4</f>
        <v>26</v>
      </c>
      <c r="AO41" s="39"/>
      <c r="AU41" s="2">
        <v>16</v>
      </c>
    </row>
    <row r="42" spans="3:47" ht="15" thickBot="1" x14ac:dyDescent="0.4">
      <c r="C42" s="147"/>
      <c r="D42" s="90"/>
      <c r="E42" s="90"/>
      <c r="F42" s="92"/>
      <c r="G42" s="94"/>
      <c r="H42" s="96"/>
      <c r="I42" s="98"/>
      <c r="J42" s="100"/>
      <c r="K42" s="102"/>
      <c r="L42" s="87"/>
      <c r="M42" s="87"/>
      <c r="N42" s="77"/>
      <c r="O42" s="77"/>
      <c r="P42" s="83"/>
      <c r="Q42" s="83"/>
      <c r="R42" s="77"/>
      <c r="S42" s="77"/>
      <c r="T42" s="77"/>
      <c r="U42" s="77"/>
      <c r="V42" s="75"/>
      <c r="W42" s="77"/>
      <c r="X42" s="79"/>
      <c r="Y42" s="70"/>
      <c r="Z42" s="70"/>
      <c r="AA42" s="81"/>
      <c r="AB42" s="70"/>
      <c r="AC42" s="70"/>
      <c r="AD42" s="70"/>
      <c r="AE42" s="135"/>
      <c r="AF42" s="73"/>
      <c r="AG42" s="14">
        <f t="shared" ref="AG42" si="329">IF(AF41=0,0,AF41*24 + 0.5)</f>
        <v>0</v>
      </c>
      <c r="AH42" s="11">
        <f t="shared" ref="AH42" si="330">AG42/24</f>
        <v>0</v>
      </c>
      <c r="AI42" s="10">
        <f t="shared" ref="AI42" si="331">IF(AG42=0,0,AG42+0.5)</f>
        <v>0</v>
      </c>
      <c r="AJ42" s="12">
        <f t="shared" ref="AJ42" si="332">IF(AI42=0,0,AI42/24)</f>
        <v>0</v>
      </c>
      <c r="AK42" s="10">
        <f t="shared" ref="AK42" si="333">IF(AG42=0,0,AG42+1.5)</f>
        <v>0</v>
      </c>
      <c r="AL42" s="13">
        <f t="shared" ref="AL42" si="334">AK42/24</f>
        <v>0</v>
      </c>
      <c r="AM42" s="131"/>
      <c r="AN42" s="142">
        <f>AQ5+4</f>
        <v>26</v>
      </c>
      <c r="AO42" s="39"/>
      <c r="AU42" s="2">
        <v>17</v>
      </c>
    </row>
    <row r="43" spans="3:47" ht="43.5" x14ac:dyDescent="0.35">
      <c r="C43" s="145" t="s">
        <v>72</v>
      </c>
      <c r="D43" s="89" t="str">
        <f t="shared" ref="D43" si="335">IF($B$5=1,"Vendredi",IF($B$5=2,"Lundi",IF($B$5=3,"Mardi",IF($B$5=4,"Mercredi",IF($B$5=5,"Jeudi","")))))</f>
        <v>Lundi</v>
      </c>
      <c r="E43" s="89" t="str">
        <f>"28 "&amp; $AR$5</f>
        <v>28 Juin</v>
      </c>
      <c r="F43" s="91" t="s">
        <v>20</v>
      </c>
      <c r="G43" s="93"/>
      <c r="H43" s="95"/>
      <c r="I43" s="97"/>
      <c r="J43" s="99"/>
      <c r="K43" s="101">
        <v>0.31111111111111101</v>
      </c>
      <c r="L43" s="86">
        <v>0.32500000000000001</v>
      </c>
      <c r="M43" s="88">
        <v>3.125E-2</v>
      </c>
      <c r="N43" s="76">
        <f t="shared" ref="N43" si="336">M43*24</f>
        <v>0.75</v>
      </c>
      <c r="O43" s="85">
        <f t="shared" ref="O43" si="337">I43-H43</f>
        <v>0</v>
      </c>
      <c r="P43" s="82">
        <f t="shared" ref="P43" si="338">IF(O43&lt;0.75,IF(I43=0,0,I43-H43),M43)</f>
        <v>0</v>
      </c>
      <c r="Q43" s="82">
        <f t="shared" ref="Q43" si="339">IF(R43&lt;0,0,R43/24)</f>
        <v>0</v>
      </c>
      <c r="R43" s="84" t="str">
        <f t="shared" ref="R43" si="340">IF(P43=0,"0",M43*24-P43*24)</f>
        <v>0</v>
      </c>
      <c r="S43" s="76">
        <f t="shared" ref="S43" si="341">P43*24</f>
        <v>0</v>
      </c>
      <c r="T43" s="76">
        <f t="shared" ref="T43" si="342">IF(R43&lt;0,S43,S43+R43)</f>
        <v>0</v>
      </c>
      <c r="U43" s="76">
        <f t="shared" ref="U43" si="343">IF(T43&lt;=0.75,M43,T43/24)</f>
        <v>3.125E-2</v>
      </c>
      <c r="V43" s="74">
        <f t="shared" ref="V43" si="344">G43*24</f>
        <v>0</v>
      </c>
      <c r="W43" s="76">
        <f t="shared" ref="W43" si="345">IF(S43&gt;0.75, V43+L43*24+P43*24,V43+L43*24+M43*24)</f>
        <v>8.5500000000000007</v>
      </c>
      <c r="X43" s="78">
        <f t="shared" ref="X43" si="346">IF(J43=0,24*(H43-G43)-(K43*24+1/6),(24*(J43-G43)-((U43*24)+(L43*24))))</f>
        <v>-7.6333333333333311</v>
      </c>
      <c r="Y43" s="71">
        <f t="shared" ref="Y43" si="347">IF(X43&lt;=-7.63,0,IF(X43&gt;=0,0,IF(X43&lt;0,ABS(X43)/24,"0")))</f>
        <v>0</v>
      </c>
      <c r="Z43" s="71" t="str">
        <f t="shared" ref="Z43" si="348">IF(X43&lt;0,"0",ABS(X43)/24)</f>
        <v>0</v>
      </c>
      <c r="AA43" s="80">
        <f>IF(X43&lt;-7.63,0,SUM($X$7:X44)+$AA$5)</f>
        <v>0</v>
      </c>
      <c r="AB43" s="69" t="str">
        <f t="shared" ref="AB43" si="349">IF(G43=0,"Heure d'arrivée non rentrée",IF((H43=0),"heure de départ en pause repas non rentrée",IF(I43=0,"Heure de fin de repas non rentrée",IF(J43=0,"Heure de sortie non rentrée",IF(AA43&lt;0,ABS(AA43)/24,0)))))</f>
        <v>Heure d'arrivée non rentrée</v>
      </c>
      <c r="AC43" s="71" t="str">
        <f t="shared" ref="AC43" si="350">IF(G43=0,"Heure d'arrivée non rentrée",IF((H43=0),"heure de départ en pause repas non rentrée",IF(I43=0,"Heure de fin de repas non rentrée",IF(J43=0,"Heure de sortie non rentrée",IF(AA43&gt;0,ABS(AA43)/24,0)))))</f>
        <v>Heure d'arrivée non rentrée</v>
      </c>
      <c r="AD43" s="71">
        <f t="shared" ref="AD43" si="351">IF(G43=0,0,IF(H43=0, "Heure de repas non rentrée",IF(I43=0, H43-G43, IF(J43=0,"Heure de sortie non rentrée",IF(Y43=0,(K43+Z43),K43-Y43)))))</f>
        <v>0</v>
      </c>
      <c r="AE43" s="134" t="str">
        <f t="shared" ref="AE43" si="352">IF(G43=0,"",IF(AB41="Heure d'arrivée non rentrée","",IF(AB41="heure de départ en pause repas non rentrée","",IF(AB41="Heure de fin de repas non rentrée","",IF(AB41="Heure de sortie non rentrée","",IF(AC41="Heure d'arrivée non rentrée","",IF(AC41="heure de départ en pause repas non rentrée","",IF(AC41="Heure de fin de repas non rentrée","",IF(AC41="Heure de sortie non rentrée","",IF(AB41&gt;0,AF43+AB41,IF(AC41&gt;0,AF43:AF44-AC41,"")))))))))))</f>
        <v/>
      </c>
      <c r="AF43" s="72">
        <f t="shared" ref="AF43" si="353">IF(W43=8.55,0,W43/24)</f>
        <v>0</v>
      </c>
      <c r="AG43" s="3" t="s">
        <v>3</v>
      </c>
      <c r="AH43" s="1" t="s">
        <v>3</v>
      </c>
      <c r="AI43" s="1" t="s">
        <v>4</v>
      </c>
      <c r="AJ43" s="1" t="s">
        <v>4</v>
      </c>
      <c r="AK43" s="1" t="s">
        <v>5</v>
      </c>
      <c r="AL43" s="9" t="s">
        <v>5</v>
      </c>
      <c r="AM43" s="131">
        <v>28</v>
      </c>
      <c r="AN43" s="142">
        <f>AQ5+4</f>
        <v>26</v>
      </c>
      <c r="AO43" s="39"/>
      <c r="AU43" s="2">
        <v>18</v>
      </c>
    </row>
    <row r="44" spans="3:47" ht="15" thickBot="1" x14ac:dyDescent="0.4">
      <c r="C44" s="146"/>
      <c r="D44" s="90"/>
      <c r="E44" s="90"/>
      <c r="F44" s="92"/>
      <c r="G44" s="94"/>
      <c r="H44" s="96"/>
      <c r="I44" s="98"/>
      <c r="J44" s="100"/>
      <c r="K44" s="102"/>
      <c r="L44" s="87"/>
      <c r="M44" s="87"/>
      <c r="N44" s="77"/>
      <c r="O44" s="77"/>
      <c r="P44" s="83"/>
      <c r="Q44" s="83"/>
      <c r="R44" s="77"/>
      <c r="S44" s="77"/>
      <c r="T44" s="77"/>
      <c r="U44" s="77"/>
      <c r="V44" s="75"/>
      <c r="W44" s="77"/>
      <c r="X44" s="79"/>
      <c r="Y44" s="70"/>
      <c r="Z44" s="70"/>
      <c r="AA44" s="81"/>
      <c r="AB44" s="70"/>
      <c r="AC44" s="70"/>
      <c r="AD44" s="70"/>
      <c r="AE44" s="135"/>
      <c r="AF44" s="73"/>
      <c r="AG44" s="14">
        <f t="shared" ref="AG44" si="354">IF(AF43=0,0,AF43*24 + 0.5)</f>
        <v>0</v>
      </c>
      <c r="AH44" s="11">
        <f t="shared" ref="AH44" si="355">AG44/24</f>
        <v>0</v>
      </c>
      <c r="AI44" s="10">
        <f t="shared" ref="AI44" si="356">IF(AG44=0,0,AG44+0.5)</f>
        <v>0</v>
      </c>
      <c r="AJ44" s="12">
        <f t="shared" ref="AJ44" si="357">IF(AI44=0,0,AI44/24)</f>
        <v>0</v>
      </c>
      <c r="AK44" s="10">
        <f t="shared" ref="AK44" si="358">IF(AG44=0,0,AG44+1.5)</f>
        <v>0</v>
      </c>
      <c r="AL44" s="13">
        <f t="shared" ref="AL44" si="359">AK44/24</f>
        <v>0</v>
      </c>
      <c r="AM44" s="131"/>
      <c r="AN44" s="142">
        <f>AQ5+4</f>
        <v>26</v>
      </c>
      <c r="AO44" s="39"/>
      <c r="AU44" s="2">
        <v>19</v>
      </c>
    </row>
    <row r="45" spans="3:47" ht="43.5" x14ac:dyDescent="0.35">
      <c r="C45" s="146"/>
      <c r="D45" s="144" t="str">
        <f>IF($AU$11 = 28, "28 jours dans le mois","Mercredi")</f>
        <v>Mercredi</v>
      </c>
      <c r="E45" s="89" t="str">
        <f>"29 "&amp; $AR$5</f>
        <v>29 Juin</v>
      </c>
      <c r="F45" s="91" t="s">
        <v>20</v>
      </c>
      <c r="G45" s="93"/>
      <c r="H45" s="95"/>
      <c r="I45" s="97"/>
      <c r="J45" s="99"/>
      <c r="K45" s="101">
        <v>0.31111111111111101</v>
      </c>
      <c r="L45" s="86">
        <v>0.32500000000000001</v>
      </c>
      <c r="M45" s="88">
        <v>3.125E-2</v>
      </c>
      <c r="N45" s="76">
        <f t="shared" ref="N45" si="360">M45*24</f>
        <v>0.75</v>
      </c>
      <c r="O45" s="85">
        <f t="shared" ref="O45" si="361">I45-H45</f>
        <v>0</v>
      </c>
      <c r="P45" s="82">
        <f t="shared" ref="P45" si="362">IF(O45&lt;0.75,IF(I45=0,0,I45-H45),M45)</f>
        <v>0</v>
      </c>
      <c r="Q45" s="82">
        <f t="shared" ref="Q45" si="363">IF(R45&lt;0,0,R45/24)</f>
        <v>0</v>
      </c>
      <c r="R45" s="84" t="str">
        <f t="shared" ref="R45" si="364">IF(P45=0,"0",M45*24-P45*24)</f>
        <v>0</v>
      </c>
      <c r="S45" s="76">
        <f t="shared" ref="S45" si="365">P45*24</f>
        <v>0</v>
      </c>
      <c r="T45" s="76">
        <f t="shared" ref="T45" si="366">IF(R45&lt;0,S45,S45+R45)</f>
        <v>0</v>
      </c>
      <c r="U45" s="76">
        <f t="shared" ref="U45" si="367">IF(T45&lt;=0.75,M45,T45/24)</f>
        <v>3.125E-2</v>
      </c>
      <c r="V45" s="74">
        <f t="shared" ref="V45" si="368">G45*24</f>
        <v>0</v>
      </c>
      <c r="W45" s="76">
        <f t="shared" ref="W45" si="369">IF(S45&gt;0.75, V45+L45*24+P45*24,V45+L45*24+M45*24)</f>
        <v>8.5500000000000007</v>
      </c>
      <c r="X45" s="78">
        <f t="shared" ref="X45" si="370">IF(J45=0,24*(H45-G45)-(K45*24+1/6),(24*(J45-G45)-((U45*24)+(L45*24))))</f>
        <v>-7.6333333333333311</v>
      </c>
      <c r="Y45" s="71">
        <f t="shared" ref="Y45" si="371">IF(X45&lt;=-7.63,0,IF(X45&gt;=0,0,IF(X45&lt;0,ABS(X45)/24,"0")))</f>
        <v>0</v>
      </c>
      <c r="Z45" s="71" t="str">
        <f t="shared" ref="Z45" si="372">IF(X45&lt;0,"0",ABS(X45)/24)</f>
        <v>0</v>
      </c>
      <c r="AA45" s="80">
        <f>IF(X45&lt;-7.63,0,SUM($X$7:X46)+$AA$5)</f>
        <v>0</v>
      </c>
      <c r="AB45" s="69" t="str">
        <f t="shared" ref="AB45" si="373">IF(G45=0,"Heure d'arrivée non rentrée",IF((H45=0),"heure de départ en pause repas non rentrée",IF(I45=0,"Heure de fin de repas non rentrée",IF(J45=0,"Heure de sortie non rentrée",IF(AA45&lt;0,ABS(AA45)/24,0)))))</f>
        <v>Heure d'arrivée non rentrée</v>
      </c>
      <c r="AC45" s="71" t="str">
        <f t="shared" ref="AC45" si="374">IF(G45=0,"Heure d'arrivée non rentrée",IF((H45=0),"heure de départ en pause repas non rentrée",IF(I45=0,"Heure de fin de repas non rentrée",IF(J45=0,"Heure de sortie non rentrée",IF(AA45&gt;0,ABS(AA45)/24,0)))))</f>
        <v>Heure d'arrivée non rentrée</v>
      </c>
      <c r="AD45" s="71">
        <f t="shared" ref="AD45" si="375">IF(G45=0,0,IF(H45=0, "Heure de repas non rentrée",IF(I45=0, H45-G45, IF(J45=0,"Heure de sortie non rentrée",IF(Y45=0,(K45+Z45),K45-Y45)))))</f>
        <v>0</v>
      </c>
      <c r="AE45" s="134" t="str">
        <f t="shared" ref="AE45" si="376">IF(G45=0,"",IF(AB43="Heure d'arrivée non rentrée","",IF(AB43="heure de départ en pause repas non rentrée","",IF(AB43="Heure de fin de repas non rentrée","",IF(AB43="Heure de sortie non rentrée","",IF(AC43="Heure d'arrivée non rentrée","",IF(AC43="heure de départ en pause repas non rentrée","",IF(AC43="Heure de fin de repas non rentrée","",IF(AC43="Heure de sortie non rentrée","",IF(AB43&gt;0,AF45+AB43,IF(AC43&gt;0,AF45:AF46-AC43,"")))))))))))</f>
        <v/>
      </c>
      <c r="AF45" s="72">
        <f t="shared" ref="AF45" si="377">IF(W45=8.55,0,W45/24)</f>
        <v>0</v>
      </c>
      <c r="AG45" s="3" t="s">
        <v>3</v>
      </c>
      <c r="AH45" s="1" t="s">
        <v>3</v>
      </c>
      <c r="AI45" s="1" t="s">
        <v>4</v>
      </c>
      <c r="AJ45" s="1" t="s">
        <v>4</v>
      </c>
      <c r="AK45" s="1" t="s">
        <v>5</v>
      </c>
      <c r="AL45" s="9" t="s">
        <v>5</v>
      </c>
      <c r="AM45" s="131">
        <v>29</v>
      </c>
      <c r="AN45" s="142">
        <f>AQ5+4</f>
        <v>26</v>
      </c>
      <c r="AO45" s="39"/>
      <c r="AU45" s="2">
        <v>20</v>
      </c>
    </row>
    <row r="46" spans="3:47" ht="15" thickBot="1" x14ac:dyDescent="0.4">
      <c r="C46" s="147"/>
      <c r="D46" s="128"/>
      <c r="E46" s="90"/>
      <c r="F46" s="92"/>
      <c r="G46" s="94"/>
      <c r="H46" s="96"/>
      <c r="I46" s="98"/>
      <c r="J46" s="100"/>
      <c r="K46" s="102"/>
      <c r="L46" s="87"/>
      <c r="M46" s="87"/>
      <c r="N46" s="77"/>
      <c r="O46" s="77"/>
      <c r="P46" s="83"/>
      <c r="Q46" s="83"/>
      <c r="R46" s="77"/>
      <c r="S46" s="77"/>
      <c r="T46" s="77"/>
      <c r="U46" s="77"/>
      <c r="V46" s="75"/>
      <c r="W46" s="77"/>
      <c r="X46" s="79"/>
      <c r="Y46" s="70"/>
      <c r="Z46" s="70"/>
      <c r="AA46" s="81"/>
      <c r="AB46" s="70"/>
      <c r="AC46" s="70"/>
      <c r="AD46" s="70"/>
      <c r="AE46" s="135"/>
      <c r="AF46" s="73"/>
      <c r="AG46" s="14">
        <f t="shared" ref="AG46" si="378">IF(AF45=0,0,AF45*24 + 0.5)</f>
        <v>0</v>
      </c>
      <c r="AH46" s="11">
        <f t="shared" ref="AH46" si="379">AG46/24</f>
        <v>0</v>
      </c>
      <c r="AI46" s="10">
        <f t="shared" ref="AI46" si="380">IF(AG46=0,0,AG46+0.5)</f>
        <v>0</v>
      </c>
      <c r="AJ46" s="12">
        <f t="shared" ref="AJ46" si="381">IF(AI46=0,0,AI46/24)</f>
        <v>0</v>
      </c>
      <c r="AK46" s="10">
        <f t="shared" ref="AK46" si="382">IF(AG46=0,0,AG46+1.5)</f>
        <v>0</v>
      </c>
      <c r="AL46" s="13">
        <f t="shared" ref="AL46" si="383">AK46/24</f>
        <v>0</v>
      </c>
      <c r="AM46" s="131"/>
      <c r="AN46" s="142">
        <f>AQ5+4</f>
        <v>26</v>
      </c>
      <c r="AO46" s="39"/>
      <c r="AU46" s="2">
        <v>21</v>
      </c>
    </row>
    <row r="47" spans="3:47" ht="43.5" x14ac:dyDescent="0.35">
      <c r="C47" s="145"/>
      <c r="D47" s="144" t="str">
        <f>IF($AU$11 = 28, "28 jours dans le mois","Jeudi")</f>
        <v>Jeudi</v>
      </c>
      <c r="E47" s="89" t="str">
        <f>"30 "&amp; $AR$5</f>
        <v>30 Juin</v>
      </c>
      <c r="F47" s="91" t="s">
        <v>20</v>
      </c>
      <c r="G47" s="93"/>
      <c r="H47" s="95"/>
      <c r="I47" s="97"/>
      <c r="J47" s="99"/>
      <c r="K47" s="101">
        <v>0.31111111111111101</v>
      </c>
      <c r="L47" s="86">
        <v>0.32500000000000001</v>
      </c>
      <c r="M47" s="88">
        <v>3.125E-2</v>
      </c>
      <c r="N47" s="76">
        <f t="shared" ref="N47" si="384">M47*24</f>
        <v>0.75</v>
      </c>
      <c r="O47" s="85">
        <f t="shared" ref="O47" si="385">I47-H47</f>
        <v>0</v>
      </c>
      <c r="P47" s="82">
        <f t="shared" ref="P47" si="386">IF(O47&lt;0.75,IF(I47=0,0,I47-H47),M47)</f>
        <v>0</v>
      </c>
      <c r="Q47" s="82">
        <f t="shared" ref="Q47" si="387">IF(R47&lt;0,0,R47/24)</f>
        <v>0</v>
      </c>
      <c r="R47" s="84" t="str">
        <f t="shared" ref="R47" si="388">IF(P47=0,"0",M47*24-P47*24)</f>
        <v>0</v>
      </c>
      <c r="S47" s="76">
        <f t="shared" ref="S47" si="389">P47*24</f>
        <v>0</v>
      </c>
      <c r="T47" s="76">
        <f t="shared" ref="T47" si="390">IF(R47&lt;0,S47,S47+R47)</f>
        <v>0</v>
      </c>
      <c r="U47" s="76">
        <f t="shared" ref="U47" si="391">IF(T47&lt;=0.75,M47,T47/24)</f>
        <v>3.125E-2</v>
      </c>
      <c r="V47" s="74">
        <f t="shared" ref="V47" si="392">G47*24</f>
        <v>0</v>
      </c>
      <c r="W47" s="76">
        <f t="shared" ref="W47" si="393">IF(S47&gt;0.75, V47+L47*24+P47*24,V47+L47*24+M47*24)</f>
        <v>8.5500000000000007</v>
      </c>
      <c r="X47" s="78">
        <f t="shared" ref="X47" si="394">IF(J47=0,24*(H47-G47)-(K47*24+1/6),(24*(J47-G47)-((U47*24)+(L47*24))))</f>
        <v>-7.6333333333333311</v>
      </c>
      <c r="Y47" s="71">
        <f t="shared" ref="Y47" si="395">IF(X47&lt;=-7.63,0,IF(X47&gt;=0,0,IF(X47&lt;0,ABS(X47)/24,"0")))</f>
        <v>0</v>
      </c>
      <c r="Z47" s="71" t="str">
        <f t="shared" ref="Z47" si="396">IF(X47&lt;0,"0",ABS(X47)/24)</f>
        <v>0</v>
      </c>
      <c r="AA47" s="80">
        <f>IF(X47&lt;-7.63,0,SUM($X$7:X48)+$AA$5)</f>
        <v>0</v>
      </c>
      <c r="AB47" s="69" t="str">
        <f t="shared" ref="AB47" si="397">IF(G47=0,"Heure d'arrivée non rentrée",IF((H47=0),"heure de départ en pause repas non rentrée",IF(I47=0,"Heure de fin de repas non rentrée",IF(J47=0,"Heure de sortie non rentrée",IF(AA47&lt;0,ABS(AA47)/24,0)))))</f>
        <v>Heure d'arrivée non rentrée</v>
      </c>
      <c r="AC47" s="71" t="str">
        <f t="shared" ref="AC47" si="398">IF(G47=0,"Heure d'arrivée non rentrée",IF((H47=0),"heure de départ en pause repas non rentrée",IF(I47=0,"Heure de fin de repas non rentrée",IF(J47=0,"Heure de sortie non rentrée",IF(AA47&gt;0,ABS(AA47)/24,0)))))</f>
        <v>Heure d'arrivée non rentrée</v>
      </c>
      <c r="AD47" s="71">
        <f t="shared" ref="AD47" si="399">IF(G47=0,0,IF(H47=0, "Heure de repas non rentrée",IF(I47=0, H47-G47, IF(J47=0,"Heure de sortie non rentrée",IF(Y47=0,(K47+Z47),K47-Y47)))))</f>
        <v>0</v>
      </c>
      <c r="AE47" s="134" t="str">
        <f t="shared" ref="AE47" si="400">IF(G47=0,"",IF(AB45="Heure d'arrivée non rentrée","",IF(AB45="heure de départ en pause repas non rentrée","",IF(AB45="Heure de fin de repas non rentrée","",IF(AB45="Heure de sortie non rentrée","",IF(AC45="Heure d'arrivée non rentrée","",IF(AC45="heure de départ en pause repas non rentrée","",IF(AC45="Heure de fin de repas non rentrée","",IF(AC45="Heure de sortie non rentrée","",IF(AB45&gt;0,AF47+AB45,IF(AC45&gt;0,AF47:AF48-AC45,"")))))))))))</f>
        <v/>
      </c>
      <c r="AF47" s="72">
        <f t="shared" ref="AF47" si="401">IF(W47=8.55,0,W47/24)</f>
        <v>0</v>
      </c>
      <c r="AG47" s="3" t="s">
        <v>3</v>
      </c>
      <c r="AH47" s="1" t="s">
        <v>3</v>
      </c>
      <c r="AI47" s="1" t="s">
        <v>4</v>
      </c>
      <c r="AJ47" s="1" t="s">
        <v>4</v>
      </c>
      <c r="AK47" s="1" t="s">
        <v>5</v>
      </c>
      <c r="AL47" s="9" t="s">
        <v>5</v>
      </c>
      <c r="AM47" s="131">
        <v>30</v>
      </c>
      <c r="AN47" s="142">
        <f>AQ5+4</f>
        <v>26</v>
      </c>
      <c r="AO47" s="39"/>
      <c r="AU47" s="2">
        <v>22</v>
      </c>
    </row>
    <row r="48" spans="3:47" ht="15" thickBot="1" x14ac:dyDescent="0.4">
      <c r="C48" s="147"/>
      <c r="D48" s="128"/>
      <c r="E48" s="90"/>
      <c r="F48" s="92"/>
      <c r="G48" s="94"/>
      <c r="H48" s="96"/>
      <c r="I48" s="98"/>
      <c r="J48" s="100"/>
      <c r="K48" s="102"/>
      <c r="L48" s="87"/>
      <c r="M48" s="87"/>
      <c r="N48" s="77"/>
      <c r="O48" s="77"/>
      <c r="P48" s="83"/>
      <c r="Q48" s="83"/>
      <c r="R48" s="77"/>
      <c r="S48" s="77"/>
      <c r="T48" s="77"/>
      <c r="U48" s="77"/>
      <c r="V48" s="75"/>
      <c r="W48" s="77"/>
      <c r="X48" s="79"/>
      <c r="Y48" s="70"/>
      <c r="Z48" s="70"/>
      <c r="AA48" s="81"/>
      <c r="AB48" s="70"/>
      <c r="AC48" s="70"/>
      <c r="AD48" s="70"/>
      <c r="AE48" s="135"/>
      <c r="AF48" s="73"/>
      <c r="AG48" s="14">
        <f t="shared" ref="AG48" si="402">IF(AF47=0,0,AF47*24 + 0.5)</f>
        <v>0</v>
      </c>
      <c r="AH48" s="11">
        <f t="shared" ref="AH48" si="403">AG48/24</f>
        <v>0</v>
      </c>
      <c r="AI48" s="10">
        <f t="shared" ref="AI48" si="404">IF(AG48=0,0,AG48+0.5)</f>
        <v>0</v>
      </c>
      <c r="AJ48" s="12">
        <f t="shared" ref="AJ48" si="405">IF(AI48=0,0,AI48/24)</f>
        <v>0</v>
      </c>
      <c r="AK48" s="10">
        <f t="shared" ref="AK48" si="406">IF(AG48=0,0,AG48+1.5)</f>
        <v>0</v>
      </c>
      <c r="AL48" s="13">
        <f t="shared" ref="AL48" si="407">AK48/24</f>
        <v>0</v>
      </c>
      <c r="AM48" s="131"/>
      <c r="AN48" s="142">
        <f>AQ5+4</f>
        <v>26</v>
      </c>
      <c r="AO48" s="39"/>
      <c r="AU48" s="2">
        <v>23</v>
      </c>
    </row>
    <row r="49" spans="3:47" ht="43.5" x14ac:dyDescent="0.35">
      <c r="C49" s="145"/>
      <c r="D49" s="144" t="str">
        <f>IF($AU$11=28,"28 jours dans le mois",IF(AU11=30,"30 jours dans le mois","Vendredi"))</f>
        <v>30 jours dans le mois</v>
      </c>
      <c r="E49" s="103" t="str">
        <f>"31 "&amp; $AR$5</f>
        <v>31 Juin</v>
      </c>
      <c r="F49" s="91" t="s">
        <v>20</v>
      </c>
      <c r="G49" s="93"/>
      <c r="H49" s="95"/>
      <c r="I49" s="97"/>
      <c r="J49" s="99"/>
      <c r="K49" s="101">
        <v>0.31111111111111101</v>
      </c>
      <c r="L49" s="86">
        <v>0.32500000000000001</v>
      </c>
      <c r="M49" s="88">
        <v>3.125E-2</v>
      </c>
      <c r="N49" s="76">
        <f t="shared" ref="N49" si="408">M49*24</f>
        <v>0.75</v>
      </c>
      <c r="O49" s="85">
        <f t="shared" ref="O49" si="409">I49-H49</f>
        <v>0</v>
      </c>
      <c r="P49" s="82">
        <f t="shared" ref="P49" si="410">IF(O49&lt;0.75,IF(I49=0,0,I49-H49),M49)</f>
        <v>0</v>
      </c>
      <c r="Q49" s="82">
        <f t="shared" ref="Q49" si="411">IF(R49&lt;0,0,R49/24)</f>
        <v>0</v>
      </c>
      <c r="R49" s="84" t="str">
        <f t="shared" ref="R49" si="412">IF(P49=0,"0",M49*24-P49*24)</f>
        <v>0</v>
      </c>
      <c r="S49" s="76">
        <f t="shared" ref="S49" si="413">P49*24</f>
        <v>0</v>
      </c>
      <c r="T49" s="76">
        <f t="shared" ref="T49" si="414">IF(R49&lt;0,S49,S49+R49)</f>
        <v>0</v>
      </c>
      <c r="U49" s="76">
        <f t="shared" ref="U49" si="415">IF(T49&lt;=0.75,M49,T49/24)</f>
        <v>3.125E-2</v>
      </c>
      <c r="V49" s="74">
        <f t="shared" ref="V49" si="416">G49*24</f>
        <v>0</v>
      </c>
      <c r="W49" s="76">
        <f t="shared" ref="W49" si="417">IF(S49&gt;0.75, V49+L49*24+P49*24,V49+L49*24+M49*24)</f>
        <v>8.5500000000000007</v>
      </c>
      <c r="X49" s="78">
        <f t="shared" ref="X49" si="418">IF(J49=0,24*(H49-G49)-(K49*24+1/6),(24*(J49-G49)-((U49*24)+(L49*24))))</f>
        <v>-7.6333333333333311</v>
      </c>
      <c r="Y49" s="71">
        <f t="shared" ref="Y49" si="419">IF(X49&lt;=-7.63,0,IF(X49&gt;=0,0,IF(X49&lt;0,ABS(X49)/24,"0")))</f>
        <v>0</v>
      </c>
      <c r="Z49" s="71" t="str">
        <f t="shared" ref="Z49" si="420">IF(X49&lt;0,"0",ABS(X49)/24)</f>
        <v>0</v>
      </c>
      <c r="AA49" s="80">
        <f>IF(X49&lt;-7.63,0,SUM($X$7:X50)+$AA$5)</f>
        <v>0</v>
      </c>
      <c r="AB49" s="69" t="str">
        <f t="shared" ref="AB49" si="421">IF(G49=0,"Heure d'arrivée non rentrée",IF((H49=0),"heure de départ en pause repas non rentrée",IF(I49=0,"Heure de fin de repas non rentrée",IF(J49=0,"Heure de sortie non rentrée",IF(AA49&lt;0,ABS(AA49)/24,0)))))</f>
        <v>Heure d'arrivée non rentrée</v>
      </c>
      <c r="AC49" s="71" t="str">
        <f t="shared" ref="AC49" si="422">IF(G49=0,"Heure d'arrivée non rentrée",IF((H49=0),"heure de départ en pause repas non rentrée",IF(I49=0,"Heure de fin de repas non rentrée",IF(J49=0,"Heure de sortie non rentrée",IF(AA49&gt;0,ABS(AA49)/24,0)))))</f>
        <v>Heure d'arrivée non rentrée</v>
      </c>
      <c r="AD49" s="71">
        <f t="shared" ref="AD49" si="423">IF(G49=0,0,IF(H49=0, "Heure de repas non rentrée",IF(I49=0, H49-G49, IF(J49=0,"Heure de sortie non rentrée",IF(Y49=0,(K49+Z49),K49-Y49)))))</f>
        <v>0</v>
      </c>
      <c r="AE49" s="134" t="str">
        <f t="shared" ref="AE49" si="424">IF(G49=0,"",IF(AB47="Heure d'arrivée non rentrée","",IF(AB47="heure de départ en pause repas non rentrée","",IF(AB47="Heure de fin de repas non rentrée","",IF(AB47="Heure de sortie non rentrée","",IF(AC47="Heure d'arrivée non rentrée","",IF(AC47="heure de départ en pause repas non rentrée","",IF(AC47="Heure de fin de repas non rentrée","",IF(AC47="Heure de sortie non rentrée","",IF(AB47&gt;0,AF49+AB47,IF(AC47&gt;0,AF49:AF50-AC47,"")))))))))))</f>
        <v/>
      </c>
      <c r="AF49" s="72">
        <f t="shared" ref="AF49" si="425">IF(W49=8.55,0,W49/24)</f>
        <v>0</v>
      </c>
      <c r="AG49" s="3" t="s">
        <v>3</v>
      </c>
      <c r="AH49" s="1" t="s">
        <v>3</v>
      </c>
      <c r="AI49" s="1" t="s">
        <v>4</v>
      </c>
      <c r="AJ49" s="1" t="s">
        <v>4</v>
      </c>
      <c r="AK49" s="1" t="s">
        <v>5</v>
      </c>
      <c r="AL49" s="9" t="s">
        <v>5</v>
      </c>
      <c r="AM49" s="131">
        <v>31</v>
      </c>
      <c r="AN49" s="142">
        <f>AQ5+4</f>
        <v>26</v>
      </c>
      <c r="AO49" s="39"/>
      <c r="AU49" s="2">
        <v>24</v>
      </c>
    </row>
    <row r="50" spans="3:47" ht="15" thickBot="1" x14ac:dyDescent="0.4">
      <c r="C50" s="147"/>
      <c r="D50" s="128"/>
      <c r="E50" s="90"/>
      <c r="F50" s="92"/>
      <c r="G50" s="94"/>
      <c r="H50" s="96"/>
      <c r="I50" s="98"/>
      <c r="J50" s="100"/>
      <c r="K50" s="102"/>
      <c r="L50" s="87"/>
      <c r="M50" s="87"/>
      <c r="N50" s="77"/>
      <c r="O50" s="77"/>
      <c r="P50" s="83"/>
      <c r="Q50" s="83"/>
      <c r="R50" s="77"/>
      <c r="S50" s="77"/>
      <c r="T50" s="77"/>
      <c r="U50" s="77"/>
      <c r="V50" s="75"/>
      <c r="W50" s="77"/>
      <c r="X50" s="79"/>
      <c r="Y50" s="70"/>
      <c r="Z50" s="70"/>
      <c r="AA50" s="81"/>
      <c r="AB50" s="70"/>
      <c r="AC50" s="70"/>
      <c r="AD50" s="70"/>
      <c r="AE50" s="135"/>
      <c r="AF50" s="73"/>
      <c r="AG50" s="14">
        <f t="shared" ref="AG50" si="426">IF(AF49=0,0,AF49*24 + 0.5)</f>
        <v>0</v>
      </c>
      <c r="AH50" s="11">
        <f t="shared" ref="AH50" si="427">AG50/24</f>
        <v>0</v>
      </c>
      <c r="AI50" s="10">
        <f t="shared" ref="AI50" si="428">IF(AG50=0,0,AG50+0.5)</f>
        <v>0</v>
      </c>
      <c r="AJ50" s="12">
        <f t="shared" ref="AJ50" si="429">IF(AI50=0,0,AI50/24)</f>
        <v>0</v>
      </c>
      <c r="AK50" s="10">
        <f t="shared" ref="AK50" si="430">IF(AG50=0,0,AG50+1.5)</f>
        <v>0</v>
      </c>
      <c r="AL50" s="13">
        <f t="shared" ref="AL50" si="431">AK50/24</f>
        <v>0</v>
      </c>
      <c r="AM50" s="130"/>
      <c r="AN50" s="143">
        <f>AQ5+4</f>
        <v>26</v>
      </c>
      <c r="AO50" s="39"/>
      <c r="AU50" s="2">
        <v>25</v>
      </c>
    </row>
    <row r="51" spans="3:47" x14ac:dyDescent="0.35">
      <c r="C51" s="145"/>
      <c r="E51" s="45"/>
      <c r="AU51" s="2">
        <v>26</v>
      </c>
    </row>
    <row r="52" spans="3:47" ht="15" thickBot="1" x14ac:dyDescent="0.4">
      <c r="C52" s="147"/>
      <c r="AU52" s="2">
        <v>27</v>
      </c>
    </row>
    <row r="53" spans="3:47" x14ac:dyDescent="0.35">
      <c r="C53" s="145" t="s">
        <v>72</v>
      </c>
      <c r="AU53" s="2">
        <v>28</v>
      </c>
    </row>
    <row r="54" spans="3:47" x14ac:dyDescent="0.35">
      <c r="C54" s="146"/>
      <c r="AU54" s="2">
        <v>29</v>
      </c>
    </row>
    <row r="55" spans="3:47" x14ac:dyDescent="0.35">
      <c r="C55" s="146"/>
      <c r="AU55" s="2">
        <v>30</v>
      </c>
    </row>
    <row r="56" spans="3:47" ht="15" thickBot="1" x14ac:dyDescent="0.4">
      <c r="C56" s="147"/>
      <c r="AU56" s="2">
        <v>31</v>
      </c>
    </row>
    <row r="57" spans="3:47" x14ac:dyDescent="0.35">
      <c r="C57" s="146"/>
      <c r="AU57" s="2">
        <v>32</v>
      </c>
    </row>
    <row r="58" spans="3:47" ht="15" thickBot="1" x14ac:dyDescent="0.4">
      <c r="C58" s="147"/>
      <c r="AU58" s="2">
        <v>33</v>
      </c>
    </row>
    <row r="59" spans="3:47" x14ac:dyDescent="0.35">
      <c r="C59" s="146"/>
      <c r="AU59" s="2">
        <v>34</v>
      </c>
    </row>
    <row r="60" spans="3:47" ht="15" thickBot="1" x14ac:dyDescent="0.4">
      <c r="C60" s="147"/>
      <c r="AU60" s="2">
        <v>35</v>
      </c>
    </row>
    <row r="61" spans="3:47" x14ac:dyDescent="0.35">
      <c r="C61" s="146"/>
      <c r="AU61" s="2">
        <v>36</v>
      </c>
    </row>
    <row r="62" spans="3:47" ht="15" thickBot="1" x14ac:dyDescent="0.4">
      <c r="C62" s="147"/>
      <c r="AU62" s="2">
        <v>37</v>
      </c>
    </row>
    <row r="63" spans="3:47" x14ac:dyDescent="0.35">
      <c r="C63" s="60"/>
      <c r="AU63" s="2">
        <v>38</v>
      </c>
    </row>
    <row r="64" spans="3:47" ht="15" thickBot="1" x14ac:dyDescent="0.4">
      <c r="C64" s="59"/>
      <c r="AU64" s="2">
        <v>39</v>
      </c>
    </row>
    <row r="65" spans="47:47" x14ac:dyDescent="0.35">
      <c r="AU65" s="2">
        <v>40</v>
      </c>
    </row>
    <row r="66" spans="47:47" x14ac:dyDescent="0.35">
      <c r="AU66" s="2">
        <v>41</v>
      </c>
    </row>
    <row r="67" spans="47:47" x14ac:dyDescent="0.35">
      <c r="AU67" s="2">
        <v>42</v>
      </c>
    </row>
    <row r="68" spans="47:47" x14ac:dyDescent="0.35">
      <c r="AU68" s="2">
        <v>43</v>
      </c>
    </row>
    <row r="69" spans="47:47" x14ac:dyDescent="0.35">
      <c r="AU69" s="2">
        <v>44</v>
      </c>
    </row>
    <row r="70" spans="47:47" x14ac:dyDescent="0.35">
      <c r="AU70" s="2">
        <v>45</v>
      </c>
    </row>
    <row r="71" spans="47:47" x14ac:dyDescent="0.35">
      <c r="AU71" s="2">
        <v>46</v>
      </c>
    </row>
    <row r="72" spans="47:47" x14ac:dyDescent="0.35">
      <c r="AU72" s="2">
        <v>47</v>
      </c>
    </row>
    <row r="73" spans="47:47" x14ac:dyDescent="0.35">
      <c r="AU73" s="2">
        <v>48</v>
      </c>
    </row>
    <row r="74" spans="47:47" x14ac:dyDescent="0.35">
      <c r="AU74" s="2">
        <v>49</v>
      </c>
    </row>
    <row r="75" spans="47:47" x14ac:dyDescent="0.35">
      <c r="AU75" s="2">
        <v>50</v>
      </c>
    </row>
    <row r="76" spans="47:47" x14ac:dyDescent="0.35">
      <c r="AU76" s="2">
        <v>51</v>
      </c>
    </row>
    <row r="77" spans="47:47" x14ac:dyDescent="0.35">
      <c r="AU77" s="2">
        <v>52</v>
      </c>
    </row>
    <row r="78" spans="47:47" x14ac:dyDescent="0.35">
      <c r="AU78" s="2">
        <v>53</v>
      </c>
    </row>
  </sheetData>
  <mergeCells count="706">
    <mergeCell ref="C53:C62"/>
    <mergeCell ref="C43:C52"/>
    <mergeCell ref="C23:C32"/>
    <mergeCell ref="C33:C42"/>
    <mergeCell ref="C5:C12"/>
    <mergeCell ref="C13:C22"/>
    <mergeCell ref="AC49:AC50"/>
    <mergeCell ref="AD49:AD50"/>
    <mergeCell ref="AE49:AE50"/>
    <mergeCell ref="K49:K50"/>
    <mergeCell ref="L49:L50"/>
    <mergeCell ref="M49:M50"/>
    <mergeCell ref="N49:N50"/>
    <mergeCell ref="O49:O50"/>
    <mergeCell ref="P49:P50"/>
    <mergeCell ref="AE47:AE48"/>
    <mergeCell ref="P47:P48"/>
    <mergeCell ref="Q47:Q48"/>
    <mergeCell ref="R47:R48"/>
    <mergeCell ref="Q45:Q46"/>
    <mergeCell ref="R45:R46"/>
    <mergeCell ref="S45:S46"/>
    <mergeCell ref="T45:T46"/>
    <mergeCell ref="I45:I46"/>
    <mergeCell ref="AF49:AF50"/>
    <mergeCell ref="AM49:AM50"/>
    <mergeCell ref="W49:W50"/>
    <mergeCell ref="X49:X50"/>
    <mergeCell ref="Y49:Y50"/>
    <mergeCell ref="Z49:Z50"/>
    <mergeCell ref="AA49:AA50"/>
    <mergeCell ref="AB49:AB50"/>
    <mergeCell ref="Q49:Q50"/>
    <mergeCell ref="R49:R50"/>
    <mergeCell ref="S49:S50"/>
    <mergeCell ref="T49:T50"/>
    <mergeCell ref="U49:U50"/>
    <mergeCell ref="V49:V50"/>
    <mergeCell ref="AF47:AF48"/>
    <mergeCell ref="AM47:AM48"/>
    <mergeCell ref="D49:D50"/>
    <mergeCell ref="E49:E50"/>
    <mergeCell ref="F49:F50"/>
    <mergeCell ref="G49:G50"/>
    <mergeCell ref="H49:H50"/>
    <mergeCell ref="I49:I50"/>
    <mergeCell ref="J49:J50"/>
    <mergeCell ref="Y47:Y48"/>
    <mergeCell ref="Z47:Z48"/>
    <mergeCell ref="AA47:AA48"/>
    <mergeCell ref="AB47:AB48"/>
    <mergeCell ref="AC47:AC48"/>
    <mergeCell ref="AD47:AD48"/>
    <mergeCell ref="S47:S48"/>
    <mergeCell ref="T47:T48"/>
    <mergeCell ref="U47:U48"/>
    <mergeCell ref="V47:V48"/>
    <mergeCell ref="W47:W48"/>
    <mergeCell ref="X47:X48"/>
    <mergeCell ref="M47:M48"/>
    <mergeCell ref="N47:N48"/>
    <mergeCell ref="O47:O48"/>
    <mergeCell ref="AM45:AM46"/>
    <mergeCell ref="D47:D48"/>
    <mergeCell ref="E47:E48"/>
    <mergeCell ref="F47:F48"/>
    <mergeCell ref="G47:G48"/>
    <mergeCell ref="H47:H48"/>
    <mergeCell ref="I47:I48"/>
    <mergeCell ref="J47:J48"/>
    <mergeCell ref="K47:K48"/>
    <mergeCell ref="L47:L48"/>
    <mergeCell ref="AA45:AA46"/>
    <mergeCell ref="AB45:AB46"/>
    <mergeCell ref="AC45:AC46"/>
    <mergeCell ref="AD45:AD46"/>
    <mergeCell ref="AE45:AE46"/>
    <mergeCell ref="AF45:AF46"/>
    <mergeCell ref="U45:U46"/>
    <mergeCell ref="V45:V46"/>
    <mergeCell ref="W45:W46"/>
    <mergeCell ref="X45:X46"/>
    <mergeCell ref="Y45:Y46"/>
    <mergeCell ref="Z45:Z46"/>
    <mergeCell ref="O45:O46"/>
    <mergeCell ref="P45:P46"/>
    <mergeCell ref="J45:J46"/>
    <mergeCell ref="K45:K46"/>
    <mergeCell ref="L45:L46"/>
    <mergeCell ref="M45:M46"/>
    <mergeCell ref="N45:N46"/>
    <mergeCell ref="AC43:AC44"/>
    <mergeCell ref="AD43:AD44"/>
    <mergeCell ref="AE43:AE44"/>
    <mergeCell ref="AF43:AF44"/>
    <mergeCell ref="AM43:AM44"/>
    <mergeCell ref="D45:D46"/>
    <mergeCell ref="E45:E46"/>
    <mergeCell ref="F45:F46"/>
    <mergeCell ref="G45:G46"/>
    <mergeCell ref="H45:H46"/>
    <mergeCell ref="W43:W44"/>
    <mergeCell ref="X43:X44"/>
    <mergeCell ref="Y43:Y44"/>
    <mergeCell ref="Z43:Z44"/>
    <mergeCell ref="AA43:AA44"/>
    <mergeCell ref="AB43:AB44"/>
    <mergeCell ref="Q43:Q44"/>
    <mergeCell ref="R43:R44"/>
    <mergeCell ref="S43:S44"/>
    <mergeCell ref="T43:T44"/>
    <mergeCell ref="U43:U44"/>
    <mergeCell ref="V43:V44"/>
    <mergeCell ref="K43:K44"/>
    <mergeCell ref="L43:L44"/>
    <mergeCell ref="M43:M44"/>
    <mergeCell ref="N43:N44"/>
    <mergeCell ref="O43:O44"/>
    <mergeCell ref="P43:P44"/>
    <mergeCell ref="AF41:AF42"/>
    <mergeCell ref="AM41:AM42"/>
    <mergeCell ref="AN41:AN50"/>
    <mergeCell ref="D43:D44"/>
    <mergeCell ref="E43:E44"/>
    <mergeCell ref="F43:F44"/>
    <mergeCell ref="G43:G44"/>
    <mergeCell ref="H43:H44"/>
    <mergeCell ref="I43:I44"/>
    <mergeCell ref="J43:J44"/>
    <mergeCell ref="Z41:Z42"/>
    <mergeCell ref="AA41:AA42"/>
    <mergeCell ref="AB41:AB42"/>
    <mergeCell ref="AC41:AC42"/>
    <mergeCell ref="AD41:AD42"/>
    <mergeCell ref="AE41:AE42"/>
    <mergeCell ref="T41:T42"/>
    <mergeCell ref="U41:U42"/>
    <mergeCell ref="V41:V42"/>
    <mergeCell ref="W41:W42"/>
    <mergeCell ref="X41:X42"/>
    <mergeCell ref="Y41:Y42"/>
    <mergeCell ref="N41:N42"/>
    <mergeCell ref="O41:O42"/>
    <mergeCell ref="P41:P42"/>
    <mergeCell ref="Q41:Q42"/>
    <mergeCell ref="R41:R42"/>
    <mergeCell ref="S41:S42"/>
    <mergeCell ref="H41:H42"/>
    <mergeCell ref="I41:I42"/>
    <mergeCell ref="J41:J42"/>
    <mergeCell ref="K41:K42"/>
    <mergeCell ref="L41:L42"/>
    <mergeCell ref="M41:M42"/>
    <mergeCell ref="AC39:AC40"/>
    <mergeCell ref="AD39:AD40"/>
    <mergeCell ref="AE39:AE40"/>
    <mergeCell ref="AF39:AF40"/>
    <mergeCell ref="AM39:AM40"/>
    <mergeCell ref="D41:D42"/>
    <mergeCell ref="E41:E42"/>
    <mergeCell ref="F41:F42"/>
    <mergeCell ref="G41:G42"/>
    <mergeCell ref="W39:W40"/>
    <mergeCell ref="X39:X40"/>
    <mergeCell ref="Y39:Y40"/>
    <mergeCell ref="Z39:Z40"/>
    <mergeCell ref="AA39:AA40"/>
    <mergeCell ref="AB39:AB40"/>
    <mergeCell ref="Q39:Q40"/>
    <mergeCell ref="R39:R40"/>
    <mergeCell ref="S39:S40"/>
    <mergeCell ref="T39:T40"/>
    <mergeCell ref="U39:U40"/>
    <mergeCell ref="V39:V40"/>
    <mergeCell ref="K39:K40"/>
    <mergeCell ref="L39:L40"/>
    <mergeCell ref="M39:M40"/>
    <mergeCell ref="N39:N40"/>
    <mergeCell ref="O39:O40"/>
    <mergeCell ref="P39:P40"/>
    <mergeCell ref="AE37:AE38"/>
    <mergeCell ref="AF37:AF38"/>
    <mergeCell ref="AM37:AM38"/>
    <mergeCell ref="D39:D40"/>
    <mergeCell ref="E39:E40"/>
    <mergeCell ref="F39:F40"/>
    <mergeCell ref="G39:G40"/>
    <mergeCell ref="H39:H40"/>
    <mergeCell ref="I39:I40"/>
    <mergeCell ref="J39:J40"/>
    <mergeCell ref="Y37:Y38"/>
    <mergeCell ref="Z37:Z38"/>
    <mergeCell ref="AA37:AA38"/>
    <mergeCell ref="AB37:AB38"/>
    <mergeCell ref="AC37:AC38"/>
    <mergeCell ref="AD37:AD38"/>
    <mergeCell ref="S37:S38"/>
    <mergeCell ref="T37:T38"/>
    <mergeCell ref="U37:U38"/>
    <mergeCell ref="V37:V38"/>
    <mergeCell ref="W37:W38"/>
    <mergeCell ref="X37:X38"/>
    <mergeCell ref="M37:M38"/>
    <mergeCell ref="N37:N38"/>
    <mergeCell ref="O37:O38"/>
    <mergeCell ref="P37:P38"/>
    <mergeCell ref="Q37:Q38"/>
    <mergeCell ref="R37:R38"/>
    <mergeCell ref="AM35:AM36"/>
    <mergeCell ref="D37:D38"/>
    <mergeCell ref="E37:E38"/>
    <mergeCell ref="F37:F38"/>
    <mergeCell ref="G37:G38"/>
    <mergeCell ref="H37:H38"/>
    <mergeCell ref="I37:I38"/>
    <mergeCell ref="J37:J38"/>
    <mergeCell ref="K37:K38"/>
    <mergeCell ref="L37:L38"/>
    <mergeCell ref="AA35:AA36"/>
    <mergeCell ref="AB35:AB36"/>
    <mergeCell ref="AC35:AC36"/>
    <mergeCell ref="AD35:AD36"/>
    <mergeCell ref="AE35:AE36"/>
    <mergeCell ref="AF35:AF36"/>
    <mergeCell ref="U35:U36"/>
    <mergeCell ref="I35:I36"/>
    <mergeCell ref="J35:J36"/>
    <mergeCell ref="K35:K36"/>
    <mergeCell ref="L35:L36"/>
    <mergeCell ref="M35:M36"/>
    <mergeCell ref="N35:N36"/>
    <mergeCell ref="AC33:AC34"/>
    <mergeCell ref="AD33:AD34"/>
    <mergeCell ref="AE33:AE34"/>
    <mergeCell ref="P33:P34"/>
    <mergeCell ref="V35:V36"/>
    <mergeCell ref="W35:W36"/>
    <mergeCell ref="X35:X36"/>
    <mergeCell ref="Y35:Y36"/>
    <mergeCell ref="Z35:Z36"/>
    <mergeCell ref="O35:O36"/>
    <mergeCell ref="P35:P36"/>
    <mergeCell ref="Q35:Q36"/>
    <mergeCell ref="R35:R36"/>
    <mergeCell ref="S35:S36"/>
    <mergeCell ref="T35:T36"/>
    <mergeCell ref="AF33:AF34"/>
    <mergeCell ref="AM33:AM34"/>
    <mergeCell ref="D35:D36"/>
    <mergeCell ref="E35:E36"/>
    <mergeCell ref="F35:F36"/>
    <mergeCell ref="G35:G36"/>
    <mergeCell ref="H35:H36"/>
    <mergeCell ref="W33:W34"/>
    <mergeCell ref="X33:X34"/>
    <mergeCell ref="Y33:Y34"/>
    <mergeCell ref="Z33:Z34"/>
    <mergeCell ref="AA33:AA34"/>
    <mergeCell ref="AB33:AB34"/>
    <mergeCell ref="Q33:Q34"/>
    <mergeCell ref="R33:R34"/>
    <mergeCell ref="S33:S34"/>
    <mergeCell ref="T33:T34"/>
    <mergeCell ref="U33:U34"/>
    <mergeCell ref="V33:V34"/>
    <mergeCell ref="K33:K34"/>
    <mergeCell ref="L33:L34"/>
    <mergeCell ref="M33:M34"/>
    <mergeCell ref="N33:N34"/>
    <mergeCell ref="O33:O34"/>
    <mergeCell ref="AF31:AF32"/>
    <mergeCell ref="AM31:AM32"/>
    <mergeCell ref="AN31:AN40"/>
    <mergeCell ref="D33:D34"/>
    <mergeCell ref="E33:E34"/>
    <mergeCell ref="F33:F34"/>
    <mergeCell ref="G33:G34"/>
    <mergeCell ref="H33:H34"/>
    <mergeCell ref="I33:I34"/>
    <mergeCell ref="J33:J34"/>
    <mergeCell ref="Z31:Z32"/>
    <mergeCell ref="AA31:AA32"/>
    <mergeCell ref="AB31:AB32"/>
    <mergeCell ref="AC31:AC32"/>
    <mergeCell ref="AD31:AD32"/>
    <mergeCell ref="AE31:AE32"/>
    <mergeCell ref="T31:T32"/>
    <mergeCell ref="U31:U32"/>
    <mergeCell ref="V31:V32"/>
    <mergeCell ref="W31:W32"/>
    <mergeCell ref="X31:X32"/>
    <mergeCell ref="Y31:Y32"/>
    <mergeCell ref="N31:N32"/>
    <mergeCell ref="O31:O32"/>
    <mergeCell ref="P31:P32"/>
    <mergeCell ref="Q31:Q32"/>
    <mergeCell ref="R31:R32"/>
    <mergeCell ref="S31:S32"/>
    <mergeCell ref="H31:H32"/>
    <mergeCell ref="I31:I32"/>
    <mergeCell ref="J31:J32"/>
    <mergeCell ref="K31:K32"/>
    <mergeCell ref="L31:L32"/>
    <mergeCell ref="M31:M32"/>
    <mergeCell ref="AC29:AC30"/>
    <mergeCell ref="AD29:AD30"/>
    <mergeCell ref="AE29:AE30"/>
    <mergeCell ref="AF29:AF30"/>
    <mergeCell ref="AM29:AM30"/>
    <mergeCell ref="D31:D32"/>
    <mergeCell ref="E31:E32"/>
    <mergeCell ref="F31:F32"/>
    <mergeCell ref="G31:G32"/>
    <mergeCell ref="W29:W30"/>
    <mergeCell ref="X29:X30"/>
    <mergeCell ref="Y29:Y30"/>
    <mergeCell ref="Z29:Z30"/>
    <mergeCell ref="AA29:AA30"/>
    <mergeCell ref="AB29:AB30"/>
    <mergeCell ref="Q29:Q30"/>
    <mergeCell ref="R29:R30"/>
    <mergeCell ref="S29:S30"/>
    <mergeCell ref="T29:T30"/>
    <mergeCell ref="U29:U30"/>
    <mergeCell ref="V29:V30"/>
    <mergeCell ref="K29:K30"/>
    <mergeCell ref="L29:L30"/>
    <mergeCell ref="M29:M30"/>
    <mergeCell ref="N29:N30"/>
    <mergeCell ref="O29:O30"/>
    <mergeCell ref="P29:P30"/>
    <mergeCell ref="AE27:AE28"/>
    <mergeCell ref="AF27:AF28"/>
    <mergeCell ref="AM27:AM28"/>
    <mergeCell ref="D29:D30"/>
    <mergeCell ref="E29:E30"/>
    <mergeCell ref="F29:F30"/>
    <mergeCell ref="G29:G30"/>
    <mergeCell ref="H29:H30"/>
    <mergeCell ref="I29:I30"/>
    <mergeCell ref="J29:J30"/>
    <mergeCell ref="Y27:Y28"/>
    <mergeCell ref="Z27:Z28"/>
    <mergeCell ref="AA27:AA28"/>
    <mergeCell ref="AB27:AB28"/>
    <mergeCell ref="AC27:AC28"/>
    <mergeCell ref="AD27:AD28"/>
    <mergeCell ref="S27:S28"/>
    <mergeCell ref="T27:T28"/>
    <mergeCell ref="U27:U28"/>
    <mergeCell ref="V27:V28"/>
    <mergeCell ref="W27:W28"/>
    <mergeCell ref="X27:X28"/>
    <mergeCell ref="M27:M28"/>
    <mergeCell ref="N27:N28"/>
    <mergeCell ref="O27:O28"/>
    <mergeCell ref="P27:P28"/>
    <mergeCell ref="Q27:Q28"/>
    <mergeCell ref="R27:R28"/>
    <mergeCell ref="AM25:AM26"/>
    <mergeCell ref="D27:D28"/>
    <mergeCell ref="E27:E28"/>
    <mergeCell ref="F27:F28"/>
    <mergeCell ref="G27:G28"/>
    <mergeCell ref="H27:H28"/>
    <mergeCell ref="I27:I28"/>
    <mergeCell ref="J27:J28"/>
    <mergeCell ref="K27:K28"/>
    <mergeCell ref="L27:L28"/>
    <mergeCell ref="AA25:AA26"/>
    <mergeCell ref="AB25:AB26"/>
    <mergeCell ref="AC25:AC26"/>
    <mergeCell ref="AD25:AD26"/>
    <mergeCell ref="AE25:AE26"/>
    <mergeCell ref="AF25:AF26"/>
    <mergeCell ref="U25:U26"/>
    <mergeCell ref="I25:I26"/>
    <mergeCell ref="J25:J26"/>
    <mergeCell ref="K25:K26"/>
    <mergeCell ref="L25:L26"/>
    <mergeCell ref="M25:M26"/>
    <mergeCell ref="N25:N26"/>
    <mergeCell ref="AC23:AC24"/>
    <mergeCell ref="AD23:AD24"/>
    <mergeCell ref="AE23:AE24"/>
    <mergeCell ref="P23:P24"/>
    <mergeCell ref="V25:V26"/>
    <mergeCell ref="W25:W26"/>
    <mergeCell ref="X25:X26"/>
    <mergeCell ref="Y25:Y26"/>
    <mergeCell ref="Z25:Z26"/>
    <mergeCell ref="O25:O26"/>
    <mergeCell ref="P25:P26"/>
    <mergeCell ref="Q25:Q26"/>
    <mergeCell ref="R25:R26"/>
    <mergeCell ref="S25:S26"/>
    <mergeCell ref="T25:T26"/>
    <mergeCell ref="AF23:AF24"/>
    <mergeCell ref="AM23:AM24"/>
    <mergeCell ref="D25:D26"/>
    <mergeCell ref="E25:E26"/>
    <mergeCell ref="F25:F26"/>
    <mergeCell ref="G25:G26"/>
    <mergeCell ref="H25:H26"/>
    <mergeCell ref="W23:W24"/>
    <mergeCell ref="X23:X24"/>
    <mergeCell ref="Y23:Y24"/>
    <mergeCell ref="Z23:Z24"/>
    <mergeCell ref="AA23:AA24"/>
    <mergeCell ref="AB23:AB24"/>
    <mergeCell ref="Q23:Q24"/>
    <mergeCell ref="R23:R24"/>
    <mergeCell ref="S23:S24"/>
    <mergeCell ref="T23:T24"/>
    <mergeCell ref="U23:U24"/>
    <mergeCell ref="V23:V24"/>
    <mergeCell ref="K23:K24"/>
    <mergeCell ref="L23:L24"/>
    <mergeCell ref="M23:M24"/>
    <mergeCell ref="N23:N24"/>
    <mergeCell ref="O23:O24"/>
    <mergeCell ref="AF21:AF22"/>
    <mergeCell ref="AM21:AM22"/>
    <mergeCell ref="AN21:AN30"/>
    <mergeCell ref="D23:D24"/>
    <mergeCell ref="E23:E24"/>
    <mergeCell ref="F23:F24"/>
    <mergeCell ref="G23:G24"/>
    <mergeCell ref="H23:H24"/>
    <mergeCell ref="I23:I24"/>
    <mergeCell ref="J23:J24"/>
    <mergeCell ref="Z21:Z22"/>
    <mergeCell ref="AA21:AA22"/>
    <mergeCell ref="AB21:AB22"/>
    <mergeCell ref="AC21:AC22"/>
    <mergeCell ref="AD21:AD22"/>
    <mergeCell ref="AE21:AE22"/>
    <mergeCell ref="T21:T22"/>
    <mergeCell ref="U21:U22"/>
    <mergeCell ref="V21:V22"/>
    <mergeCell ref="W21:W22"/>
    <mergeCell ref="X21:X22"/>
    <mergeCell ref="Y21:Y22"/>
    <mergeCell ref="N21:N22"/>
    <mergeCell ref="O21:O22"/>
    <mergeCell ref="P21:P22"/>
    <mergeCell ref="Q21:Q22"/>
    <mergeCell ref="R21:R22"/>
    <mergeCell ref="S21:S22"/>
    <mergeCell ref="H21:H22"/>
    <mergeCell ref="I21:I22"/>
    <mergeCell ref="J21:J22"/>
    <mergeCell ref="K21:K22"/>
    <mergeCell ref="L21:L22"/>
    <mergeCell ref="M21:M22"/>
    <mergeCell ref="AC19:AC20"/>
    <mergeCell ref="AD19:AD20"/>
    <mergeCell ref="AE19:AE20"/>
    <mergeCell ref="AF19:AF20"/>
    <mergeCell ref="AM19:AM20"/>
    <mergeCell ref="D21:D22"/>
    <mergeCell ref="E21:E22"/>
    <mergeCell ref="F21:F22"/>
    <mergeCell ref="G21:G22"/>
    <mergeCell ref="W19:W20"/>
    <mergeCell ref="X19:X20"/>
    <mergeCell ref="Y19:Y20"/>
    <mergeCell ref="Z19:Z20"/>
    <mergeCell ref="AA19:AA20"/>
    <mergeCell ref="AB19:AB20"/>
    <mergeCell ref="Q19:Q20"/>
    <mergeCell ref="R19:R20"/>
    <mergeCell ref="S19:S20"/>
    <mergeCell ref="T19:T20"/>
    <mergeCell ref="U19:U20"/>
    <mergeCell ref="V19:V20"/>
    <mergeCell ref="K19:K20"/>
    <mergeCell ref="L19:L20"/>
    <mergeCell ref="M19:M20"/>
    <mergeCell ref="N19:N20"/>
    <mergeCell ref="O19:O20"/>
    <mergeCell ref="P19:P20"/>
    <mergeCell ref="AE17:AE18"/>
    <mergeCell ref="AF17:AF18"/>
    <mergeCell ref="AM17:AM18"/>
    <mergeCell ref="D19:D20"/>
    <mergeCell ref="E19:E20"/>
    <mergeCell ref="F19:F20"/>
    <mergeCell ref="G19:G20"/>
    <mergeCell ref="H19:H20"/>
    <mergeCell ref="I19:I20"/>
    <mergeCell ref="J19:J20"/>
    <mergeCell ref="Y17:Y18"/>
    <mergeCell ref="Z17:Z18"/>
    <mergeCell ref="AA17:AA18"/>
    <mergeCell ref="AB17:AB18"/>
    <mergeCell ref="AC17:AC18"/>
    <mergeCell ref="AD17:AD18"/>
    <mergeCell ref="S17:S18"/>
    <mergeCell ref="T17:T18"/>
    <mergeCell ref="U17:U18"/>
    <mergeCell ref="V17:V18"/>
    <mergeCell ref="W17:W18"/>
    <mergeCell ref="X17:X18"/>
    <mergeCell ref="M17:M18"/>
    <mergeCell ref="N17:N18"/>
    <mergeCell ref="O17:O18"/>
    <mergeCell ref="P17:P18"/>
    <mergeCell ref="Q17:Q18"/>
    <mergeCell ref="R17:R18"/>
    <mergeCell ref="AM15:AM16"/>
    <mergeCell ref="D17:D18"/>
    <mergeCell ref="E17:E18"/>
    <mergeCell ref="F17:F18"/>
    <mergeCell ref="G17:G18"/>
    <mergeCell ref="H17:H18"/>
    <mergeCell ref="I17:I18"/>
    <mergeCell ref="J17:J18"/>
    <mergeCell ref="K17:K18"/>
    <mergeCell ref="L17:L18"/>
    <mergeCell ref="AA15:AA16"/>
    <mergeCell ref="AB15:AB16"/>
    <mergeCell ref="AC15:AC16"/>
    <mergeCell ref="AD15:AD16"/>
    <mergeCell ref="AE15:AE16"/>
    <mergeCell ref="AF15:AF16"/>
    <mergeCell ref="U15:U16"/>
    <mergeCell ref="I15:I16"/>
    <mergeCell ref="J15:J16"/>
    <mergeCell ref="K15:K16"/>
    <mergeCell ref="L15:L16"/>
    <mergeCell ref="M15:M16"/>
    <mergeCell ref="N15:N16"/>
    <mergeCell ref="AC13:AC14"/>
    <mergeCell ref="AD13:AD14"/>
    <mergeCell ref="AE13:AE14"/>
    <mergeCell ref="P13:P14"/>
    <mergeCell ref="V15:V16"/>
    <mergeCell ref="W15:W16"/>
    <mergeCell ref="X15:X16"/>
    <mergeCell ref="Y15:Y16"/>
    <mergeCell ref="Z15:Z16"/>
    <mergeCell ref="O15:O16"/>
    <mergeCell ref="P15:P16"/>
    <mergeCell ref="Q15:Q16"/>
    <mergeCell ref="R15:R16"/>
    <mergeCell ref="S15:S16"/>
    <mergeCell ref="T15:T16"/>
    <mergeCell ref="AF13:AF14"/>
    <mergeCell ref="AM13:AM14"/>
    <mergeCell ref="D15:D16"/>
    <mergeCell ref="E15:E16"/>
    <mergeCell ref="F15:F16"/>
    <mergeCell ref="G15:G16"/>
    <mergeCell ref="H15:H16"/>
    <mergeCell ref="W13:W14"/>
    <mergeCell ref="X13:X14"/>
    <mergeCell ref="Y13:Y14"/>
    <mergeCell ref="Z13:Z14"/>
    <mergeCell ref="AA13:AA14"/>
    <mergeCell ref="AB13:AB14"/>
    <mergeCell ref="Q13:Q14"/>
    <mergeCell ref="R13:R14"/>
    <mergeCell ref="S13:S14"/>
    <mergeCell ref="T13:T14"/>
    <mergeCell ref="U13:U14"/>
    <mergeCell ref="V13:V14"/>
    <mergeCell ref="K13:K14"/>
    <mergeCell ref="L13:L14"/>
    <mergeCell ref="M13:M14"/>
    <mergeCell ref="N13:N14"/>
    <mergeCell ref="O13:O14"/>
    <mergeCell ref="AM11:AM12"/>
    <mergeCell ref="AN11:AN20"/>
    <mergeCell ref="AQ11:AQ20"/>
    <mergeCell ref="D13:D14"/>
    <mergeCell ref="E13:E14"/>
    <mergeCell ref="F13:F14"/>
    <mergeCell ref="G13:G14"/>
    <mergeCell ref="H13:H14"/>
    <mergeCell ref="I13:I14"/>
    <mergeCell ref="J13:J14"/>
    <mergeCell ref="AA11:AA12"/>
    <mergeCell ref="AB11:AB12"/>
    <mergeCell ref="AC11:AC12"/>
    <mergeCell ref="AD11:AD12"/>
    <mergeCell ref="AE11:AE12"/>
    <mergeCell ref="AF11:AF12"/>
    <mergeCell ref="U11:U12"/>
    <mergeCell ref="V11:V12"/>
    <mergeCell ref="W11:W12"/>
    <mergeCell ref="X11:X12"/>
    <mergeCell ref="Y11:Y12"/>
    <mergeCell ref="Z11:Z12"/>
    <mergeCell ref="O11:O12"/>
    <mergeCell ref="P11:P12"/>
    <mergeCell ref="Q11:Q12"/>
    <mergeCell ref="R11:R12"/>
    <mergeCell ref="S11:S12"/>
    <mergeCell ref="T11:T12"/>
    <mergeCell ref="I11:I12"/>
    <mergeCell ref="J11:J12"/>
    <mergeCell ref="K11:K12"/>
    <mergeCell ref="L11:L12"/>
    <mergeCell ref="M11:M12"/>
    <mergeCell ref="N11:N12"/>
    <mergeCell ref="AE9:AE10"/>
    <mergeCell ref="AF9:AF10"/>
    <mergeCell ref="AM9:AM10"/>
    <mergeCell ref="AN9:AN10"/>
    <mergeCell ref="D11:D12"/>
    <mergeCell ref="E11:E12"/>
    <mergeCell ref="F11:F12"/>
    <mergeCell ref="G11:G12"/>
    <mergeCell ref="H11:H12"/>
    <mergeCell ref="Y9:Y10"/>
    <mergeCell ref="Z9:Z10"/>
    <mergeCell ref="AA9:AA10"/>
    <mergeCell ref="AB9:AB10"/>
    <mergeCell ref="AC9:AC10"/>
    <mergeCell ref="AD9:AD10"/>
    <mergeCell ref="S9:S10"/>
    <mergeCell ref="T9:T10"/>
    <mergeCell ref="U9:U10"/>
    <mergeCell ref="V9:V10"/>
    <mergeCell ref="W9:W10"/>
    <mergeCell ref="X9:X10"/>
    <mergeCell ref="M9:M10"/>
    <mergeCell ref="N9:N10"/>
    <mergeCell ref="O9:O10"/>
    <mergeCell ref="P9:P10"/>
    <mergeCell ref="Q9:Q10"/>
    <mergeCell ref="R9:R10"/>
    <mergeCell ref="AN7:AN8"/>
    <mergeCell ref="D9:D10"/>
    <mergeCell ref="E9:E10"/>
    <mergeCell ref="F9:F10"/>
    <mergeCell ref="G9:G10"/>
    <mergeCell ref="H9:H10"/>
    <mergeCell ref="I9:I10"/>
    <mergeCell ref="J9:J10"/>
    <mergeCell ref="K9:K10"/>
    <mergeCell ref="L9:L10"/>
    <mergeCell ref="AB7:AB8"/>
    <mergeCell ref="AC7:AC8"/>
    <mergeCell ref="AD7:AD8"/>
    <mergeCell ref="AE7:AE8"/>
    <mergeCell ref="AF7:AF8"/>
    <mergeCell ref="AM7:AM8"/>
    <mergeCell ref="V7:V8"/>
    <mergeCell ref="W7:W8"/>
    <mergeCell ref="X7:X8"/>
    <mergeCell ref="Y7:Y8"/>
    <mergeCell ref="Z7:Z8"/>
    <mergeCell ref="AA7:AA8"/>
    <mergeCell ref="P7:P8"/>
    <mergeCell ref="Q7:Q8"/>
    <mergeCell ref="R7:R8"/>
    <mergeCell ref="S7:S8"/>
    <mergeCell ref="T7:T8"/>
    <mergeCell ref="U7:U8"/>
    <mergeCell ref="J7:J8"/>
    <mergeCell ref="K7:K8"/>
    <mergeCell ref="L7:L8"/>
    <mergeCell ref="M7:M8"/>
    <mergeCell ref="N7:N8"/>
    <mergeCell ref="O7:O8"/>
    <mergeCell ref="AM5:AM6"/>
    <mergeCell ref="AN5:AN6"/>
    <mergeCell ref="W5:W6"/>
    <mergeCell ref="X5:X6"/>
    <mergeCell ref="Y5:Y6"/>
    <mergeCell ref="Z5:Z6"/>
    <mergeCell ref="AA5:AA6"/>
    <mergeCell ref="AB5:AB6"/>
    <mergeCell ref="D7:D8"/>
    <mergeCell ref="E7:E8"/>
    <mergeCell ref="F7:F8"/>
    <mergeCell ref="G7:G8"/>
    <mergeCell ref="H7:H8"/>
    <mergeCell ref="I7:I8"/>
    <mergeCell ref="AC5:AC6"/>
    <mergeCell ref="AD5:AD6"/>
    <mergeCell ref="AE5:AE6"/>
    <mergeCell ref="Q5:Q6"/>
    <mergeCell ref="R5:R6"/>
    <mergeCell ref="S5:S6"/>
    <mergeCell ref="T5:T6"/>
    <mergeCell ref="U5:U6"/>
    <mergeCell ref="V5:V6"/>
    <mergeCell ref="K5:K6"/>
    <mergeCell ref="C4:F4"/>
    <mergeCell ref="AH4:AL4"/>
    <mergeCell ref="D5:D6"/>
    <mergeCell ref="E5:E6"/>
    <mergeCell ref="F5:F6"/>
    <mergeCell ref="G5:G6"/>
    <mergeCell ref="H5:H6"/>
    <mergeCell ref="I5:I6"/>
    <mergeCell ref="J5:J6"/>
    <mergeCell ref="AF5:AF6"/>
    <mergeCell ref="L5:L6"/>
    <mergeCell ref="M5:M6"/>
    <mergeCell ref="N5:N6"/>
    <mergeCell ref="O5:O6"/>
    <mergeCell ref="P5:P6"/>
  </mergeCells>
  <conditionalFormatting sqref="AD5:AE50">
    <cfRule type="containsText" dxfId="7" priority="3" operator="containsText" text="Heure de repas non rentrée">
      <formula>NOT(ISERROR(SEARCH("Heure de repas non rentrée",AD5)))</formula>
    </cfRule>
    <cfRule type="containsText" dxfId="6" priority="4" operator="containsText" text="Heure de sortie non rentrée">
      <formula>NOT(ISERROR(SEARCH("Heure de sortie non rentrée",AD5)))</formula>
    </cfRule>
  </conditionalFormatting>
  <conditionalFormatting sqref="P5:P50">
    <cfRule type="cellIs" dxfId="5" priority="2" operator="greaterThan">
      <formula>0.03125</formula>
    </cfRule>
  </conditionalFormatting>
  <conditionalFormatting sqref="Q5:Q50">
    <cfRule type="cellIs" dxfId="4" priority="1" operator="notEqual">
      <formula>0</formula>
    </cfRule>
  </conditionalFormatting>
  <dataValidations count="3">
    <dataValidation type="list" allowBlank="1" showInputMessage="1" showErrorMessage="1" sqref="AP5">
      <formula1>$AU$4:$AU$10</formula1>
    </dataValidation>
    <dataValidation type="list" allowBlank="1" showInputMessage="1" showErrorMessage="1" sqref="AR5">
      <formula1>$AU$13:$AU$24</formula1>
    </dataValidation>
    <dataValidation type="list" allowBlank="1" showInputMessage="1" showErrorMessage="1" sqref="AQ5">
      <formula1>$AU$26:$AU$78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AW78"/>
  <sheetViews>
    <sheetView topLeftCell="P1" zoomScale="55" zoomScaleNormal="55" workbookViewId="0">
      <selection activeCell="AQ10" sqref="AQ10"/>
    </sheetView>
  </sheetViews>
  <sheetFormatPr baseColWidth="10" defaultColWidth="11.453125" defaultRowHeight="14.5" x14ac:dyDescent="0.35"/>
  <cols>
    <col min="1" max="1" width="11.453125" style="2"/>
    <col min="2" max="2" width="0" style="2" hidden="1" customWidth="1"/>
    <col min="3" max="3" width="16.1796875" style="5" customWidth="1"/>
    <col min="4" max="4" width="11.453125" style="2"/>
    <col min="5" max="5" width="11.453125" style="2" customWidth="1"/>
    <col min="6" max="6" width="17.81640625" style="2" customWidth="1"/>
    <col min="7" max="10" width="14.1796875" style="2" customWidth="1"/>
    <col min="11" max="11" width="11.453125" style="2" hidden="1" customWidth="1"/>
    <col min="12" max="15" width="16.453125" style="2" hidden="1" customWidth="1"/>
    <col min="16" max="17" width="18.453125" style="2" customWidth="1"/>
    <col min="18" max="21" width="18.453125" style="2" hidden="1" customWidth="1"/>
    <col min="22" max="24" width="11.453125" style="2" hidden="1" customWidth="1"/>
    <col min="25" max="26" width="20.7265625" style="2" customWidth="1"/>
    <col min="27" max="27" width="20.7265625" style="2" hidden="1" customWidth="1"/>
    <col min="28" max="31" width="20.7265625" style="2" customWidth="1"/>
    <col min="32" max="32" width="19.7265625" style="2" bestFit="1" customWidth="1"/>
    <col min="33" max="33" width="11.453125" style="2" hidden="1" customWidth="1"/>
    <col min="34" max="34" width="11.453125" style="2"/>
    <col min="35" max="35" width="11.453125" style="2" hidden="1" customWidth="1"/>
    <col min="36" max="36" width="11.453125" style="2"/>
    <col min="37" max="37" width="11.453125" style="2" hidden="1" customWidth="1"/>
    <col min="38" max="38" width="11.453125" style="2"/>
    <col min="39" max="40" width="11.453125" style="2" hidden="1" customWidth="1"/>
    <col min="41" max="41" width="11.453125" style="2" customWidth="1"/>
    <col min="42" max="46" width="14.26953125" style="2" customWidth="1"/>
    <col min="47" max="47" width="11.453125" style="2" hidden="1" customWidth="1"/>
    <col min="48" max="16384" width="11.453125" style="2"/>
  </cols>
  <sheetData>
    <row r="1" spans="2:49" x14ac:dyDescent="0.35">
      <c r="C1" s="2"/>
    </row>
    <row r="2" spans="2:49" x14ac:dyDescent="0.35">
      <c r="C2" s="2"/>
      <c r="AI2" s="5"/>
      <c r="AJ2" s="5"/>
      <c r="AK2" s="5"/>
      <c r="AL2" s="5"/>
    </row>
    <row r="3" spans="2:49" ht="15" thickBot="1" x14ac:dyDescent="0.4">
      <c r="C3" s="2"/>
      <c r="D3" s="4"/>
      <c r="F3" s="4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  <c r="AC3" s="38"/>
      <c r="AD3" s="38"/>
      <c r="AE3" s="38"/>
      <c r="AF3" s="38"/>
      <c r="AG3" s="38"/>
      <c r="AI3" s="7"/>
      <c r="AJ3" s="7"/>
      <c r="AK3" s="7"/>
      <c r="AL3" s="7"/>
    </row>
    <row r="4" spans="2:49" ht="66" customHeight="1" thickBot="1" x14ac:dyDescent="0.4">
      <c r="C4" s="121"/>
      <c r="D4" s="122"/>
      <c r="E4" s="122"/>
      <c r="F4" s="123"/>
      <c r="G4" s="17" t="s">
        <v>23</v>
      </c>
      <c r="H4" s="25" t="s">
        <v>22</v>
      </c>
      <c r="I4" s="18" t="s">
        <v>21</v>
      </c>
      <c r="J4" s="19" t="s">
        <v>24</v>
      </c>
      <c r="K4" s="21" t="s">
        <v>1</v>
      </c>
      <c r="L4" s="22" t="s">
        <v>7</v>
      </c>
      <c r="M4" s="22" t="s">
        <v>19</v>
      </c>
      <c r="N4" s="27" t="s">
        <v>26</v>
      </c>
      <c r="O4" s="27" t="s">
        <v>29</v>
      </c>
      <c r="P4" s="22" t="s">
        <v>63</v>
      </c>
      <c r="Q4" s="22" t="s">
        <v>31</v>
      </c>
      <c r="R4" s="27" t="s">
        <v>30</v>
      </c>
      <c r="S4" s="27" t="s">
        <v>27</v>
      </c>
      <c r="T4" s="27" t="s">
        <v>35</v>
      </c>
      <c r="U4" s="27" t="s">
        <v>36</v>
      </c>
      <c r="V4" s="27" t="s">
        <v>2</v>
      </c>
      <c r="W4" s="27" t="s">
        <v>0</v>
      </c>
      <c r="X4" s="28" t="s">
        <v>16</v>
      </c>
      <c r="Y4" s="56" t="s">
        <v>17</v>
      </c>
      <c r="Z4" s="56" t="s">
        <v>32</v>
      </c>
      <c r="AA4" s="29" t="s">
        <v>37</v>
      </c>
      <c r="AB4" s="24" t="s">
        <v>33</v>
      </c>
      <c r="AC4" s="24" t="s">
        <v>34</v>
      </c>
      <c r="AD4" s="24" t="s">
        <v>28</v>
      </c>
      <c r="AE4" s="24" t="s">
        <v>74</v>
      </c>
      <c r="AF4" s="23" t="s">
        <v>75</v>
      </c>
      <c r="AG4" s="8"/>
      <c r="AH4" s="124" t="s">
        <v>6</v>
      </c>
      <c r="AI4" s="125"/>
      <c r="AJ4" s="125"/>
      <c r="AK4" s="125"/>
      <c r="AL4" s="126"/>
      <c r="AP4" s="54" t="s">
        <v>40</v>
      </c>
      <c r="AQ4" s="53" t="s">
        <v>38</v>
      </c>
      <c r="AR4" s="41" t="s">
        <v>67</v>
      </c>
      <c r="AS4" s="54" t="s">
        <v>66</v>
      </c>
      <c r="AT4" s="54" t="s">
        <v>65</v>
      </c>
      <c r="AU4" s="42" t="s">
        <v>9</v>
      </c>
    </row>
    <row r="5" spans="2:49" ht="44" thickBot="1" x14ac:dyDescent="0.4">
      <c r="B5" s="38">
        <f>IF(AP5="Lundi",1,IF(AP5="Mardi",2,IF(AP5="Mercredi",3,IF(AP5="Jeudi",4,IF(AP5="Vendredi",5,IF(AP5="Samedi",6,IF(AP5="Dimanche",7,"y'a un truc bizarre là")))))))</f>
        <v>1</v>
      </c>
      <c r="C5" s="145" t="s">
        <v>69</v>
      </c>
      <c r="D5" s="89" t="str">
        <f>IF($B$5=1,"Lundi",IF($B$5=2,"Mardi",IF($B$5=3,"Mercredi",IF($B$5=4,"Jeudi",IF($B$5=5,"Vendredi")))))</f>
        <v>Lundi</v>
      </c>
      <c r="E5" s="129" t="str">
        <f xml:space="preserve"> "1 " &amp;$AR$5</f>
        <v>1 Juin</v>
      </c>
      <c r="F5" s="91" t="s">
        <v>20</v>
      </c>
      <c r="G5" s="93"/>
      <c r="H5" s="95"/>
      <c r="I5" s="97"/>
      <c r="J5" s="99"/>
      <c r="K5" s="101">
        <v>0.31111111111111112</v>
      </c>
      <c r="L5" s="86">
        <v>0.32500000000000001</v>
      </c>
      <c r="M5" s="88">
        <v>3.125E-2</v>
      </c>
      <c r="N5" s="76">
        <f t="shared" ref="N5" si="0">M5*24</f>
        <v>0.75</v>
      </c>
      <c r="O5" s="85">
        <f t="shared" ref="O5" si="1">I5-H5</f>
        <v>0</v>
      </c>
      <c r="P5" s="82">
        <f t="shared" ref="P5" si="2">IF(O5&lt;0.75,IF(I5=0,0,I5-H5),M5)</f>
        <v>0</v>
      </c>
      <c r="Q5" s="82">
        <f>IF(R5&lt;0,0,R5/24)</f>
        <v>0</v>
      </c>
      <c r="R5" s="84" t="str">
        <f>IF(P5=0,"0",M5*24-P5*24)</f>
        <v>0</v>
      </c>
      <c r="S5" s="76">
        <f>P5*24</f>
        <v>0</v>
      </c>
      <c r="T5" s="76">
        <f>IF(R5&lt;0,S5,S5+R5)</f>
        <v>0</v>
      </c>
      <c r="U5" s="76">
        <f>IF(T5&lt;=0.75,M5,T5/24)</f>
        <v>3.125E-2</v>
      </c>
      <c r="V5" s="74">
        <f>G5*24</f>
        <v>0</v>
      </c>
      <c r="W5" s="76">
        <f>IF(S5&gt;0.75, V5+L5*24+P5*24,V5+L5*24+M5*24)</f>
        <v>8.5500000000000007</v>
      </c>
      <c r="X5" s="78">
        <f>IF(J5=0,24*(H5-G5)-(K5*24+1/6),(24*(J5-G5)-((U5*24)+(L5*24))))</f>
        <v>-7.6333333333333337</v>
      </c>
      <c r="Y5" s="71">
        <f>IF(X5=-7.8,0,IF(X5&gt;=0,0,IF(X5&lt;0,ABS(X5)/24,"0")))</f>
        <v>0.31805555555555559</v>
      </c>
      <c r="Z5" s="71" t="str">
        <f>IF(X5&lt;0,"0",ABS(X5)/24)</f>
        <v>0</v>
      </c>
      <c r="AA5" s="80">
        <f>IF(X5&lt;-7.63,0,IF(AS5&gt;0,SUM(X5)-AS5*24,IF(AT5&gt;0,SUM(X5)+AT5*24)))</f>
        <v>0</v>
      </c>
      <c r="AB5" s="69" t="str">
        <f>IF(G5=0,"Heure d'arrivée non rentrée",IF((H5=0),"heure de départ en pause repas non rentrée",IF(I5=0,"Heure de fin de repas non rentrée",IF(J5=0,"Heure de sortie non rentrée",IF(AA5&lt;0,ABS(AA5)/24,0)))))</f>
        <v>Heure d'arrivée non rentrée</v>
      </c>
      <c r="AC5" s="71" t="str">
        <f>IF(G5=0,"Heure d'arrivée non rentrée",IF((H5=0),"heure de départ en pause repas non rentrée",IF(I5=0,"Heure de fin de repas non rentrée",IF(J5=0,"Heure de sortie non rentrée",IF(AA5&gt;0,ABS(AA5)/24,0)))))</f>
        <v>Heure d'arrivée non rentrée</v>
      </c>
      <c r="AD5" s="71">
        <f>IF(G5=0,0,IF(H5=0, "Heure de repas non rentrée",IF(I5=0, H5-G5, IF(J5=0,"Heure de sortie non rentrée",IF(Y5=0,(K5+Z5),K5-Y5)))))</f>
        <v>0</v>
      </c>
      <c r="AE5" s="134" t="str">
        <f>IF(G5=0,"",IF($AS$5="Heure d'arrivée non rentrée","",IF($AS$5="heure de départ en pause repas non rentrée","",IF($AS$5="Heure de fin de repas non rentrée","",IF($AS$5="Heure de sortie non rentrée","",IF($AT$5="Heure d'arrivée non rentrée","",IF($AT$5="heure de départ en pause repas non rentrée","",IF($AT$5="Heure de fin de repas non rentrée","",IF($AT$5="Heure de sortie non rentrée","",IF($AS$5&gt;0,AF5+$AS$5,IF($AT$5&gt;0,AF5:AF6-$AT$5,"")))))))))))</f>
        <v/>
      </c>
      <c r="AF5" s="72">
        <f>IF(W5=8.55,0,W5/24)</f>
        <v>0</v>
      </c>
      <c r="AG5" s="3" t="s">
        <v>3</v>
      </c>
      <c r="AH5" s="1" t="s">
        <v>3</v>
      </c>
      <c r="AI5" s="1" t="s">
        <v>4</v>
      </c>
      <c r="AJ5" s="1" t="s">
        <v>4</v>
      </c>
      <c r="AK5" s="1" t="s">
        <v>5</v>
      </c>
      <c r="AL5" s="9" t="s">
        <v>5</v>
      </c>
      <c r="AM5" s="129">
        <v>1</v>
      </c>
      <c r="AN5" s="132"/>
      <c r="AP5" s="52" t="s">
        <v>9</v>
      </c>
      <c r="AQ5" s="52">
        <v>22</v>
      </c>
      <c r="AR5" s="52" t="s">
        <v>43</v>
      </c>
      <c r="AS5" s="55" t="str">
        <f ca="1">INDIRECT("'"&amp;Feuiprec()&amp;"'!AB49")</f>
        <v>Heure d'arrivée non rentrée</v>
      </c>
      <c r="AT5" s="55" t="str">
        <f ca="1">INDIRECT("'"&amp;Feuiprec()&amp;"'!AC49")</f>
        <v>Heure d'arrivée non rentrée</v>
      </c>
      <c r="AU5" s="43" t="s">
        <v>11</v>
      </c>
      <c r="AV5" s="34"/>
      <c r="AW5" s="34"/>
    </row>
    <row r="6" spans="2:49" ht="15.75" customHeight="1" thickBot="1" x14ac:dyDescent="0.4">
      <c r="B6" s="38"/>
      <c r="C6" s="147"/>
      <c r="D6" s="103"/>
      <c r="E6" s="130"/>
      <c r="F6" s="92"/>
      <c r="G6" s="94"/>
      <c r="H6" s="96"/>
      <c r="I6" s="98"/>
      <c r="J6" s="100"/>
      <c r="K6" s="102"/>
      <c r="L6" s="87"/>
      <c r="M6" s="87"/>
      <c r="N6" s="77"/>
      <c r="O6" s="77"/>
      <c r="P6" s="83"/>
      <c r="Q6" s="83"/>
      <c r="R6" s="77"/>
      <c r="S6" s="77"/>
      <c r="T6" s="77"/>
      <c r="U6" s="77"/>
      <c r="V6" s="75"/>
      <c r="W6" s="77"/>
      <c r="X6" s="79"/>
      <c r="Y6" s="70"/>
      <c r="Z6" s="70"/>
      <c r="AA6" s="81"/>
      <c r="AB6" s="70"/>
      <c r="AC6" s="70"/>
      <c r="AD6" s="70"/>
      <c r="AE6" s="135"/>
      <c r="AF6" s="73"/>
      <c r="AG6" s="14">
        <f>IF(AF5=0,0,AF5*24 + 0.5)</f>
        <v>0</v>
      </c>
      <c r="AH6" s="11">
        <f>AG6/24</f>
        <v>0</v>
      </c>
      <c r="AI6" s="10">
        <f>IF(AG6=0,0,AG6+0.5)</f>
        <v>0</v>
      </c>
      <c r="AJ6" s="12">
        <f>IF(AI6=0,0,AI6/24)</f>
        <v>0</v>
      </c>
      <c r="AK6" s="10">
        <f>IF(AG6=0,0,AG6+1.5)</f>
        <v>0</v>
      </c>
      <c r="AL6" s="13">
        <f>AK6/24</f>
        <v>0</v>
      </c>
      <c r="AM6" s="131"/>
      <c r="AN6" s="133"/>
      <c r="AO6" s="40"/>
      <c r="AP6" s="32"/>
      <c r="AU6" s="43" t="s">
        <v>12</v>
      </c>
    </row>
    <row r="7" spans="2:49" ht="43.5" x14ac:dyDescent="0.35">
      <c r="C7" s="145"/>
      <c r="D7" s="89" t="str">
        <f>IF($B$5=1,"Mardi",IF($B$5=2,"Mercredi",IF($B$5=3,"Jeudi",IF($B$5=4,"Vendredi",IF($B$5=5,"Lundi")))))</f>
        <v>Mardi</v>
      </c>
      <c r="E7" s="89" t="str">
        <f>"2 " &amp;$AR$5</f>
        <v>2 Juin</v>
      </c>
      <c r="F7" s="91" t="s">
        <v>20</v>
      </c>
      <c r="G7" s="93"/>
      <c r="H7" s="95"/>
      <c r="I7" s="97"/>
      <c r="J7" s="99"/>
      <c r="K7" s="101">
        <v>0.31111111111111112</v>
      </c>
      <c r="L7" s="86">
        <v>0.32500000000000001</v>
      </c>
      <c r="M7" s="88">
        <v>3.125E-2</v>
      </c>
      <c r="N7" s="76">
        <f t="shared" ref="N7" si="3">M7*24</f>
        <v>0.75</v>
      </c>
      <c r="O7" s="85">
        <f t="shared" ref="O7" si="4">I7-H7</f>
        <v>0</v>
      </c>
      <c r="P7" s="82">
        <f t="shared" ref="P7" si="5">IF(O7&lt;0.75,IF(I7=0,0,I7-H7),M7)</f>
        <v>0</v>
      </c>
      <c r="Q7" s="82">
        <f>IF(R7&lt;0,0,R7/24)</f>
        <v>0</v>
      </c>
      <c r="R7" s="84" t="str">
        <f>IF(P7=0,"0",M7*24-P7*24)</f>
        <v>0</v>
      </c>
      <c r="S7" s="76">
        <f>P7*24</f>
        <v>0</v>
      </c>
      <c r="T7" s="76">
        <f>IF(R7&lt;0,S7,S7+R7)</f>
        <v>0</v>
      </c>
      <c r="U7" s="76">
        <f>IF(T7&lt;=0.75,M7,T7/24)</f>
        <v>3.125E-2</v>
      </c>
      <c r="V7" s="74">
        <f>G7*24</f>
        <v>0</v>
      </c>
      <c r="W7" s="76">
        <f>IF(S7&gt;0.75, V7+L7*24+P7*24,V7+L7*24+M7*24)</f>
        <v>8.5500000000000007</v>
      </c>
      <c r="X7" s="78">
        <f>IF(J7=0,24*(H7-G7)-(K7*24+1/6),(24*(J7-G7)-((U7*24)+(L7*24))))</f>
        <v>-7.6333333333333337</v>
      </c>
      <c r="Y7" s="71">
        <f>IF(X7&lt;=-7.8,0,IF(X7&gt;=0,0,IF(X7&lt;0,ABS(X7)/24,"0")))</f>
        <v>0.31805555555555559</v>
      </c>
      <c r="Z7" s="71" t="str">
        <f>IF(X7&lt;0,"0",ABS(X7)/24)</f>
        <v>0</v>
      </c>
      <c r="AA7" s="80">
        <f>IF(X7&lt;-7.63,0,SUM($X$7:X8)+$AA$5)</f>
        <v>0</v>
      </c>
      <c r="AB7" s="69" t="str">
        <f t="shared" ref="AB7" si="6">IF(G7=0,"Heure d'arrivée non rentrée",IF((H7=0),"heure de départ en pause repas non rentrée",IF(I7=0,"Heure de fin de repas non rentrée",IF(J7=0,"Heure de sortie non rentrée",IF(AA7&lt;0,ABS(AA7)/24,0)))))</f>
        <v>Heure d'arrivée non rentrée</v>
      </c>
      <c r="AC7" s="71" t="str">
        <f>IF(G7=0,"Heure d'arrivée non rentrée",IF((H7=0),"heure de départ en pause repas non rentrée",IF(I7=0,"Heure de fin de repas non rentrée",IF(J7=0,"Heure de sortie non rentrée",IF(AA7&gt;0,ABS(AA7)/24,0)))))</f>
        <v>Heure d'arrivée non rentrée</v>
      </c>
      <c r="AD7" s="71">
        <f>IF(G7=0,0,IF(H7=0, "Heure de repas non rentrée",IF(I7=0, H7-G7, IF(J7=0,"Heure de sortie non rentrée",IF(Y7=0,(K7+Z7),K7-Y7)))))</f>
        <v>0</v>
      </c>
      <c r="AE7" s="134" t="str">
        <f>IF(G7=0,"",IF($AS$5="Heure d'arrivée non rentrée","",IF($AS$5="heure de départ en pause repas non rentrée","",IF($AS$5="Heure de fin de repas non rentrée","",IF($AS$5="Heure de sortie non rentrée","",IF($AT$5="Heure d'arrivée non rentrée","",IF($AT$5="heure de départ en pause repas non rentrée","",IF($AT$5="Heure de fin de repas non rentrée","",IF($AT$5="Heure de sortie non rentrée","",IF($AS$5&gt;0,AF7+$AS$5,IF($AT$5&gt;0,AF7:AF8-$AT$5,"")))))))))))</f>
        <v/>
      </c>
      <c r="AF7" s="72">
        <f>IF(W7=8.55,0,W7/24)</f>
        <v>0</v>
      </c>
      <c r="AG7" s="3" t="s">
        <v>3</v>
      </c>
      <c r="AH7" s="1" t="s">
        <v>3</v>
      </c>
      <c r="AI7" s="1" t="s">
        <v>4</v>
      </c>
      <c r="AJ7" s="1" t="s">
        <v>4</v>
      </c>
      <c r="AK7" s="1" t="s">
        <v>5</v>
      </c>
      <c r="AL7" s="9" t="s">
        <v>5</v>
      </c>
      <c r="AM7" s="131">
        <v>2</v>
      </c>
      <c r="AN7" s="136"/>
      <c r="AO7" s="40"/>
      <c r="AP7" s="32"/>
      <c r="AU7" s="43" t="s">
        <v>13</v>
      </c>
    </row>
    <row r="8" spans="2:49" ht="15.75" customHeight="1" thickBot="1" x14ac:dyDescent="0.4">
      <c r="C8" s="147"/>
      <c r="D8" s="103"/>
      <c r="E8" s="90"/>
      <c r="F8" s="92"/>
      <c r="G8" s="94"/>
      <c r="H8" s="96"/>
      <c r="I8" s="98"/>
      <c r="J8" s="100"/>
      <c r="K8" s="102"/>
      <c r="L8" s="87"/>
      <c r="M8" s="87"/>
      <c r="N8" s="77"/>
      <c r="O8" s="77"/>
      <c r="P8" s="83"/>
      <c r="Q8" s="83"/>
      <c r="R8" s="77"/>
      <c r="S8" s="77"/>
      <c r="T8" s="77"/>
      <c r="U8" s="77"/>
      <c r="V8" s="75"/>
      <c r="W8" s="77"/>
      <c r="X8" s="79"/>
      <c r="Y8" s="70"/>
      <c r="Z8" s="70"/>
      <c r="AA8" s="81"/>
      <c r="AB8" s="70"/>
      <c r="AC8" s="70"/>
      <c r="AD8" s="70"/>
      <c r="AE8" s="135"/>
      <c r="AF8" s="73"/>
      <c r="AG8" s="14">
        <f>IF(AF7=0,0,AF7*24 + 0.5)</f>
        <v>0</v>
      </c>
      <c r="AH8" s="11">
        <f>AG8/24</f>
        <v>0</v>
      </c>
      <c r="AI8" s="10">
        <f>IF(AG8=0,0,AG8+0.5)</f>
        <v>0</v>
      </c>
      <c r="AJ8" s="12">
        <f>IF(AI8=0,0,AI8/24)</f>
        <v>0</v>
      </c>
      <c r="AK8" s="10">
        <f>IF(AG8=0,0,AG8+1.5)</f>
        <v>0</v>
      </c>
      <c r="AL8" s="13">
        <f>AK8/24</f>
        <v>0</v>
      </c>
      <c r="AM8" s="131"/>
      <c r="AN8" s="137"/>
      <c r="AO8" s="40"/>
      <c r="AP8" s="32"/>
      <c r="AQ8" s="35"/>
      <c r="AU8" s="43" t="s">
        <v>14</v>
      </c>
    </row>
    <row r="9" spans="2:49" ht="43.5" x14ac:dyDescent="0.35">
      <c r="C9" s="145"/>
      <c r="D9" s="89" t="str">
        <f>IF($B$5=1,"Mercredi",IF($B$5=2,"Jeudi",IF($B$5=3,"Vendredi",IF($B$5=4,"Lundi",IF($B$5=5,"Mardi")))))</f>
        <v>Mercredi</v>
      </c>
      <c r="E9" s="103" t="str">
        <f>"3 " &amp;$AR$5</f>
        <v>3 Juin</v>
      </c>
      <c r="F9" s="91" t="s">
        <v>20</v>
      </c>
      <c r="G9" s="93"/>
      <c r="H9" s="95"/>
      <c r="I9" s="97"/>
      <c r="J9" s="99"/>
      <c r="K9" s="101">
        <v>0.31111111111111112</v>
      </c>
      <c r="L9" s="86">
        <v>0.32500000000000001</v>
      </c>
      <c r="M9" s="88">
        <v>3.125E-2</v>
      </c>
      <c r="N9" s="76">
        <f t="shared" ref="N9" si="7">M9*24</f>
        <v>0.75</v>
      </c>
      <c r="O9" s="85">
        <f t="shared" ref="O9" si="8">I9-H9</f>
        <v>0</v>
      </c>
      <c r="P9" s="82">
        <f t="shared" ref="P9" si="9">IF(O9&lt;0.75,IF(I9=0,0,I9-H9),M9)</f>
        <v>0</v>
      </c>
      <c r="Q9" s="82">
        <f t="shared" ref="Q9" si="10">IF(R9&lt;0,0,R9/24)</f>
        <v>0</v>
      </c>
      <c r="R9" s="84" t="str">
        <f>IF(P9=0,"0",M9*24-P9*24)</f>
        <v>0</v>
      </c>
      <c r="S9" s="76">
        <f>P9*24</f>
        <v>0</v>
      </c>
      <c r="T9" s="76">
        <f t="shared" ref="T9" si="11">IF(R9&lt;0,S9,S9+R9)</f>
        <v>0</v>
      </c>
      <c r="U9" s="76">
        <f>IF(T9&lt;=0.75,M9,T9/24)</f>
        <v>3.125E-2</v>
      </c>
      <c r="V9" s="74">
        <f>G9*24</f>
        <v>0</v>
      </c>
      <c r="W9" s="76">
        <f>IF(S9&gt;0.75, V9+L9*24+P9*24,V9+L9*24+M9*24)</f>
        <v>8.5500000000000007</v>
      </c>
      <c r="X9" s="117">
        <f>IF(J9=0,24*(H9-G9)-(K9*24+1/6),(24*(J9-G9)-((U9*24)+(L9*24))))</f>
        <v>-7.6333333333333337</v>
      </c>
      <c r="Y9" s="71">
        <f>IF(X9&lt;=-7.63,0,IF(X9&gt;=0,0,IF(X9&lt;0,ABS(X9)/24,"0")))</f>
        <v>0</v>
      </c>
      <c r="Z9" s="71" t="str">
        <f t="shared" ref="Z9" si="12">IF(X9&lt;0,"0",ABS(X9)/24)</f>
        <v>0</v>
      </c>
      <c r="AA9" s="80">
        <f>IF(X9&lt;-7.63,0,SUM($X$7:X10)+$AA$5)</f>
        <v>0</v>
      </c>
      <c r="AB9" s="69" t="str">
        <f t="shared" ref="AB9" si="13">IF(G9=0,"Heure d'arrivée non rentrée",IF((H9=0),"heure de départ en pause repas non rentrée",IF(I9=0,"Heure de fin de repas non rentrée",IF(J9=0,"Heure de sortie non rentrée",IF(AA9&lt;0,ABS(AA9)/24,0)))))</f>
        <v>Heure d'arrivée non rentrée</v>
      </c>
      <c r="AC9" s="71" t="str">
        <f>IF(G9=0,"Heure d'arrivée non rentrée",IF((H9=0),"heure de départ en pause repas non rentrée",IF(I9=0,"Heure de fin de repas non rentrée",IF(J9=0,"Heure de sortie non rentrée",IF(AA9&gt;0,ABS(AA9)/24,0)))))</f>
        <v>Heure d'arrivée non rentrée</v>
      </c>
      <c r="AD9" s="71">
        <f>IF(G9=0,0,IF(H9=0, "Heure de repas non rentrée",IF(I9=0, H9-G9, IF(J9=0,"Heure de sortie non rentrée",IF(Y9=0,(K9+Z9),K9-Y9)))))</f>
        <v>0</v>
      </c>
      <c r="AE9" s="134" t="str">
        <f t="shared" ref="AE9" si="14">IF(G9=0,"",IF($AS$5="Heure d'arrivée non rentrée","",IF($AS$5="heure de départ en pause repas non rentrée","",IF($AS$5="Heure de fin de repas non rentrée","",IF($AS$5="Heure de sortie non rentrée","",IF($AT$5="Heure d'arrivée non rentrée","",IF($AT$5="heure de départ en pause repas non rentrée","",IF($AT$5="Heure de fin de repas non rentrée","",IF($AT$5="Heure de sortie non rentrée","",IF($AS$5&gt;0,AF9+$AS$5,IF($AT$5&gt;0,AF9:AF10-$AT$5,"")))))))))))</f>
        <v/>
      </c>
      <c r="AF9" s="72">
        <f>IF(W9=8.55,0,W9/24)</f>
        <v>0</v>
      </c>
      <c r="AG9" s="3" t="s">
        <v>3</v>
      </c>
      <c r="AH9" s="1" t="s">
        <v>3</v>
      </c>
      <c r="AI9" s="1" t="s">
        <v>4</v>
      </c>
      <c r="AJ9" s="1" t="s">
        <v>4</v>
      </c>
      <c r="AK9" s="1" t="s">
        <v>5</v>
      </c>
      <c r="AL9" s="9" t="s">
        <v>5</v>
      </c>
      <c r="AM9" s="131">
        <v>3</v>
      </c>
      <c r="AN9" s="139"/>
      <c r="AO9" s="40"/>
      <c r="AP9" s="32"/>
      <c r="AU9" s="43" t="s">
        <v>41</v>
      </c>
    </row>
    <row r="10" spans="2:49" ht="15.75" customHeight="1" thickBot="1" x14ac:dyDescent="0.4">
      <c r="C10" s="147"/>
      <c r="D10" s="103"/>
      <c r="E10" s="90"/>
      <c r="F10" s="92"/>
      <c r="G10" s="94"/>
      <c r="H10" s="96"/>
      <c r="I10" s="98"/>
      <c r="J10" s="100"/>
      <c r="K10" s="102"/>
      <c r="L10" s="87"/>
      <c r="M10" s="87"/>
      <c r="N10" s="77"/>
      <c r="O10" s="77"/>
      <c r="P10" s="83"/>
      <c r="Q10" s="83"/>
      <c r="R10" s="77"/>
      <c r="S10" s="77"/>
      <c r="T10" s="77"/>
      <c r="U10" s="77"/>
      <c r="V10" s="75"/>
      <c r="W10" s="77"/>
      <c r="X10" s="118"/>
      <c r="Y10" s="70"/>
      <c r="Z10" s="70"/>
      <c r="AA10" s="81"/>
      <c r="AB10" s="70"/>
      <c r="AC10" s="70"/>
      <c r="AD10" s="70"/>
      <c r="AE10" s="135"/>
      <c r="AF10" s="73"/>
      <c r="AG10" s="14">
        <f>IF(AF9=0,0,AF9*24 + 0.5)</f>
        <v>0</v>
      </c>
      <c r="AH10" s="11">
        <f>AG10/24</f>
        <v>0</v>
      </c>
      <c r="AI10" s="10">
        <f>IF(AG10=0,0,AG10+0.5)</f>
        <v>0</v>
      </c>
      <c r="AJ10" s="12">
        <f>IF(AI10=0,0,AI10/24)</f>
        <v>0</v>
      </c>
      <c r="AK10" s="10">
        <f>IF(AG10=0,0,AG10+1.5)</f>
        <v>0</v>
      </c>
      <c r="AL10" s="13">
        <f>AK10/24</f>
        <v>0</v>
      </c>
      <c r="AM10" s="138"/>
      <c r="AN10" s="140"/>
      <c r="AO10" s="40"/>
      <c r="AP10" s="32"/>
      <c r="AU10" s="44" t="s">
        <v>42</v>
      </c>
    </row>
    <row r="11" spans="2:49" ht="44" thickBot="1" x14ac:dyDescent="0.4">
      <c r="C11" s="145"/>
      <c r="D11" s="89" t="str">
        <f>IF($B$5=1,"Jeudi",IF($B$5=2,"Vendredi",IF($B$5=3,"Lundi",IF($B$5=4,"Mardi",IF($B$5=5,"Mercredi","")))))</f>
        <v>Jeudi</v>
      </c>
      <c r="E11" s="89" t="str">
        <f>"6 "&amp; $AR$5</f>
        <v>6 Juin</v>
      </c>
      <c r="F11" s="91" t="s">
        <v>20</v>
      </c>
      <c r="G11" s="93"/>
      <c r="H11" s="95"/>
      <c r="I11" s="97"/>
      <c r="J11" s="99"/>
      <c r="K11" s="101">
        <v>0.31111111111111112</v>
      </c>
      <c r="L11" s="86">
        <v>0.32500000000000001</v>
      </c>
      <c r="M11" s="88">
        <v>3.125E-2</v>
      </c>
      <c r="N11" s="76">
        <f t="shared" ref="N11:N13" si="15">M11*24</f>
        <v>0.75</v>
      </c>
      <c r="O11" s="85">
        <f t="shared" ref="O11:O13" si="16">I11-H11</f>
        <v>0</v>
      </c>
      <c r="P11" s="82">
        <f t="shared" ref="P11:P13" si="17">IF(O11&lt;0.75,IF(I11=0,0,I11-H11),M11)</f>
        <v>0</v>
      </c>
      <c r="Q11" s="82">
        <f t="shared" ref="Q11:Q13" si="18">IF(R11&lt;0,0,R11/24)</f>
        <v>0</v>
      </c>
      <c r="R11" s="84" t="str">
        <f>IF(P11=0,"0",M11*24-P11*24)</f>
        <v>0</v>
      </c>
      <c r="S11" s="76">
        <f>P11*24</f>
        <v>0</v>
      </c>
      <c r="T11" s="76">
        <f t="shared" ref="T11" si="19">IF(R11&lt;0,S11,S11+R11)</f>
        <v>0</v>
      </c>
      <c r="U11" s="76">
        <f>IF(T11&lt;=0.75,M11,T11/24)</f>
        <v>3.125E-2</v>
      </c>
      <c r="V11" s="74">
        <f>G11*24</f>
        <v>0</v>
      </c>
      <c r="W11" s="76">
        <f>IF(S11&gt;0.75, V11+L11*24+P11*24,V11+L11*24+M11*24)</f>
        <v>8.5500000000000007</v>
      </c>
      <c r="X11" s="78">
        <f>IF(J11=0,24*(H11-G11)-(K11*24+1/6),(24*(J11-G11)-((U11*24)+(L11*24))))</f>
        <v>-7.6333333333333337</v>
      </c>
      <c r="Y11" s="71">
        <f t="shared" ref="Y11" si="20">IF(X11&lt;=-7.63,0,IF(X11&gt;=0,0,IF(X11&lt;0,ABS(X11)/24,"0")))</f>
        <v>0</v>
      </c>
      <c r="Z11" s="71" t="str">
        <f t="shared" ref="Z11" si="21">IF(X11&lt;0,"0",ABS(X11)/24)</f>
        <v>0</v>
      </c>
      <c r="AA11" s="80">
        <f>IF(X11&lt;-7.63,0,SUM($X$7:X12)+$AA$5)</f>
        <v>0</v>
      </c>
      <c r="AB11" s="69" t="str">
        <f t="shared" ref="AB11" si="22">IF(G11=0,"Heure d'arrivée non rentrée",IF((H11=0),"heure de départ en pause repas non rentrée",IF(I11=0,"Heure de fin de repas non rentrée",IF(J11=0,"Heure de sortie non rentrée",IF(AA11&lt;0,ABS(AA11)/24,0)))))</f>
        <v>Heure d'arrivée non rentrée</v>
      </c>
      <c r="AC11" s="71" t="str">
        <f t="shared" ref="AC11" si="23">IF(G11=0,"Heure d'arrivée non rentrée",IF((H11=0),"heure de départ en pause repas non rentrée",IF(I11=0,"Heure de fin de repas non rentrée",IF(J11=0,"Heure de sortie non rentrée",IF(AA11&gt;0,ABS(AA11)/24,0)))))</f>
        <v>Heure d'arrivée non rentrée</v>
      </c>
      <c r="AD11" s="71">
        <f t="shared" ref="AD11" si="24">IF(G11=0,0,IF(H11=0, "Heure de repas non rentrée",IF(I11=0, H11-G11, IF(J11=0,"Heure de sortie non rentrée",IF(Y11=0,(K11+Z11),K11-Y11)))))</f>
        <v>0</v>
      </c>
      <c r="AE11" s="134" t="str">
        <f t="shared" ref="AE11" si="25">IF(G11=0,"",IF($AS$5="Heure d'arrivée non rentrée","",IF($AS$5="heure de départ en pause repas non rentrée","",IF($AS$5="Heure de fin de repas non rentrée","",IF($AS$5="Heure de sortie non rentrée","",IF($AT$5="Heure d'arrivée non rentrée","",IF($AT$5="heure de départ en pause repas non rentrée","",IF($AT$5="Heure de fin de repas non rentrée","",IF($AT$5="Heure de sortie non rentrée","",IF($AS$5&gt;0,AF11+$AS$5,IF($AT$5&gt;0,AF11:AF12-$AT$5,"")))))))))))</f>
        <v/>
      </c>
      <c r="AF11" s="72">
        <f>IF(W11=8.55,0,W11/24)</f>
        <v>0</v>
      </c>
      <c r="AG11" s="3" t="s">
        <v>3</v>
      </c>
      <c r="AH11" s="1" t="s">
        <v>3</v>
      </c>
      <c r="AI11" s="1" t="s">
        <v>4</v>
      </c>
      <c r="AJ11" s="1" t="s">
        <v>4</v>
      </c>
      <c r="AK11" s="1" t="s">
        <v>5</v>
      </c>
      <c r="AL11" s="9" t="s">
        <v>5</v>
      </c>
      <c r="AM11" s="129">
        <v>6</v>
      </c>
      <c r="AN11" s="141">
        <f>AQ5+1</f>
        <v>23</v>
      </c>
      <c r="AO11" s="39"/>
      <c r="AQ11" s="104"/>
      <c r="AU11" s="41">
        <f>IF(AR5="Janvier", 31, IF(AR5="Février",28,IF(AR5="Mars", 31, IF(AR5 = "Avril", 30, IF(AR5 = "Mai", 31, IF(AR5 = "Juin", 30, IF(AR5 = "Juillet", 31, IF(AR5 = "Août", 31, IF(AR5 = "Septembre", 30, IF(AR5 = "Octobre", 31, IF(AR5 = "Novembre", 30, IF(AR5 = "Décembre", 31,"formule"))))))))))))</f>
        <v>30</v>
      </c>
    </row>
    <row r="12" spans="2:49" ht="15.75" customHeight="1" thickBot="1" x14ac:dyDescent="0.4">
      <c r="C12" s="147"/>
      <c r="D12" s="90"/>
      <c r="E12" s="90"/>
      <c r="F12" s="92"/>
      <c r="G12" s="94"/>
      <c r="H12" s="96"/>
      <c r="I12" s="98"/>
      <c r="J12" s="100"/>
      <c r="K12" s="102"/>
      <c r="L12" s="87"/>
      <c r="M12" s="87"/>
      <c r="N12" s="77"/>
      <c r="O12" s="77"/>
      <c r="P12" s="83"/>
      <c r="Q12" s="83"/>
      <c r="R12" s="77"/>
      <c r="S12" s="77"/>
      <c r="T12" s="77"/>
      <c r="U12" s="77"/>
      <c r="V12" s="75"/>
      <c r="W12" s="77"/>
      <c r="X12" s="79"/>
      <c r="Y12" s="70"/>
      <c r="Z12" s="70"/>
      <c r="AA12" s="81"/>
      <c r="AB12" s="70"/>
      <c r="AC12" s="70"/>
      <c r="AD12" s="70"/>
      <c r="AE12" s="135"/>
      <c r="AF12" s="73"/>
      <c r="AG12" s="14">
        <f>IF(AF11=0,0,AF11*24 + 0.5)</f>
        <v>0</v>
      </c>
      <c r="AH12" s="11">
        <f>AG12/24</f>
        <v>0</v>
      </c>
      <c r="AI12" s="10">
        <f>IF(AG12=0,0,AG12+0.5)</f>
        <v>0</v>
      </c>
      <c r="AJ12" s="12">
        <f>IF(AI12=0,0,AI12/24)</f>
        <v>0</v>
      </c>
      <c r="AK12" s="10">
        <f>IF(AG12=0,0,AG12+1.5)</f>
        <v>0</v>
      </c>
      <c r="AL12" s="13">
        <f>AK12/24</f>
        <v>0</v>
      </c>
      <c r="AM12" s="131"/>
      <c r="AN12" s="142">
        <f>AQ5+1</f>
        <v>23</v>
      </c>
      <c r="AO12" s="39"/>
      <c r="AQ12" s="104"/>
      <c r="AU12" s="37"/>
    </row>
    <row r="13" spans="2:49" ht="43.5" x14ac:dyDescent="0.35">
      <c r="C13" s="145"/>
      <c r="D13" s="89" t="str">
        <f>IF($B$5=1,"Vendredi",IF($B$5=2,"Lundi",IF($B$5=3,"Mardi",IF($B$5=4,"Mercredi",IF($B$5=5,"Jeudi","")))))</f>
        <v>Vendredi</v>
      </c>
      <c r="E13" s="89" t="str">
        <f>"7 "&amp; $AR$5</f>
        <v>7 Juin</v>
      </c>
      <c r="F13" s="91" t="s">
        <v>20</v>
      </c>
      <c r="G13" s="93"/>
      <c r="H13" s="95"/>
      <c r="I13" s="97"/>
      <c r="J13" s="99"/>
      <c r="K13" s="101">
        <v>0.31111111111111112</v>
      </c>
      <c r="L13" s="86">
        <v>0.32500000000000001</v>
      </c>
      <c r="M13" s="88">
        <v>3.125E-2</v>
      </c>
      <c r="N13" s="76">
        <f t="shared" si="15"/>
        <v>0.75</v>
      </c>
      <c r="O13" s="85">
        <f t="shared" si="16"/>
        <v>0</v>
      </c>
      <c r="P13" s="82">
        <f t="shared" si="17"/>
        <v>0</v>
      </c>
      <c r="Q13" s="82">
        <f t="shared" si="18"/>
        <v>0</v>
      </c>
      <c r="R13" s="84" t="str">
        <f>IF(P13=0,"0",M13*24-P13*24)</f>
        <v>0</v>
      </c>
      <c r="S13" s="76">
        <f>P13*24</f>
        <v>0</v>
      </c>
      <c r="T13" s="76">
        <f t="shared" ref="T13" si="26">IF(R13&lt;0,S13,S13+R13)</f>
        <v>0</v>
      </c>
      <c r="U13" s="76">
        <f>IF(T13&lt;=0.75,M13,T13/24)</f>
        <v>3.125E-2</v>
      </c>
      <c r="V13" s="74">
        <f>G13*24</f>
        <v>0</v>
      </c>
      <c r="W13" s="76">
        <f>IF(S13&gt;0.75, V13+L13*24+P13*24,V13+L13*24+M13*24)</f>
        <v>8.5500000000000007</v>
      </c>
      <c r="X13" s="78">
        <f>IF(J13=0,24*(H13-G13)-(K13*24+1/6),(24*(J13-G13)-((U13*24)+(L13*24))))</f>
        <v>-7.6333333333333337</v>
      </c>
      <c r="Y13" s="71">
        <f t="shared" ref="Y13" si="27">IF(X13&lt;=-7.63,0,IF(X13&gt;=0,0,IF(X13&lt;0,ABS(X13)/24,"0")))</f>
        <v>0</v>
      </c>
      <c r="Z13" s="71" t="str">
        <f t="shared" ref="Z13" si="28">IF(X13&lt;0,"0",ABS(X13)/24)</f>
        <v>0</v>
      </c>
      <c r="AA13" s="80">
        <f>IF(X13&lt;-7.63,0,SUM($X$7:X14)+$AA$5)</f>
        <v>0</v>
      </c>
      <c r="AB13" s="69" t="str">
        <f t="shared" ref="AB13:AB19" si="29">IF(G13=0,"Heure d'arrivée non rentrée",IF((H13=0),"heure de départ en pause repas non rentrée",IF(I13=0,"Heure de fin de repas non rentrée",IF(J13=0,"Heure de sortie non rentrée",IF(AA13&lt;0,ABS(AA13)/24,0)))))</f>
        <v>Heure d'arrivée non rentrée</v>
      </c>
      <c r="AC13" s="71" t="str">
        <f t="shared" ref="AC13:AC19" si="30">IF(G13=0,"Heure d'arrivée non rentrée",IF((H13=0),"heure de départ en pause repas non rentrée",IF(I13=0,"Heure de fin de repas non rentrée",IF(J13=0,"Heure de sortie non rentrée",IF(AA13&gt;0,ABS(AA13)/24,0)))))</f>
        <v>Heure d'arrivée non rentrée</v>
      </c>
      <c r="AD13" s="71">
        <f t="shared" ref="AD13" si="31">IF(G13=0,0,IF(H13=0, "Heure de repas non rentrée",IF(I13=0, H13-G13, IF(J13=0,"Heure de sortie non rentrée",IF(Y13=0,(K13+Z13),K13-Y13)))))</f>
        <v>0</v>
      </c>
      <c r="AE13" s="134" t="str">
        <f t="shared" ref="AE13" si="32">IF(G13=0,"",IF($AS$5="Heure d'arrivée non rentrée","",IF($AS$5="heure de départ en pause repas non rentrée","",IF($AS$5="Heure de fin de repas non rentrée","",IF($AS$5="Heure de sortie non rentrée","",IF($AT$5="Heure d'arrivée non rentrée","",IF($AT$5="heure de départ en pause repas non rentrée","",IF($AT$5="Heure de fin de repas non rentrée","",IF($AT$5="Heure de sortie non rentrée","",IF($AS$5&gt;0,AF13+$AS$5,IF($AT$5&gt;0,AF13:AF14-$AT$5,"")))))))))))</f>
        <v/>
      </c>
      <c r="AF13" s="72">
        <f t="shared" ref="AF13" si="33">IF(W13=8.55,0,W13/24)</f>
        <v>0</v>
      </c>
      <c r="AG13" s="3" t="s">
        <v>3</v>
      </c>
      <c r="AH13" s="1" t="s">
        <v>3</v>
      </c>
      <c r="AI13" s="1" t="s">
        <v>4</v>
      </c>
      <c r="AJ13" s="1" t="s">
        <v>4</v>
      </c>
      <c r="AK13" s="1" t="s">
        <v>5</v>
      </c>
      <c r="AL13" s="9" t="s">
        <v>5</v>
      </c>
      <c r="AM13" s="131">
        <v>7</v>
      </c>
      <c r="AN13" s="142">
        <f>AQ5+1</f>
        <v>23</v>
      </c>
      <c r="AO13" s="39"/>
      <c r="AQ13" s="104"/>
      <c r="AU13" s="42" t="s">
        <v>44</v>
      </c>
    </row>
    <row r="14" spans="2:49" ht="15" thickBot="1" x14ac:dyDescent="0.4">
      <c r="C14" s="147"/>
      <c r="D14" s="90"/>
      <c r="E14" s="90"/>
      <c r="F14" s="92"/>
      <c r="G14" s="94"/>
      <c r="H14" s="96"/>
      <c r="I14" s="98"/>
      <c r="J14" s="100"/>
      <c r="K14" s="102"/>
      <c r="L14" s="87"/>
      <c r="M14" s="87"/>
      <c r="N14" s="77"/>
      <c r="O14" s="77"/>
      <c r="P14" s="83"/>
      <c r="Q14" s="83"/>
      <c r="R14" s="77"/>
      <c r="S14" s="77"/>
      <c r="T14" s="77"/>
      <c r="U14" s="77"/>
      <c r="V14" s="75"/>
      <c r="W14" s="77"/>
      <c r="X14" s="79"/>
      <c r="Y14" s="70"/>
      <c r="Z14" s="70"/>
      <c r="AA14" s="81"/>
      <c r="AB14" s="70"/>
      <c r="AC14" s="70"/>
      <c r="AD14" s="70"/>
      <c r="AE14" s="135"/>
      <c r="AF14" s="73"/>
      <c r="AG14" s="14">
        <f>IF(AF13=0,0,AF13*24 + 0.5)</f>
        <v>0</v>
      </c>
      <c r="AH14" s="11">
        <f>AG14/24</f>
        <v>0</v>
      </c>
      <c r="AI14" s="10">
        <f>IF(AG14=0,0,AG14+0.5)</f>
        <v>0</v>
      </c>
      <c r="AJ14" s="12">
        <f>IF(AI14=0,0,AI14/24)</f>
        <v>0</v>
      </c>
      <c r="AK14" s="10">
        <f>IF(AG14=0,0,AG14+1.5)</f>
        <v>0</v>
      </c>
      <c r="AL14" s="13">
        <f>AK14/24</f>
        <v>0</v>
      </c>
      <c r="AM14" s="131"/>
      <c r="AN14" s="142">
        <f>AQ5+1</f>
        <v>23</v>
      </c>
      <c r="AO14" s="39"/>
      <c r="AQ14" s="104"/>
      <c r="AU14" s="43" t="s">
        <v>45</v>
      </c>
    </row>
    <row r="15" spans="2:49" ht="43.5" x14ac:dyDescent="0.35">
      <c r="C15" s="145" t="s">
        <v>68</v>
      </c>
      <c r="D15" s="89" t="str">
        <f>IF(D13="Vendredi","Lundi",IF(D13="Lundi","Mardi",IF(D13="Mardi","Mercredi",IF(D13="Mercredi","Jeudi",IF(D13="Jeudi","Vendredi")))))</f>
        <v>Lundi</v>
      </c>
      <c r="E15" s="89" t="str">
        <f>"8 "&amp; $AR$5</f>
        <v>8 Juin</v>
      </c>
      <c r="F15" s="91" t="s">
        <v>20</v>
      </c>
      <c r="G15" s="93"/>
      <c r="H15" s="95"/>
      <c r="I15" s="97"/>
      <c r="J15" s="99"/>
      <c r="K15" s="101">
        <v>0.31111111111111112</v>
      </c>
      <c r="L15" s="86">
        <v>0.32500000000000001</v>
      </c>
      <c r="M15" s="88">
        <v>3.125E-2</v>
      </c>
      <c r="N15" s="76">
        <f t="shared" ref="N15" si="34">M15*24</f>
        <v>0.75</v>
      </c>
      <c r="O15" s="85">
        <f t="shared" ref="O15" si="35">I15-H15</f>
        <v>0</v>
      </c>
      <c r="P15" s="82">
        <f t="shared" ref="P15" si="36">IF(O15&lt;0.75,IF(I15=0,0,I15-H15),M15)</f>
        <v>0</v>
      </c>
      <c r="Q15" s="82">
        <f t="shared" ref="Q15" si="37">IF(R15&lt;0,0,R15/24)</f>
        <v>0</v>
      </c>
      <c r="R15" s="84" t="str">
        <f>IF(P15=0,"0",M15*24-P15*24)</f>
        <v>0</v>
      </c>
      <c r="S15" s="76">
        <f>P15*24</f>
        <v>0</v>
      </c>
      <c r="T15" s="76">
        <f t="shared" ref="T15" si="38">IF(R15&lt;0,S15,S15+R15)</f>
        <v>0</v>
      </c>
      <c r="U15" s="76">
        <f>IF(T15&lt;=0.75,M15,T15/24)</f>
        <v>3.125E-2</v>
      </c>
      <c r="V15" s="74">
        <f>G15*24</f>
        <v>0</v>
      </c>
      <c r="W15" s="76">
        <f>IF(S15&gt;0.75, V15+L15*24+P15*24,V15+L15*24+M15*24)</f>
        <v>8.5500000000000007</v>
      </c>
      <c r="X15" s="78">
        <f>IF(J15=0,24*(H15-G15)-(K15*24+1/6),(24*(J15-G15)-((U15*24)+(L15*24))))</f>
        <v>-7.6333333333333337</v>
      </c>
      <c r="Y15" s="71">
        <f t="shared" ref="Y15" si="39">IF(X15&lt;=-7.63,0,IF(X15&gt;=0,0,IF(X15&lt;0,ABS(X15)/24,"0")))</f>
        <v>0</v>
      </c>
      <c r="Z15" s="71" t="str">
        <f t="shared" ref="Z15" si="40">IF(X15&lt;0,"0",ABS(X15)/24)</f>
        <v>0</v>
      </c>
      <c r="AA15" s="80">
        <f>IF(X15&lt;-7.63,0,SUM($X$7:X16)+$AA$5)</f>
        <v>0</v>
      </c>
      <c r="AB15" s="69" t="str">
        <f t="shared" si="29"/>
        <v>Heure d'arrivée non rentrée</v>
      </c>
      <c r="AC15" s="71" t="str">
        <f t="shared" si="30"/>
        <v>Heure d'arrivée non rentrée</v>
      </c>
      <c r="AD15" s="71">
        <f t="shared" ref="AD15" si="41">IF(G15=0,0,IF(H15=0, "Heure de repas non rentrée",IF(I15=0, H15-G15, IF(J15=0,"Heure de sortie non rentrée",IF(Y15=0,(K15+Z15),K15-Y15)))))</f>
        <v>0</v>
      </c>
      <c r="AE15" s="134" t="str">
        <f t="shared" ref="AE15" si="42">IF(G15=0,"",IF($AS$5="Heure d'arrivée non rentrée","",IF($AS$5="heure de départ en pause repas non rentrée","",IF($AS$5="Heure de fin de repas non rentrée","",IF($AS$5="Heure de sortie non rentrée","",IF($AT$5="Heure d'arrivée non rentrée","",IF($AT$5="heure de départ en pause repas non rentrée","",IF($AT$5="Heure de fin de repas non rentrée","",IF($AT$5="Heure de sortie non rentrée","",IF($AS$5&gt;0,AF15+$AS$5,IF($AT$5&gt;0,AF15:AF16-$AT$5,"")))))))))))</f>
        <v/>
      </c>
      <c r="AF15" s="72">
        <f t="shared" ref="AF15" si="43">IF(W15=8.55,0,W15/24)</f>
        <v>0</v>
      </c>
      <c r="AG15" s="3" t="s">
        <v>3</v>
      </c>
      <c r="AH15" s="1" t="s">
        <v>3</v>
      </c>
      <c r="AI15" s="1" t="s">
        <v>4</v>
      </c>
      <c r="AJ15" s="1" t="s">
        <v>4</v>
      </c>
      <c r="AK15" s="1" t="s">
        <v>5</v>
      </c>
      <c r="AL15" s="9" t="s">
        <v>5</v>
      </c>
      <c r="AM15" s="131">
        <v>8</v>
      </c>
      <c r="AN15" s="142">
        <f>AQ5+1</f>
        <v>23</v>
      </c>
      <c r="AO15" s="39"/>
      <c r="AQ15" s="104"/>
      <c r="AU15" s="43" t="s">
        <v>46</v>
      </c>
    </row>
    <row r="16" spans="2:49" ht="15" thickBot="1" x14ac:dyDescent="0.4">
      <c r="C16" s="147"/>
      <c r="D16" s="103"/>
      <c r="E16" s="90"/>
      <c r="F16" s="92"/>
      <c r="G16" s="94"/>
      <c r="H16" s="96"/>
      <c r="I16" s="98"/>
      <c r="J16" s="100"/>
      <c r="K16" s="102"/>
      <c r="L16" s="87"/>
      <c r="M16" s="87"/>
      <c r="N16" s="77"/>
      <c r="O16" s="77"/>
      <c r="P16" s="83"/>
      <c r="Q16" s="83"/>
      <c r="R16" s="77"/>
      <c r="S16" s="77"/>
      <c r="T16" s="77"/>
      <c r="U16" s="77"/>
      <c r="V16" s="75"/>
      <c r="W16" s="77"/>
      <c r="X16" s="79"/>
      <c r="Y16" s="70"/>
      <c r="Z16" s="70"/>
      <c r="AA16" s="81"/>
      <c r="AB16" s="70"/>
      <c r="AC16" s="70"/>
      <c r="AD16" s="70"/>
      <c r="AE16" s="135"/>
      <c r="AF16" s="73"/>
      <c r="AG16" s="14">
        <f>IF(AF15=0,0,AF15*24 + 0.5)</f>
        <v>0</v>
      </c>
      <c r="AH16" s="11">
        <f>AG16/24</f>
        <v>0</v>
      </c>
      <c r="AI16" s="10">
        <f>IF(AG16=0,0,AG16+0.5)</f>
        <v>0</v>
      </c>
      <c r="AJ16" s="12">
        <f>IF(AI16=0,0,AI16/24)</f>
        <v>0</v>
      </c>
      <c r="AK16" s="10">
        <f>IF(AG16=0,0,AG16+1.5)</f>
        <v>0</v>
      </c>
      <c r="AL16" s="13">
        <f>AK16/24</f>
        <v>0</v>
      </c>
      <c r="AM16" s="131"/>
      <c r="AN16" s="142">
        <f>AQ5+1</f>
        <v>23</v>
      </c>
      <c r="AO16" s="39"/>
      <c r="AQ16" s="104"/>
      <c r="AU16" s="43" t="s">
        <v>47</v>
      </c>
    </row>
    <row r="17" spans="3:47" ht="36" customHeight="1" x14ac:dyDescent="0.35">
      <c r="C17" s="145"/>
      <c r="D17" s="89" t="str">
        <f>IF(D15="Vendredi","Lundi",IF(D15="Lundi","Mardi",IF(D15="Mardi","Mercredi",IF(D15="Mercredi","Jeudi",IF(D15="Jeudi","Vendredi")))))</f>
        <v>Mardi</v>
      </c>
      <c r="E17" s="103" t="str">
        <f>"9 "&amp; $AR$5</f>
        <v>9 Juin</v>
      </c>
      <c r="F17" s="91" t="s">
        <v>20</v>
      </c>
      <c r="G17" s="93"/>
      <c r="H17" s="95"/>
      <c r="I17" s="97"/>
      <c r="J17" s="99"/>
      <c r="K17" s="101">
        <v>0.31111111111111101</v>
      </c>
      <c r="L17" s="86">
        <v>0.32500000000000001</v>
      </c>
      <c r="M17" s="88">
        <v>3.125E-2</v>
      </c>
      <c r="N17" s="76">
        <f t="shared" ref="N17" si="44">M17*24</f>
        <v>0.75</v>
      </c>
      <c r="O17" s="85">
        <f t="shared" ref="O17" si="45">I17-H17</f>
        <v>0</v>
      </c>
      <c r="P17" s="82">
        <f t="shared" ref="P17" si="46">IF(O17&lt;0.75,IF(I17=0,0,I17-H17),M17)</f>
        <v>0</v>
      </c>
      <c r="Q17" s="82">
        <f t="shared" ref="Q17" si="47">IF(R17&lt;0,0,R17/24)</f>
        <v>0</v>
      </c>
      <c r="R17" s="84" t="str">
        <f>IF(P17=0,"0",M17*24-P17*24)</f>
        <v>0</v>
      </c>
      <c r="S17" s="76">
        <f>P17*24</f>
        <v>0</v>
      </c>
      <c r="T17" s="76">
        <f t="shared" ref="T17" si="48">IF(R17&lt;0,S17,S17+R17)</f>
        <v>0</v>
      </c>
      <c r="U17" s="76">
        <f>IF(T17&lt;=0.75,M17,T17/24)</f>
        <v>3.125E-2</v>
      </c>
      <c r="V17" s="74">
        <f>G17*24</f>
        <v>0</v>
      </c>
      <c r="W17" s="76">
        <f>IF(S17&gt;0.75, V17+L17*24+P17*24,V17+L17*24+M17*24)</f>
        <v>8.5500000000000007</v>
      </c>
      <c r="X17" s="78">
        <f>IF(J17=0,24*(H17-G17)-(K17*24+1/6),(24*(J17-G17)-((U17*24)+(L17*24))))</f>
        <v>-7.6333333333333311</v>
      </c>
      <c r="Y17" s="71">
        <f t="shared" ref="Y17" si="49">IF(X17&lt;=-7.63,0,IF(X17&gt;=0,0,IF(X17&lt;0,ABS(X17)/24,"0")))</f>
        <v>0</v>
      </c>
      <c r="Z17" s="71" t="str">
        <f t="shared" ref="Z17" si="50">IF(X17&lt;0,"0",ABS(X17)/24)</f>
        <v>0</v>
      </c>
      <c r="AA17" s="80">
        <f>IF(X17&lt;-7.63,0,SUM($X$7:X18)+$AA$5)</f>
        <v>0</v>
      </c>
      <c r="AB17" s="69" t="str">
        <f t="shared" si="29"/>
        <v>Heure d'arrivée non rentrée</v>
      </c>
      <c r="AC17" s="71" t="str">
        <f t="shared" si="30"/>
        <v>Heure d'arrivée non rentrée</v>
      </c>
      <c r="AD17" s="71">
        <f t="shared" ref="AD17" si="51">IF(G17=0,0,IF(H17=0, "Heure de repas non rentrée",IF(I17=0, H17-G17, IF(J17=0,"Heure de sortie non rentrée",IF(Y17=0,(K17+Z17),K17-Y17)))))</f>
        <v>0</v>
      </c>
      <c r="AE17" s="134" t="str">
        <f t="shared" ref="AE17" si="52">IF(G17=0,"",IF($AS$5="Heure d'arrivée non rentrée","",IF($AS$5="heure de départ en pause repas non rentrée","",IF($AS$5="Heure de fin de repas non rentrée","",IF($AS$5="Heure de sortie non rentrée","",IF($AT$5="Heure d'arrivée non rentrée","",IF($AT$5="heure de départ en pause repas non rentrée","",IF($AT$5="Heure de fin de repas non rentrée","",IF($AT$5="Heure de sortie non rentrée","",IF($AS$5&gt;0,AF17+$AS$5,IF($AT$5&gt;0,AF17:AF18-$AT$5,"")))))))))))</f>
        <v/>
      </c>
      <c r="AF17" s="72">
        <f t="shared" ref="AF17" si="53">IF(W17=8.55,0,W17/24)</f>
        <v>0</v>
      </c>
      <c r="AG17" s="3" t="s">
        <v>3</v>
      </c>
      <c r="AH17" s="1" t="s">
        <v>3</v>
      </c>
      <c r="AI17" s="1" t="s">
        <v>4</v>
      </c>
      <c r="AJ17" s="1" t="s">
        <v>4</v>
      </c>
      <c r="AK17" s="1" t="s">
        <v>5</v>
      </c>
      <c r="AL17" s="9" t="s">
        <v>5</v>
      </c>
      <c r="AM17" s="131">
        <v>9</v>
      </c>
      <c r="AN17" s="142">
        <f>AQ5+1</f>
        <v>23</v>
      </c>
      <c r="AO17" s="39"/>
      <c r="AQ17" s="104"/>
      <c r="AU17" s="43" t="s">
        <v>48</v>
      </c>
    </row>
    <row r="18" spans="3:47" ht="15" customHeight="1" thickBot="1" x14ac:dyDescent="0.4">
      <c r="C18" s="147"/>
      <c r="D18" s="103"/>
      <c r="E18" s="103"/>
      <c r="F18" s="92"/>
      <c r="G18" s="94"/>
      <c r="H18" s="96"/>
      <c r="I18" s="98"/>
      <c r="J18" s="100"/>
      <c r="K18" s="102"/>
      <c r="L18" s="87"/>
      <c r="M18" s="87"/>
      <c r="N18" s="77"/>
      <c r="O18" s="77"/>
      <c r="P18" s="83"/>
      <c r="Q18" s="83"/>
      <c r="R18" s="77"/>
      <c r="S18" s="77"/>
      <c r="T18" s="77"/>
      <c r="U18" s="77"/>
      <c r="V18" s="75"/>
      <c r="W18" s="77"/>
      <c r="X18" s="79"/>
      <c r="Y18" s="70"/>
      <c r="Z18" s="70"/>
      <c r="AA18" s="81"/>
      <c r="AB18" s="70"/>
      <c r="AC18" s="70"/>
      <c r="AD18" s="70"/>
      <c r="AE18" s="135"/>
      <c r="AF18" s="73"/>
      <c r="AG18" s="14">
        <f>IF(AF17=0,0,AF17*24 + 0.5)</f>
        <v>0</v>
      </c>
      <c r="AH18" s="11">
        <f>AG18/24</f>
        <v>0</v>
      </c>
      <c r="AI18" s="10">
        <f>IF(AG18=0,0,AG18+0.5)</f>
        <v>0</v>
      </c>
      <c r="AJ18" s="12">
        <f>IF(AI18=0,0,AI18/24)</f>
        <v>0</v>
      </c>
      <c r="AK18" s="10">
        <f>IF(AG18=0,0,AG18+1.5)</f>
        <v>0</v>
      </c>
      <c r="AL18" s="13">
        <f>AK18/24</f>
        <v>0</v>
      </c>
      <c r="AM18" s="131"/>
      <c r="AN18" s="142">
        <f>AQ5+1</f>
        <v>23</v>
      </c>
      <c r="AO18" s="39"/>
      <c r="AQ18" s="104"/>
      <c r="AU18" s="43" t="s">
        <v>43</v>
      </c>
    </row>
    <row r="19" spans="3:47" ht="36.5" customHeight="1" x14ac:dyDescent="0.35">
      <c r="C19" s="145"/>
      <c r="D19" s="89" t="str">
        <f t="shared" ref="D19" si="54">IF(D17="Vendredi","Lundi",IF(D17="Lundi","Mardi",IF(D17="Mardi","Mercredi",IF(D17="Mercredi","Jeudi",IF(D17="Jeudi","Vendredi")))))</f>
        <v>Mercredi</v>
      </c>
      <c r="E19" s="89" t="str">
        <f>"10 "&amp; $AR$5</f>
        <v>10 Juin</v>
      </c>
      <c r="F19" s="91" t="s">
        <v>20</v>
      </c>
      <c r="G19" s="93"/>
      <c r="H19" s="95"/>
      <c r="I19" s="97"/>
      <c r="J19" s="99"/>
      <c r="K19" s="101">
        <v>0.31111111111111101</v>
      </c>
      <c r="L19" s="86">
        <v>0.32500000000000001</v>
      </c>
      <c r="M19" s="88">
        <v>3.125E-2</v>
      </c>
      <c r="N19" s="76">
        <f t="shared" ref="N19" si="55">M19*24</f>
        <v>0.75</v>
      </c>
      <c r="O19" s="85">
        <f t="shared" ref="O19" si="56">I19-H19</f>
        <v>0</v>
      </c>
      <c r="P19" s="82">
        <f t="shared" ref="P19" si="57">IF(O19&lt;0.75,IF(I19=0,0,I19-H19),M19)</f>
        <v>0</v>
      </c>
      <c r="Q19" s="82">
        <f t="shared" ref="Q19" si="58">IF(R19&lt;0,0,R19/24)</f>
        <v>0</v>
      </c>
      <c r="R19" s="84" t="str">
        <f>IF(P19=0,"0",M19*24-P19*24)</f>
        <v>0</v>
      </c>
      <c r="S19" s="76">
        <f>P19*24</f>
        <v>0</v>
      </c>
      <c r="T19" s="76">
        <f t="shared" ref="T19" si="59">IF(R19&lt;0,S19,S19+R19)</f>
        <v>0</v>
      </c>
      <c r="U19" s="76">
        <f>IF(T19&lt;=0.75,M19,T19/24)</f>
        <v>3.125E-2</v>
      </c>
      <c r="V19" s="74">
        <f>G19*24</f>
        <v>0</v>
      </c>
      <c r="W19" s="76">
        <f>IF(S19&gt;0.75, V19+L19*24+P19*24,V19+L19*24+M19*24)</f>
        <v>8.5500000000000007</v>
      </c>
      <c r="X19" s="78">
        <f>IF(J19=0,24*(H19-G19)-(K19*24+1/6),(24*(J19-G19)-((U19*24)+(L19*24))))</f>
        <v>-7.6333333333333311</v>
      </c>
      <c r="Y19" s="71">
        <f t="shared" ref="Y19" si="60">IF(X19&lt;=-7.63,0,IF(X19&gt;=0,0,IF(X19&lt;0,ABS(X19)/24,"0")))</f>
        <v>0</v>
      </c>
      <c r="Z19" s="71" t="str">
        <f t="shared" ref="Z19" si="61">IF(X19&lt;0,"0",ABS(X19)/24)</f>
        <v>0</v>
      </c>
      <c r="AA19" s="80">
        <f>IF(X19&lt;-7.63,0,SUM($X$7:X20)+$AA$5)</f>
        <v>0</v>
      </c>
      <c r="AB19" s="69" t="str">
        <f t="shared" si="29"/>
        <v>Heure d'arrivée non rentrée</v>
      </c>
      <c r="AC19" s="71" t="str">
        <f t="shared" si="30"/>
        <v>Heure d'arrivée non rentrée</v>
      </c>
      <c r="AD19" s="71">
        <f t="shared" ref="AD19" si="62">IF(G19=0,0,IF(H19=0, "Heure de repas non rentrée",IF(I19=0, H19-G19, IF(J19=0,"Heure de sortie non rentrée",IF(Y19=0,(K19+Z19),K19-Y19)))))</f>
        <v>0</v>
      </c>
      <c r="AE19" s="134" t="str">
        <f t="shared" ref="AE19" si="63">IF(G19=0,"",IF($AS$5="Heure d'arrivée non rentrée","",IF($AS$5="heure de départ en pause repas non rentrée","",IF($AS$5="Heure de fin de repas non rentrée","",IF($AS$5="Heure de sortie non rentrée","",IF($AT$5="Heure d'arrivée non rentrée","",IF($AT$5="heure de départ en pause repas non rentrée","",IF($AT$5="Heure de fin de repas non rentrée","",IF($AT$5="Heure de sortie non rentrée","",IF($AS$5&gt;0,AF19+$AS$5,IF($AT$5&gt;0,AF19:AF20-$AT$5,"")))))))))))</f>
        <v/>
      </c>
      <c r="AF19" s="72">
        <f t="shared" ref="AF19" si="64">IF(W19=8.55,0,W19/24)</f>
        <v>0</v>
      </c>
      <c r="AG19" s="3" t="s">
        <v>3</v>
      </c>
      <c r="AH19" s="1" t="s">
        <v>3</v>
      </c>
      <c r="AI19" s="1" t="s">
        <v>4</v>
      </c>
      <c r="AJ19" s="1" t="s">
        <v>4</v>
      </c>
      <c r="AK19" s="1" t="s">
        <v>5</v>
      </c>
      <c r="AL19" s="9" t="s">
        <v>5</v>
      </c>
      <c r="AM19" s="131">
        <v>10</v>
      </c>
      <c r="AN19" s="142">
        <f>AQ5+1</f>
        <v>23</v>
      </c>
      <c r="AO19" s="39"/>
      <c r="AQ19" s="104"/>
      <c r="AU19" s="43" t="s">
        <v>49</v>
      </c>
    </row>
    <row r="20" spans="3:47" ht="15" customHeight="1" thickBot="1" x14ac:dyDescent="0.4">
      <c r="C20" s="147"/>
      <c r="D20" s="103"/>
      <c r="E20" s="90"/>
      <c r="F20" s="92"/>
      <c r="G20" s="94"/>
      <c r="H20" s="96"/>
      <c r="I20" s="98"/>
      <c r="J20" s="100"/>
      <c r="K20" s="102"/>
      <c r="L20" s="87"/>
      <c r="M20" s="87"/>
      <c r="N20" s="77"/>
      <c r="O20" s="77"/>
      <c r="P20" s="83"/>
      <c r="Q20" s="83"/>
      <c r="R20" s="77"/>
      <c r="S20" s="77"/>
      <c r="T20" s="77"/>
      <c r="U20" s="77"/>
      <c r="V20" s="75"/>
      <c r="W20" s="77"/>
      <c r="X20" s="79"/>
      <c r="Y20" s="70"/>
      <c r="Z20" s="70"/>
      <c r="AA20" s="81"/>
      <c r="AB20" s="70"/>
      <c r="AC20" s="70"/>
      <c r="AD20" s="70"/>
      <c r="AE20" s="135"/>
      <c r="AF20" s="73"/>
      <c r="AG20" s="14">
        <f>IF(AF19=0,0,AF19*24 + 0.5)</f>
        <v>0</v>
      </c>
      <c r="AH20" s="11">
        <f>AG20/24</f>
        <v>0</v>
      </c>
      <c r="AI20" s="10">
        <f>IF(AG20=0,0,AG20+0.5)</f>
        <v>0</v>
      </c>
      <c r="AJ20" s="12">
        <f>IF(AI20=0,0,AI20/24)</f>
        <v>0</v>
      </c>
      <c r="AK20" s="10">
        <f>IF(AG20=0,0,AG20+1.5)</f>
        <v>0</v>
      </c>
      <c r="AL20" s="13">
        <f>AK20/24</f>
        <v>0</v>
      </c>
      <c r="AM20" s="138"/>
      <c r="AN20" s="143">
        <f>AQ5+1</f>
        <v>23</v>
      </c>
      <c r="AO20" s="39"/>
      <c r="AQ20" s="104"/>
      <c r="AU20" s="43" t="s">
        <v>50</v>
      </c>
    </row>
    <row r="21" spans="3:47" ht="43.5" x14ac:dyDescent="0.35">
      <c r="C21" s="145"/>
      <c r="D21" s="89" t="str">
        <f t="shared" ref="D21" si="65">IF(D19="Vendredi","Lundi",IF(D19="Lundi","Mardi",IF(D19="Mardi","Mercredi",IF(D19="Mercredi","Jeudi",IF(D19="Jeudi","Vendredi")))))</f>
        <v>Jeudi</v>
      </c>
      <c r="E21" s="89" t="str">
        <f>"13 "&amp; $AR$5</f>
        <v>13 Juin</v>
      </c>
      <c r="F21" s="91" t="s">
        <v>20</v>
      </c>
      <c r="G21" s="93"/>
      <c r="H21" s="95"/>
      <c r="I21" s="97"/>
      <c r="J21" s="99"/>
      <c r="K21" s="101">
        <v>0.31111111111111101</v>
      </c>
      <c r="L21" s="86">
        <v>0.32500000000000001</v>
      </c>
      <c r="M21" s="88">
        <v>3.125E-2</v>
      </c>
      <c r="N21" s="76">
        <f t="shared" ref="N21" si="66">M21*24</f>
        <v>0.75</v>
      </c>
      <c r="O21" s="85">
        <f t="shared" ref="O21" si="67">I21-H21</f>
        <v>0</v>
      </c>
      <c r="P21" s="82">
        <f t="shared" ref="P21" si="68">IF(O21&lt;0.75,IF(I21=0,0,I21-H21),M21)</f>
        <v>0</v>
      </c>
      <c r="Q21" s="82">
        <f t="shared" ref="Q21" si="69">IF(R21&lt;0,0,R21/24)</f>
        <v>0</v>
      </c>
      <c r="R21" s="84" t="str">
        <f t="shared" ref="R21" si="70">IF(P21=0,"0",M21*24-P21*24)</f>
        <v>0</v>
      </c>
      <c r="S21" s="76">
        <f t="shared" ref="S21" si="71">P21*24</f>
        <v>0</v>
      </c>
      <c r="T21" s="76">
        <f t="shared" ref="T21" si="72">IF(R21&lt;0,S21,S21+R21)</f>
        <v>0</v>
      </c>
      <c r="U21" s="76">
        <f t="shared" ref="U21" si="73">IF(T21&lt;=0.75,M21,T21/24)</f>
        <v>3.125E-2</v>
      </c>
      <c r="V21" s="74">
        <f t="shared" ref="V21" si="74">G21*24</f>
        <v>0</v>
      </c>
      <c r="W21" s="76">
        <f t="shared" ref="W21" si="75">IF(S21&gt;0.75, V21+L21*24+P21*24,V21+L21*24+M21*24)</f>
        <v>8.5500000000000007</v>
      </c>
      <c r="X21" s="78">
        <f t="shared" ref="X21" si="76">IF(J21=0,24*(H21-G21)-(K21*24+1/6),(24*(J21-G21)-((U21*24)+(L21*24))))</f>
        <v>-7.6333333333333311</v>
      </c>
      <c r="Y21" s="71">
        <f t="shared" ref="Y21" si="77">IF(X21&lt;=-7.63,0,IF(X21&gt;=0,0,IF(X21&lt;0,ABS(X21)/24,"0")))</f>
        <v>0</v>
      </c>
      <c r="Z21" s="71" t="str">
        <f t="shared" ref="Z21" si="78">IF(X21&lt;0,"0",ABS(X21)/24)</f>
        <v>0</v>
      </c>
      <c r="AA21" s="80">
        <f>IF(X21&lt;-7.63,0,SUM($X$7:X22)+$AA$5)</f>
        <v>0</v>
      </c>
      <c r="AB21" s="69" t="str">
        <f t="shared" ref="AB21" si="79">IF(G21=0,"Heure d'arrivée non rentrée",IF((H21=0),"heure de départ en pause repas non rentrée",IF(I21=0,"Heure de fin de repas non rentrée",IF(J21=0,"Heure de sortie non rentrée",IF(AA21&lt;0,ABS(AA21)/24,0)))))</f>
        <v>Heure d'arrivée non rentrée</v>
      </c>
      <c r="AC21" s="71" t="str">
        <f t="shared" ref="AC21" si="80">IF(G21=0,"Heure d'arrivée non rentrée",IF((H21=0),"heure de départ en pause repas non rentrée",IF(I21=0,"Heure de fin de repas non rentrée",IF(J21=0,"Heure de sortie non rentrée",IF(AA21&gt;0,ABS(AA21)/24,0)))))</f>
        <v>Heure d'arrivée non rentrée</v>
      </c>
      <c r="AD21" s="71">
        <f t="shared" ref="AD21" si="81">IF(G21=0,0,IF(H21=0, "Heure de repas non rentrée",IF(I21=0, H21-G21, IF(J21=0,"Heure de sortie non rentrée",IF(Y21=0,(K21+Z21),K21-Y21)))))</f>
        <v>0</v>
      </c>
      <c r="AE21" s="134" t="str">
        <f t="shared" ref="AE21" si="82">IF(G21=0,"",IF($AS$5="Heure d'arrivée non rentrée","",IF($AS$5="heure de départ en pause repas non rentrée","",IF($AS$5="Heure de fin de repas non rentrée","",IF($AS$5="Heure de sortie non rentrée","",IF($AT$5="Heure d'arrivée non rentrée","",IF($AT$5="heure de départ en pause repas non rentrée","",IF($AT$5="Heure de fin de repas non rentrée","",IF($AT$5="Heure de sortie non rentrée","",IF($AS$5&gt;0,AF21+$AS$5,IF($AT$5&gt;0,AF21:AF22-$AT$5,"")))))))))))</f>
        <v/>
      </c>
      <c r="AF21" s="72">
        <f t="shared" ref="AF21" si="83">IF(W21=8.55,0,W21/24)</f>
        <v>0</v>
      </c>
      <c r="AG21" s="3" t="s">
        <v>3</v>
      </c>
      <c r="AH21" s="1" t="s">
        <v>3</v>
      </c>
      <c r="AI21" s="1" t="s">
        <v>4</v>
      </c>
      <c r="AJ21" s="1" t="s">
        <v>4</v>
      </c>
      <c r="AK21" s="1" t="s">
        <v>5</v>
      </c>
      <c r="AL21" s="9" t="s">
        <v>5</v>
      </c>
      <c r="AM21" s="129">
        <v>13</v>
      </c>
      <c r="AN21" s="141">
        <f>AQ5+2</f>
        <v>24</v>
      </c>
      <c r="AO21" s="39"/>
      <c r="AU21" s="43" t="s">
        <v>51</v>
      </c>
    </row>
    <row r="22" spans="3:47" ht="15" thickBot="1" x14ac:dyDescent="0.4">
      <c r="C22" s="147"/>
      <c r="D22" s="103"/>
      <c r="E22" s="90"/>
      <c r="F22" s="92"/>
      <c r="G22" s="94"/>
      <c r="H22" s="96"/>
      <c r="I22" s="98"/>
      <c r="J22" s="100"/>
      <c r="K22" s="102"/>
      <c r="L22" s="87"/>
      <c r="M22" s="87"/>
      <c r="N22" s="77"/>
      <c r="O22" s="77"/>
      <c r="P22" s="83"/>
      <c r="Q22" s="83"/>
      <c r="R22" s="77"/>
      <c r="S22" s="77"/>
      <c r="T22" s="77"/>
      <c r="U22" s="77"/>
      <c r="V22" s="75"/>
      <c r="W22" s="77"/>
      <c r="X22" s="79"/>
      <c r="Y22" s="70"/>
      <c r="Z22" s="70"/>
      <c r="AA22" s="81"/>
      <c r="AB22" s="70"/>
      <c r="AC22" s="70"/>
      <c r="AD22" s="70"/>
      <c r="AE22" s="135"/>
      <c r="AF22" s="73"/>
      <c r="AG22" s="14">
        <f t="shared" ref="AG22" si="84">IF(AF21=0,0,AF21*24 + 0.5)</f>
        <v>0</v>
      </c>
      <c r="AH22" s="11">
        <f t="shared" ref="AH22" si="85">AG22/24</f>
        <v>0</v>
      </c>
      <c r="AI22" s="10">
        <f t="shared" ref="AI22" si="86">IF(AG22=0,0,AG22+0.5)</f>
        <v>0</v>
      </c>
      <c r="AJ22" s="12">
        <f t="shared" ref="AJ22" si="87">IF(AI22=0,0,AI22/24)</f>
        <v>0</v>
      </c>
      <c r="AK22" s="10">
        <f t="shared" ref="AK22" si="88">IF(AG22=0,0,AG22+1.5)</f>
        <v>0</v>
      </c>
      <c r="AL22" s="13">
        <f t="shared" ref="AL22" si="89">AK22/24</f>
        <v>0</v>
      </c>
      <c r="AM22" s="131"/>
      <c r="AN22" s="142">
        <f>AQ5+2</f>
        <v>24</v>
      </c>
      <c r="AO22" s="39"/>
      <c r="AU22" s="43" t="s">
        <v>52</v>
      </c>
    </row>
    <row r="23" spans="3:47" ht="43.5" x14ac:dyDescent="0.35">
      <c r="C23" s="145"/>
      <c r="D23" s="89" t="str">
        <f t="shared" ref="D23:D51" si="90">IF(D21="Vendredi","Lundi",IF(D21="Lundi","Mardi",IF(D21="Mardi","Mercredi",IF(D21="Mercredi","Jeudi",IF(D21="Jeudi","Vendredi")))))</f>
        <v>Vendredi</v>
      </c>
      <c r="E23" s="89" t="str">
        <f>"14 "&amp; $AR$5</f>
        <v>14 Juin</v>
      </c>
      <c r="F23" s="91" t="s">
        <v>20</v>
      </c>
      <c r="G23" s="93"/>
      <c r="H23" s="95"/>
      <c r="I23" s="97"/>
      <c r="J23" s="99"/>
      <c r="K23" s="101">
        <v>0.31111111111111101</v>
      </c>
      <c r="L23" s="86">
        <v>0.32500000000000001</v>
      </c>
      <c r="M23" s="88">
        <v>3.125E-2</v>
      </c>
      <c r="N23" s="76">
        <f t="shared" ref="N23" si="91">M23*24</f>
        <v>0.75</v>
      </c>
      <c r="O23" s="85">
        <f t="shared" ref="O23" si="92">I23-H23</f>
        <v>0</v>
      </c>
      <c r="P23" s="82">
        <f t="shared" ref="P23" si="93">IF(O23&lt;0.75,IF(I23=0,0,I23-H23),M23)</f>
        <v>0</v>
      </c>
      <c r="Q23" s="82">
        <f t="shared" ref="Q23" si="94">IF(R23&lt;0,0,R23/24)</f>
        <v>0</v>
      </c>
      <c r="R23" s="84" t="str">
        <f t="shared" ref="R23" si="95">IF(P23=0,"0",M23*24-P23*24)</f>
        <v>0</v>
      </c>
      <c r="S23" s="76">
        <f t="shared" ref="S23" si="96">P23*24</f>
        <v>0</v>
      </c>
      <c r="T23" s="76">
        <f t="shared" ref="T23" si="97">IF(R23&lt;0,S23,S23+R23)</f>
        <v>0</v>
      </c>
      <c r="U23" s="76">
        <f t="shared" ref="U23" si="98">IF(T23&lt;=0.75,M23,T23/24)</f>
        <v>3.125E-2</v>
      </c>
      <c r="V23" s="74">
        <f t="shared" ref="V23" si="99">G23*24</f>
        <v>0</v>
      </c>
      <c r="W23" s="76">
        <f t="shared" ref="W23" si="100">IF(S23&gt;0.75, V23+L23*24+P23*24,V23+L23*24+M23*24)</f>
        <v>8.5500000000000007</v>
      </c>
      <c r="X23" s="78">
        <f t="shared" ref="X23" si="101">IF(J23=0,24*(H23-G23)-(K23*24+1/6),(24*(J23-G23)-((U23*24)+(L23*24))))</f>
        <v>-7.6333333333333311</v>
      </c>
      <c r="Y23" s="71">
        <f t="shared" ref="Y23" si="102">IF(X23&lt;=-7.63,0,IF(X23&gt;=0,0,IF(X23&lt;0,ABS(X23)/24,"0")))</f>
        <v>0</v>
      </c>
      <c r="Z23" s="71" t="str">
        <f t="shared" ref="Z23" si="103">IF(X23&lt;0,"0",ABS(X23)/24)</f>
        <v>0</v>
      </c>
      <c r="AA23" s="80">
        <f>IF(X23&lt;-7.63,0,SUM($X$7:X24)+$AA$5)</f>
        <v>0</v>
      </c>
      <c r="AB23" s="69" t="str">
        <f t="shared" ref="AB23" si="104">IF(G23=0,"Heure d'arrivée non rentrée",IF((H23=0),"heure de départ en pause repas non rentrée",IF(I23=0,"Heure de fin de repas non rentrée",IF(J23=0,"Heure de sortie non rentrée",IF(AA23&lt;0,ABS(AA23)/24,0)))))</f>
        <v>Heure d'arrivée non rentrée</v>
      </c>
      <c r="AC23" s="71" t="str">
        <f t="shared" ref="AC23" si="105">IF(G23=0,"Heure d'arrivée non rentrée",IF((H23=0),"heure de départ en pause repas non rentrée",IF(I23=0,"Heure de fin de repas non rentrée",IF(J23=0,"Heure de sortie non rentrée",IF(AA23&gt;0,ABS(AA23)/24,0)))))</f>
        <v>Heure d'arrivée non rentrée</v>
      </c>
      <c r="AD23" s="71">
        <f t="shared" ref="AD23" si="106">IF(G23=0,0,IF(H23=0, "Heure de repas non rentrée",IF(I23=0, H23-G23, IF(J23=0,"Heure de sortie non rentrée",IF(Y23=0,(K23+Z23),K23-Y23)))))</f>
        <v>0</v>
      </c>
      <c r="AE23" s="134" t="str">
        <f t="shared" ref="AE23" si="107">IF(G23=0,"",IF($AS$5="Heure d'arrivée non rentrée","",IF($AS$5="heure de départ en pause repas non rentrée","",IF($AS$5="Heure de fin de repas non rentrée","",IF($AS$5="Heure de sortie non rentrée","",IF($AT$5="Heure d'arrivée non rentrée","",IF($AT$5="heure de départ en pause repas non rentrée","",IF($AT$5="Heure de fin de repas non rentrée","",IF($AT$5="Heure de sortie non rentrée","",IF($AS$5&gt;0,AF23+$AS$5,IF($AT$5&gt;0,AF23:AF24-$AT$5,"")))))))))))</f>
        <v/>
      </c>
      <c r="AF23" s="72">
        <f t="shared" ref="AF23" si="108">IF(W23=8.55,0,W23/24)</f>
        <v>0</v>
      </c>
      <c r="AG23" s="3" t="s">
        <v>3</v>
      </c>
      <c r="AH23" s="1" t="s">
        <v>3</v>
      </c>
      <c r="AI23" s="1" t="s">
        <v>4</v>
      </c>
      <c r="AJ23" s="1" t="s">
        <v>4</v>
      </c>
      <c r="AK23" s="1" t="s">
        <v>5</v>
      </c>
      <c r="AL23" s="9" t="s">
        <v>5</v>
      </c>
      <c r="AM23" s="131">
        <v>14</v>
      </c>
      <c r="AN23" s="142">
        <f>AQ5+2</f>
        <v>24</v>
      </c>
      <c r="AO23" s="39"/>
      <c r="AU23" s="43" t="s">
        <v>53</v>
      </c>
    </row>
    <row r="24" spans="3:47" ht="15" thickBot="1" x14ac:dyDescent="0.4">
      <c r="C24" s="147"/>
      <c r="D24" s="103"/>
      <c r="E24" s="90"/>
      <c r="F24" s="92"/>
      <c r="G24" s="94"/>
      <c r="H24" s="96"/>
      <c r="I24" s="98"/>
      <c r="J24" s="100"/>
      <c r="K24" s="102"/>
      <c r="L24" s="87"/>
      <c r="M24" s="87"/>
      <c r="N24" s="77"/>
      <c r="O24" s="77"/>
      <c r="P24" s="83"/>
      <c r="Q24" s="83"/>
      <c r="R24" s="77"/>
      <c r="S24" s="77"/>
      <c r="T24" s="77"/>
      <c r="U24" s="77"/>
      <c r="V24" s="75"/>
      <c r="W24" s="77"/>
      <c r="X24" s="79"/>
      <c r="Y24" s="70"/>
      <c r="Z24" s="70"/>
      <c r="AA24" s="81"/>
      <c r="AB24" s="70"/>
      <c r="AC24" s="70"/>
      <c r="AD24" s="70"/>
      <c r="AE24" s="135"/>
      <c r="AF24" s="73"/>
      <c r="AG24" s="14">
        <f t="shared" ref="AG24" si="109">IF(AF23=0,0,AF23*24 + 0.5)</f>
        <v>0</v>
      </c>
      <c r="AH24" s="11">
        <f t="shared" ref="AH24" si="110">AG24/24</f>
        <v>0</v>
      </c>
      <c r="AI24" s="10">
        <f t="shared" ref="AI24" si="111">IF(AG24=0,0,AG24+0.5)</f>
        <v>0</v>
      </c>
      <c r="AJ24" s="12">
        <f t="shared" ref="AJ24" si="112">IF(AI24=0,0,AI24/24)</f>
        <v>0</v>
      </c>
      <c r="AK24" s="10">
        <f t="shared" ref="AK24" si="113">IF(AG24=0,0,AG24+1.5)</f>
        <v>0</v>
      </c>
      <c r="AL24" s="13">
        <f t="shared" ref="AL24" si="114">AK24/24</f>
        <v>0</v>
      </c>
      <c r="AM24" s="131"/>
      <c r="AN24" s="142">
        <f>AQ5+2</f>
        <v>24</v>
      </c>
      <c r="AO24" s="39"/>
      <c r="AU24" s="44" t="s">
        <v>54</v>
      </c>
    </row>
    <row r="25" spans="3:47" ht="43.5" x14ac:dyDescent="0.35">
      <c r="C25" s="145" t="s">
        <v>68</v>
      </c>
      <c r="D25" s="89" t="str">
        <f t="shared" si="90"/>
        <v>Lundi</v>
      </c>
      <c r="E25" s="89" t="str">
        <f>"15 "&amp; $AR$5</f>
        <v>15 Juin</v>
      </c>
      <c r="F25" s="91" t="s">
        <v>20</v>
      </c>
      <c r="G25" s="93"/>
      <c r="H25" s="95"/>
      <c r="I25" s="97"/>
      <c r="J25" s="99"/>
      <c r="K25" s="101">
        <v>0.31111111111111101</v>
      </c>
      <c r="L25" s="86">
        <v>0.32500000000000001</v>
      </c>
      <c r="M25" s="88">
        <v>3.125E-2</v>
      </c>
      <c r="N25" s="76">
        <f t="shared" ref="N25" si="115">M25*24</f>
        <v>0.75</v>
      </c>
      <c r="O25" s="85">
        <f t="shared" ref="O25" si="116">I25-H25</f>
        <v>0</v>
      </c>
      <c r="P25" s="82">
        <f t="shared" ref="P25" si="117">IF(O25&lt;0.75,IF(I25=0,0,I25-H25),M25)</f>
        <v>0</v>
      </c>
      <c r="Q25" s="82">
        <f t="shared" ref="Q25" si="118">IF(R25&lt;0,0,R25/24)</f>
        <v>0</v>
      </c>
      <c r="R25" s="84" t="str">
        <f t="shared" ref="R25" si="119">IF(P25=0,"0",M25*24-P25*24)</f>
        <v>0</v>
      </c>
      <c r="S25" s="76">
        <f t="shared" ref="S25" si="120">P25*24</f>
        <v>0</v>
      </c>
      <c r="T25" s="76">
        <f t="shared" ref="T25" si="121">IF(R25&lt;0,S25,S25+R25)</f>
        <v>0</v>
      </c>
      <c r="U25" s="76">
        <f t="shared" ref="U25" si="122">IF(T25&lt;=0.75,M25,T25/24)</f>
        <v>3.125E-2</v>
      </c>
      <c r="V25" s="74">
        <f t="shared" ref="V25" si="123">G25*24</f>
        <v>0</v>
      </c>
      <c r="W25" s="76">
        <f t="shared" ref="W25" si="124">IF(S25&gt;0.75, V25+L25*24+P25*24,V25+L25*24+M25*24)</f>
        <v>8.5500000000000007</v>
      </c>
      <c r="X25" s="78">
        <f t="shared" ref="X25" si="125">IF(J25=0,24*(H25-G25)-(K25*24+1/6),(24*(J25-G25)-((U25*24)+(L25*24))))</f>
        <v>-7.6333333333333311</v>
      </c>
      <c r="Y25" s="71">
        <f t="shared" ref="Y25" si="126">IF(X25&lt;=-7.63,0,IF(X25&gt;=0,0,IF(X25&lt;0,ABS(X25)/24,"0")))</f>
        <v>0</v>
      </c>
      <c r="Z25" s="71" t="str">
        <f t="shared" ref="Z25" si="127">IF(X25&lt;0,"0",ABS(X25)/24)</f>
        <v>0</v>
      </c>
      <c r="AA25" s="80">
        <f>IF(X25&lt;-7.63,0,SUM($X$7:X26)+$AA$5)</f>
        <v>0</v>
      </c>
      <c r="AB25" s="69" t="str">
        <f t="shared" ref="AB25" si="128">IF(G25=0,"Heure d'arrivée non rentrée",IF((H25=0),"heure de départ en pause repas non rentrée",IF(I25=0,"Heure de fin de repas non rentrée",IF(J25=0,"Heure de sortie non rentrée",IF(AA25&lt;0,ABS(AA25)/24,0)))))</f>
        <v>Heure d'arrivée non rentrée</v>
      </c>
      <c r="AC25" s="71" t="str">
        <f t="shared" ref="AC25" si="129">IF(G25=0,"Heure d'arrivée non rentrée",IF((H25=0),"heure de départ en pause repas non rentrée",IF(I25=0,"Heure de fin de repas non rentrée",IF(J25=0,"Heure de sortie non rentrée",IF(AA25&gt;0,ABS(AA25)/24,0)))))</f>
        <v>Heure d'arrivée non rentrée</v>
      </c>
      <c r="AD25" s="71">
        <f t="shared" ref="AD25" si="130">IF(G25=0,0,IF(H25=0, "Heure de repas non rentrée",IF(I25=0, H25-G25, IF(J25=0,"Heure de sortie non rentrée",IF(Y25=0,(K25+Z25),K25-Y25)))))</f>
        <v>0</v>
      </c>
      <c r="AE25" s="134" t="str">
        <f t="shared" ref="AE25" si="131">IF(G25=0,"",IF($AS$5="Heure d'arrivée non rentrée","",IF($AS$5="heure de départ en pause repas non rentrée","",IF($AS$5="Heure de fin de repas non rentrée","",IF($AS$5="Heure de sortie non rentrée","",IF($AT$5="Heure d'arrivée non rentrée","",IF($AT$5="heure de départ en pause repas non rentrée","",IF($AT$5="Heure de fin de repas non rentrée","",IF($AT$5="Heure de sortie non rentrée","",IF($AS$5&gt;0,AF25+$AS$5,IF($AT$5&gt;0,AF25:AF26-$AT$5,"")))))))))))</f>
        <v/>
      </c>
      <c r="AF25" s="72">
        <f t="shared" ref="AF25" si="132">IF(W25=8.55,0,W25/24)</f>
        <v>0</v>
      </c>
      <c r="AG25" s="3" t="s">
        <v>3</v>
      </c>
      <c r="AH25" s="1" t="s">
        <v>3</v>
      </c>
      <c r="AI25" s="1" t="s">
        <v>4</v>
      </c>
      <c r="AJ25" s="1" t="s">
        <v>4</v>
      </c>
      <c r="AK25" s="1" t="s">
        <v>5</v>
      </c>
      <c r="AL25" s="9" t="s">
        <v>5</v>
      </c>
      <c r="AM25" s="131">
        <v>15</v>
      </c>
      <c r="AN25" s="142">
        <f>AQ5+2</f>
        <v>24</v>
      </c>
      <c r="AO25" s="39"/>
      <c r="AU25" s="37"/>
    </row>
    <row r="26" spans="3:47" ht="15" thickBot="1" x14ac:dyDescent="0.4">
      <c r="C26" s="147"/>
      <c r="D26" s="103"/>
      <c r="E26" s="90"/>
      <c r="F26" s="92"/>
      <c r="G26" s="94"/>
      <c r="H26" s="96"/>
      <c r="I26" s="98"/>
      <c r="J26" s="100"/>
      <c r="K26" s="102"/>
      <c r="L26" s="87"/>
      <c r="M26" s="87"/>
      <c r="N26" s="77"/>
      <c r="O26" s="77"/>
      <c r="P26" s="83"/>
      <c r="Q26" s="83"/>
      <c r="R26" s="77"/>
      <c r="S26" s="77"/>
      <c r="T26" s="77"/>
      <c r="U26" s="77"/>
      <c r="V26" s="75"/>
      <c r="W26" s="77"/>
      <c r="X26" s="79"/>
      <c r="Y26" s="70"/>
      <c r="Z26" s="70"/>
      <c r="AA26" s="81"/>
      <c r="AB26" s="70"/>
      <c r="AC26" s="70"/>
      <c r="AD26" s="70"/>
      <c r="AE26" s="135"/>
      <c r="AF26" s="73"/>
      <c r="AG26" s="14">
        <f t="shared" ref="AG26" si="133">IF(AF25=0,0,AF25*24 + 0.5)</f>
        <v>0</v>
      </c>
      <c r="AH26" s="11">
        <f t="shared" ref="AH26" si="134">AG26/24</f>
        <v>0</v>
      </c>
      <c r="AI26" s="10">
        <f t="shared" ref="AI26" si="135">IF(AG26=0,0,AG26+0.5)</f>
        <v>0</v>
      </c>
      <c r="AJ26" s="12">
        <f t="shared" ref="AJ26" si="136">IF(AI26=0,0,AI26/24)</f>
        <v>0</v>
      </c>
      <c r="AK26" s="10">
        <f t="shared" ref="AK26" si="137">IF(AG26=0,0,AG26+1.5)</f>
        <v>0</v>
      </c>
      <c r="AL26" s="13">
        <f t="shared" ref="AL26" si="138">AK26/24</f>
        <v>0</v>
      </c>
      <c r="AM26" s="131"/>
      <c r="AN26" s="142">
        <f>AQ5+2</f>
        <v>24</v>
      </c>
      <c r="AO26" s="39"/>
      <c r="AU26" s="2">
        <v>1</v>
      </c>
    </row>
    <row r="27" spans="3:47" ht="43.5" x14ac:dyDescent="0.35">
      <c r="C27" s="145"/>
      <c r="D27" s="89" t="str">
        <f t="shared" si="90"/>
        <v>Mardi</v>
      </c>
      <c r="E27" s="103" t="str">
        <f>"16 "&amp; $AR$5</f>
        <v>16 Juin</v>
      </c>
      <c r="F27" s="91" t="s">
        <v>20</v>
      </c>
      <c r="G27" s="93"/>
      <c r="H27" s="95"/>
      <c r="I27" s="97"/>
      <c r="J27" s="99"/>
      <c r="K27" s="101">
        <v>0.31111111111111101</v>
      </c>
      <c r="L27" s="86">
        <v>0.32500000000000001</v>
      </c>
      <c r="M27" s="88">
        <v>3.125E-2</v>
      </c>
      <c r="N27" s="76">
        <f t="shared" ref="N27" si="139">M27*24</f>
        <v>0.75</v>
      </c>
      <c r="O27" s="85">
        <f t="shared" ref="O27" si="140">I27-H27</f>
        <v>0</v>
      </c>
      <c r="P27" s="82">
        <f t="shared" ref="P27" si="141">IF(O27&lt;0.75,IF(I27=0,0,I27-H27),M27)</f>
        <v>0</v>
      </c>
      <c r="Q27" s="82">
        <f t="shared" ref="Q27" si="142">IF(R27&lt;0,0,R27/24)</f>
        <v>0</v>
      </c>
      <c r="R27" s="84" t="str">
        <f t="shared" ref="R27" si="143">IF(P27=0,"0",M27*24-P27*24)</f>
        <v>0</v>
      </c>
      <c r="S27" s="76">
        <f t="shared" ref="S27" si="144">P27*24</f>
        <v>0</v>
      </c>
      <c r="T27" s="76">
        <f t="shared" ref="T27" si="145">IF(R27&lt;0,S27,S27+R27)</f>
        <v>0</v>
      </c>
      <c r="U27" s="76">
        <f t="shared" ref="U27" si="146">IF(T27&lt;=0.75,M27,T27/24)</f>
        <v>3.125E-2</v>
      </c>
      <c r="V27" s="74">
        <f t="shared" ref="V27" si="147">G27*24</f>
        <v>0</v>
      </c>
      <c r="W27" s="76">
        <f t="shared" ref="W27" si="148">IF(S27&gt;0.75, V27+L27*24+P27*24,V27+L27*24+M27*24)</f>
        <v>8.5500000000000007</v>
      </c>
      <c r="X27" s="78">
        <f t="shared" ref="X27" si="149">IF(J27=0,24*(H27-G27)-(K27*24+1/6),(24*(J27-G27)-((U27*24)+(L27*24))))</f>
        <v>-7.6333333333333311</v>
      </c>
      <c r="Y27" s="71">
        <f t="shared" ref="Y27" si="150">IF(X27&lt;=-7.63,0,IF(X27&gt;=0,0,IF(X27&lt;0,ABS(X27)/24,"0")))</f>
        <v>0</v>
      </c>
      <c r="Z27" s="71" t="str">
        <f t="shared" ref="Z27" si="151">IF(X27&lt;0,"0",ABS(X27)/24)</f>
        <v>0</v>
      </c>
      <c r="AA27" s="80">
        <f>IF(X27&lt;-7.63,0,SUM($X$7:X28)+$AA$5)</f>
        <v>0</v>
      </c>
      <c r="AB27" s="69" t="str">
        <f t="shared" ref="AB27" si="152">IF(G27=0,"Heure d'arrivée non rentrée",IF((H27=0),"heure de départ en pause repas non rentrée",IF(I27=0,"Heure de fin de repas non rentrée",IF(J27=0,"Heure de sortie non rentrée",IF(AA27&lt;0,ABS(AA27)/24,0)))))</f>
        <v>Heure d'arrivée non rentrée</v>
      </c>
      <c r="AC27" s="71" t="str">
        <f t="shared" ref="AC27" si="153">IF(G27=0,"Heure d'arrivée non rentrée",IF((H27=0),"heure de départ en pause repas non rentrée",IF(I27=0,"Heure de fin de repas non rentrée",IF(J27=0,"Heure de sortie non rentrée",IF(AA27&gt;0,ABS(AA27)/24,0)))))</f>
        <v>Heure d'arrivée non rentrée</v>
      </c>
      <c r="AD27" s="71">
        <f t="shared" ref="AD27" si="154">IF(G27=0,0,IF(H27=0, "Heure de repas non rentrée",IF(I27=0, H27-G27, IF(J27=0,"Heure de sortie non rentrée",IF(Y27=0,(K27+Z27),K27-Y27)))))</f>
        <v>0</v>
      </c>
      <c r="AE27" s="134" t="str">
        <f t="shared" ref="AE27" si="155">IF(G27=0,"",IF($AS$5="Heure d'arrivée non rentrée","",IF($AS$5="heure de départ en pause repas non rentrée","",IF($AS$5="Heure de fin de repas non rentrée","",IF($AS$5="Heure de sortie non rentrée","",IF($AT$5="Heure d'arrivée non rentrée","",IF($AT$5="heure de départ en pause repas non rentrée","",IF($AT$5="Heure de fin de repas non rentrée","",IF($AT$5="Heure de sortie non rentrée","",IF($AS$5&gt;0,AF27+$AS$5,IF($AT$5&gt;0,AF27:AF28-$AT$5,"")))))))))))</f>
        <v/>
      </c>
      <c r="AF27" s="72">
        <f t="shared" ref="AF27" si="156">IF(W27=8.55,0,W27/24)</f>
        <v>0</v>
      </c>
      <c r="AG27" s="3" t="s">
        <v>3</v>
      </c>
      <c r="AH27" s="1" t="s">
        <v>3</v>
      </c>
      <c r="AI27" s="1" t="s">
        <v>4</v>
      </c>
      <c r="AJ27" s="1" t="s">
        <v>4</v>
      </c>
      <c r="AK27" s="1" t="s">
        <v>5</v>
      </c>
      <c r="AL27" s="9" t="s">
        <v>5</v>
      </c>
      <c r="AM27" s="131">
        <v>16</v>
      </c>
      <c r="AN27" s="142">
        <f>AQ5+2</f>
        <v>24</v>
      </c>
      <c r="AO27" s="39"/>
      <c r="AU27" s="2">
        <v>2</v>
      </c>
    </row>
    <row r="28" spans="3:47" ht="15" thickBot="1" x14ac:dyDescent="0.4">
      <c r="C28" s="147"/>
      <c r="D28" s="103"/>
      <c r="E28" s="103"/>
      <c r="F28" s="92"/>
      <c r="G28" s="94"/>
      <c r="H28" s="96"/>
      <c r="I28" s="98"/>
      <c r="J28" s="100"/>
      <c r="K28" s="102"/>
      <c r="L28" s="87"/>
      <c r="M28" s="87"/>
      <c r="N28" s="77"/>
      <c r="O28" s="77"/>
      <c r="P28" s="83"/>
      <c r="Q28" s="83"/>
      <c r="R28" s="77"/>
      <c r="S28" s="77"/>
      <c r="T28" s="77"/>
      <c r="U28" s="77"/>
      <c r="V28" s="75"/>
      <c r="W28" s="77"/>
      <c r="X28" s="79"/>
      <c r="Y28" s="70"/>
      <c r="Z28" s="70"/>
      <c r="AA28" s="81"/>
      <c r="AB28" s="70"/>
      <c r="AC28" s="70"/>
      <c r="AD28" s="70"/>
      <c r="AE28" s="135"/>
      <c r="AF28" s="73"/>
      <c r="AG28" s="14">
        <f t="shared" ref="AG28" si="157">IF(AF27=0,0,AF27*24 + 0.5)</f>
        <v>0</v>
      </c>
      <c r="AH28" s="11">
        <f t="shared" ref="AH28" si="158">AG28/24</f>
        <v>0</v>
      </c>
      <c r="AI28" s="10">
        <f t="shared" ref="AI28" si="159">IF(AG28=0,0,AG28+0.5)</f>
        <v>0</v>
      </c>
      <c r="AJ28" s="12">
        <f t="shared" ref="AJ28" si="160">IF(AI28=0,0,AI28/24)</f>
        <v>0</v>
      </c>
      <c r="AK28" s="10">
        <f t="shared" ref="AK28" si="161">IF(AG28=0,0,AG28+1.5)</f>
        <v>0</v>
      </c>
      <c r="AL28" s="13">
        <f t="shared" ref="AL28" si="162">AK28/24</f>
        <v>0</v>
      </c>
      <c r="AM28" s="131"/>
      <c r="AN28" s="142">
        <f>AQ5+2</f>
        <v>24</v>
      </c>
      <c r="AO28" s="39"/>
      <c r="AU28" s="2">
        <v>3</v>
      </c>
    </row>
    <row r="29" spans="3:47" ht="43.5" x14ac:dyDescent="0.35">
      <c r="C29" s="145"/>
      <c r="D29" s="89" t="str">
        <f t="shared" si="90"/>
        <v>Mercredi</v>
      </c>
      <c r="E29" s="89" t="str">
        <f>"17 "&amp; $AR$5</f>
        <v>17 Juin</v>
      </c>
      <c r="F29" s="91" t="s">
        <v>20</v>
      </c>
      <c r="G29" s="93"/>
      <c r="H29" s="95"/>
      <c r="I29" s="97"/>
      <c r="J29" s="99"/>
      <c r="K29" s="101">
        <v>0.31111111111111101</v>
      </c>
      <c r="L29" s="86">
        <v>0.32500000000000001</v>
      </c>
      <c r="M29" s="88">
        <v>3.125E-2</v>
      </c>
      <c r="N29" s="76">
        <f t="shared" ref="N29" si="163">M29*24</f>
        <v>0.75</v>
      </c>
      <c r="O29" s="85">
        <f t="shared" ref="O29" si="164">I29-H29</f>
        <v>0</v>
      </c>
      <c r="P29" s="82">
        <f t="shared" ref="P29" si="165">IF(O29&lt;0.75,IF(I29=0,0,I29-H29),M29)</f>
        <v>0</v>
      </c>
      <c r="Q29" s="82">
        <f t="shared" ref="Q29" si="166">IF(R29&lt;0,0,R29/24)</f>
        <v>0</v>
      </c>
      <c r="R29" s="84" t="str">
        <f t="shared" ref="R29" si="167">IF(P29=0,"0",M29*24-P29*24)</f>
        <v>0</v>
      </c>
      <c r="S29" s="76">
        <f t="shared" ref="S29" si="168">P29*24</f>
        <v>0</v>
      </c>
      <c r="T29" s="76">
        <f t="shared" ref="T29" si="169">IF(R29&lt;0,S29,S29+R29)</f>
        <v>0</v>
      </c>
      <c r="U29" s="76">
        <f t="shared" ref="U29" si="170">IF(T29&lt;=0.75,M29,T29/24)</f>
        <v>3.125E-2</v>
      </c>
      <c r="V29" s="74">
        <f t="shared" ref="V29" si="171">G29*24</f>
        <v>0</v>
      </c>
      <c r="W29" s="76">
        <f t="shared" ref="W29" si="172">IF(S29&gt;0.75, V29+L29*24+P29*24,V29+L29*24+M29*24)</f>
        <v>8.5500000000000007</v>
      </c>
      <c r="X29" s="78">
        <f t="shared" ref="X29" si="173">IF(J29=0,24*(H29-G29)-(K29*24+1/6),(24*(J29-G29)-((U29*24)+(L29*24))))</f>
        <v>-7.6333333333333311</v>
      </c>
      <c r="Y29" s="71">
        <f t="shared" ref="Y29" si="174">IF(X29&lt;=-7.63,0,IF(X29&gt;=0,0,IF(X29&lt;0,ABS(X29)/24,"0")))</f>
        <v>0</v>
      </c>
      <c r="Z29" s="71" t="str">
        <f t="shared" ref="Z29" si="175">IF(X29&lt;0,"0",ABS(X29)/24)</f>
        <v>0</v>
      </c>
      <c r="AA29" s="80">
        <f>IF(X29&lt;-7.63,0,SUM($X$7:X30)+$AA$5)</f>
        <v>0</v>
      </c>
      <c r="AB29" s="69" t="str">
        <f t="shared" ref="AB29" si="176">IF(G29=0,"Heure d'arrivée non rentrée",IF((H29=0),"heure de départ en pause repas non rentrée",IF(I29=0,"Heure de fin de repas non rentrée",IF(J29=0,"Heure de sortie non rentrée",IF(AA29&lt;0,ABS(AA29)/24,0)))))</f>
        <v>Heure d'arrivée non rentrée</v>
      </c>
      <c r="AC29" s="71" t="str">
        <f t="shared" ref="AC29" si="177">IF(G29=0,"Heure d'arrivée non rentrée",IF((H29=0),"heure de départ en pause repas non rentrée",IF(I29=0,"Heure de fin de repas non rentrée",IF(J29=0,"Heure de sortie non rentrée",IF(AA29&gt;0,ABS(AA29)/24,0)))))</f>
        <v>Heure d'arrivée non rentrée</v>
      </c>
      <c r="AD29" s="71">
        <f t="shared" ref="AD29" si="178">IF(G29=0,0,IF(H29=0, "Heure de repas non rentrée",IF(I29=0, H29-G29, IF(J29=0,"Heure de sortie non rentrée",IF(Y29=0,(K29+Z29),K29-Y29)))))</f>
        <v>0</v>
      </c>
      <c r="AE29" s="134" t="str">
        <f t="shared" ref="AE29" si="179">IF(G29=0,"",IF($AS$5="Heure d'arrivée non rentrée","",IF($AS$5="heure de départ en pause repas non rentrée","",IF($AS$5="Heure de fin de repas non rentrée","",IF($AS$5="Heure de sortie non rentrée","",IF($AT$5="Heure d'arrivée non rentrée","",IF($AT$5="heure de départ en pause repas non rentrée","",IF($AT$5="Heure de fin de repas non rentrée","",IF($AT$5="Heure de sortie non rentrée","",IF($AS$5&gt;0,AF29+$AS$5,IF($AT$5&gt;0,AF29:AF30-$AT$5,"")))))))))))</f>
        <v/>
      </c>
      <c r="AF29" s="72">
        <f t="shared" ref="AF29" si="180">IF(W29=8.55,0,W29/24)</f>
        <v>0</v>
      </c>
      <c r="AG29" s="3" t="s">
        <v>3</v>
      </c>
      <c r="AH29" s="1" t="s">
        <v>3</v>
      </c>
      <c r="AI29" s="1" t="s">
        <v>4</v>
      </c>
      <c r="AJ29" s="1" t="s">
        <v>4</v>
      </c>
      <c r="AK29" s="1" t="s">
        <v>5</v>
      </c>
      <c r="AL29" s="9" t="s">
        <v>5</v>
      </c>
      <c r="AM29" s="131">
        <v>17</v>
      </c>
      <c r="AN29" s="142">
        <f>AQ5+2</f>
        <v>24</v>
      </c>
      <c r="AO29" s="39"/>
      <c r="AU29" s="2">
        <v>4</v>
      </c>
    </row>
    <row r="30" spans="3:47" ht="15" thickBot="1" x14ac:dyDescent="0.4">
      <c r="C30" s="147"/>
      <c r="D30" s="103"/>
      <c r="E30" s="90"/>
      <c r="F30" s="92"/>
      <c r="G30" s="94"/>
      <c r="H30" s="96"/>
      <c r="I30" s="98"/>
      <c r="J30" s="100"/>
      <c r="K30" s="102"/>
      <c r="L30" s="87"/>
      <c r="M30" s="87"/>
      <c r="N30" s="77"/>
      <c r="O30" s="77"/>
      <c r="P30" s="83"/>
      <c r="Q30" s="83"/>
      <c r="R30" s="77"/>
      <c r="S30" s="77"/>
      <c r="T30" s="77"/>
      <c r="U30" s="77"/>
      <c r="V30" s="75"/>
      <c r="W30" s="77"/>
      <c r="X30" s="79"/>
      <c r="Y30" s="70"/>
      <c r="Z30" s="70"/>
      <c r="AA30" s="81"/>
      <c r="AB30" s="70"/>
      <c r="AC30" s="70"/>
      <c r="AD30" s="70"/>
      <c r="AE30" s="135"/>
      <c r="AF30" s="73"/>
      <c r="AG30" s="14">
        <f t="shared" ref="AG30" si="181">IF(AF29=0,0,AF29*24 + 0.5)</f>
        <v>0</v>
      </c>
      <c r="AH30" s="11">
        <f t="shared" ref="AH30" si="182">AG30/24</f>
        <v>0</v>
      </c>
      <c r="AI30" s="10">
        <f t="shared" ref="AI30" si="183">IF(AG30=0,0,AG30+0.5)</f>
        <v>0</v>
      </c>
      <c r="AJ30" s="12">
        <f t="shared" ref="AJ30" si="184">IF(AI30=0,0,AI30/24)</f>
        <v>0</v>
      </c>
      <c r="AK30" s="10">
        <f t="shared" ref="AK30" si="185">IF(AG30=0,0,AG30+1.5)</f>
        <v>0</v>
      </c>
      <c r="AL30" s="13">
        <f t="shared" ref="AL30" si="186">AK30/24</f>
        <v>0</v>
      </c>
      <c r="AM30" s="138"/>
      <c r="AN30" s="143">
        <f>AQ5+2</f>
        <v>24</v>
      </c>
      <c r="AO30" s="39"/>
      <c r="AU30" s="2">
        <v>5</v>
      </c>
    </row>
    <row r="31" spans="3:47" ht="43.5" x14ac:dyDescent="0.35">
      <c r="C31" s="145"/>
      <c r="D31" s="89" t="str">
        <f t="shared" si="90"/>
        <v>Jeudi</v>
      </c>
      <c r="E31" s="89" t="str">
        <f>"20 "&amp; $AR$5</f>
        <v>20 Juin</v>
      </c>
      <c r="F31" s="91" t="s">
        <v>20</v>
      </c>
      <c r="G31" s="93"/>
      <c r="H31" s="95"/>
      <c r="I31" s="97"/>
      <c r="J31" s="99"/>
      <c r="K31" s="101">
        <v>0.31111111111111101</v>
      </c>
      <c r="L31" s="86">
        <v>0.32500000000000001</v>
      </c>
      <c r="M31" s="88">
        <v>3.125E-2</v>
      </c>
      <c r="N31" s="76">
        <f t="shared" ref="N31" si="187">M31*24</f>
        <v>0.75</v>
      </c>
      <c r="O31" s="85">
        <f t="shared" ref="O31" si="188">I31-H31</f>
        <v>0</v>
      </c>
      <c r="P31" s="82">
        <f t="shared" ref="P31" si="189">IF(O31&lt;0.75,IF(I31=0,0,I31-H31),M31)</f>
        <v>0</v>
      </c>
      <c r="Q31" s="82">
        <f t="shared" ref="Q31" si="190">IF(R31&lt;0,0,R31/24)</f>
        <v>0</v>
      </c>
      <c r="R31" s="84" t="str">
        <f t="shared" ref="R31" si="191">IF(P31=0,"0",M31*24-P31*24)</f>
        <v>0</v>
      </c>
      <c r="S31" s="76">
        <f t="shared" ref="S31" si="192">P31*24</f>
        <v>0</v>
      </c>
      <c r="T31" s="76">
        <f t="shared" ref="T31" si="193">IF(R31&lt;0,S31,S31+R31)</f>
        <v>0</v>
      </c>
      <c r="U31" s="76">
        <f t="shared" ref="U31" si="194">IF(T31&lt;=0.75,M31,T31/24)</f>
        <v>3.125E-2</v>
      </c>
      <c r="V31" s="74">
        <f t="shared" ref="V31" si="195">G31*24</f>
        <v>0</v>
      </c>
      <c r="W31" s="76">
        <f t="shared" ref="W31" si="196">IF(S31&gt;0.75, V31+L31*24+P31*24,V31+L31*24+M31*24)</f>
        <v>8.5500000000000007</v>
      </c>
      <c r="X31" s="78">
        <f t="shared" ref="X31" si="197">IF(J31=0,24*(H31-G31)-(K31*24+1/6),(24*(J31-G31)-((U31*24)+(L31*24))))</f>
        <v>-7.6333333333333311</v>
      </c>
      <c r="Y31" s="71">
        <f t="shared" ref="Y31" si="198">IF(X31&lt;=-7.63,0,IF(X31&gt;=0,0,IF(X31&lt;0,ABS(X31)/24,"0")))</f>
        <v>0</v>
      </c>
      <c r="Z31" s="71" t="str">
        <f t="shared" ref="Z31" si="199">IF(X31&lt;0,"0",ABS(X31)/24)</f>
        <v>0</v>
      </c>
      <c r="AA31" s="80">
        <f>IF(X31&lt;-7.63,0,SUM($X$7:X32)+$AA$5)</f>
        <v>0</v>
      </c>
      <c r="AB31" s="69" t="str">
        <f t="shared" ref="AB31" si="200">IF(G31=0,"Heure d'arrivée non rentrée",IF((H31=0),"heure de départ en pause repas non rentrée",IF(I31=0,"Heure de fin de repas non rentrée",IF(J31=0,"Heure de sortie non rentrée",IF(AA31&lt;0,ABS(AA31)/24,0)))))</f>
        <v>Heure d'arrivée non rentrée</v>
      </c>
      <c r="AC31" s="71" t="str">
        <f t="shared" ref="AC31" si="201">IF(G31=0,"Heure d'arrivée non rentrée",IF((H31=0),"heure de départ en pause repas non rentrée",IF(I31=0,"Heure de fin de repas non rentrée",IF(J31=0,"Heure de sortie non rentrée",IF(AA31&gt;0,ABS(AA31)/24,0)))))</f>
        <v>Heure d'arrivée non rentrée</v>
      </c>
      <c r="AD31" s="71">
        <f t="shared" ref="AD31" si="202">IF(G31=0,0,IF(H31=0, "Heure de repas non rentrée",IF(I31=0, H31-G31, IF(J31=0,"Heure de sortie non rentrée",IF(Y31=0,(K31+Z31),K31-Y31)))))</f>
        <v>0</v>
      </c>
      <c r="AE31" s="134" t="str">
        <f t="shared" ref="AE31" si="203">IF(G31=0,"",IF($AS$5="Heure d'arrivée non rentrée","",IF($AS$5="heure de départ en pause repas non rentrée","",IF($AS$5="Heure de fin de repas non rentrée","",IF($AS$5="Heure de sortie non rentrée","",IF($AT$5="Heure d'arrivée non rentrée","",IF($AT$5="heure de départ en pause repas non rentrée","",IF($AT$5="Heure de fin de repas non rentrée","",IF($AT$5="Heure de sortie non rentrée","",IF($AS$5&gt;0,AF31+$AS$5,IF($AT$5&gt;0,AF31:AF32-$AT$5,"")))))))))))</f>
        <v/>
      </c>
      <c r="AF31" s="72">
        <f t="shared" ref="AF31" si="204">IF(W31=8.55,0,W31/24)</f>
        <v>0</v>
      </c>
      <c r="AG31" s="3" t="s">
        <v>3</v>
      </c>
      <c r="AH31" s="1" t="s">
        <v>3</v>
      </c>
      <c r="AI31" s="1" t="s">
        <v>4</v>
      </c>
      <c r="AJ31" s="1" t="s">
        <v>4</v>
      </c>
      <c r="AK31" s="1" t="s">
        <v>5</v>
      </c>
      <c r="AL31" s="9" t="s">
        <v>5</v>
      </c>
      <c r="AM31" s="129">
        <v>20</v>
      </c>
      <c r="AN31" s="141">
        <f>AQ5+3</f>
        <v>25</v>
      </c>
      <c r="AO31" s="39"/>
      <c r="AU31" s="2">
        <v>6</v>
      </c>
    </row>
    <row r="32" spans="3:47" ht="15" thickBot="1" x14ac:dyDescent="0.4">
      <c r="C32" s="147"/>
      <c r="D32" s="103"/>
      <c r="E32" s="90"/>
      <c r="F32" s="92"/>
      <c r="G32" s="94"/>
      <c r="H32" s="96"/>
      <c r="I32" s="98"/>
      <c r="J32" s="100"/>
      <c r="K32" s="102"/>
      <c r="L32" s="87"/>
      <c r="M32" s="87"/>
      <c r="N32" s="77"/>
      <c r="O32" s="77"/>
      <c r="P32" s="83"/>
      <c r="Q32" s="83"/>
      <c r="R32" s="77"/>
      <c r="S32" s="77"/>
      <c r="T32" s="77"/>
      <c r="U32" s="77"/>
      <c r="V32" s="75"/>
      <c r="W32" s="77"/>
      <c r="X32" s="79"/>
      <c r="Y32" s="70"/>
      <c r="Z32" s="70"/>
      <c r="AA32" s="81"/>
      <c r="AB32" s="70"/>
      <c r="AC32" s="70"/>
      <c r="AD32" s="70"/>
      <c r="AE32" s="135"/>
      <c r="AF32" s="73"/>
      <c r="AG32" s="14">
        <f t="shared" ref="AG32" si="205">IF(AF31=0,0,AF31*24 + 0.5)</f>
        <v>0</v>
      </c>
      <c r="AH32" s="11">
        <f t="shared" ref="AH32" si="206">AG32/24</f>
        <v>0</v>
      </c>
      <c r="AI32" s="10">
        <f t="shared" ref="AI32" si="207">IF(AG32=0,0,AG32+0.5)</f>
        <v>0</v>
      </c>
      <c r="AJ32" s="12">
        <f t="shared" ref="AJ32" si="208">IF(AI32=0,0,AI32/24)</f>
        <v>0</v>
      </c>
      <c r="AK32" s="10">
        <f t="shared" ref="AK32" si="209">IF(AG32=0,0,AG32+1.5)</f>
        <v>0</v>
      </c>
      <c r="AL32" s="13">
        <f t="shared" ref="AL32" si="210">AK32/24</f>
        <v>0</v>
      </c>
      <c r="AM32" s="131"/>
      <c r="AN32" s="142">
        <f>AQ5+3</f>
        <v>25</v>
      </c>
      <c r="AO32" s="39"/>
      <c r="AU32" s="2">
        <v>7</v>
      </c>
    </row>
    <row r="33" spans="3:47" ht="43.5" x14ac:dyDescent="0.35">
      <c r="C33" s="145"/>
      <c r="D33" s="89" t="str">
        <f t="shared" si="90"/>
        <v>Vendredi</v>
      </c>
      <c r="E33" s="89" t="str">
        <f>"21 "&amp; $AR$5</f>
        <v>21 Juin</v>
      </c>
      <c r="F33" s="91" t="s">
        <v>20</v>
      </c>
      <c r="G33" s="93"/>
      <c r="H33" s="95"/>
      <c r="I33" s="97"/>
      <c r="J33" s="99"/>
      <c r="K33" s="101">
        <v>0.31111111111111101</v>
      </c>
      <c r="L33" s="86">
        <v>0.32500000000000001</v>
      </c>
      <c r="M33" s="88">
        <v>3.125E-2</v>
      </c>
      <c r="N33" s="76">
        <f t="shared" ref="N33" si="211">M33*24</f>
        <v>0.75</v>
      </c>
      <c r="O33" s="85">
        <f t="shared" ref="O33" si="212">I33-H33</f>
        <v>0</v>
      </c>
      <c r="P33" s="82">
        <f t="shared" ref="P33" si="213">IF(O33&lt;0.75,IF(I33=0,0,I33-H33),M33)</f>
        <v>0</v>
      </c>
      <c r="Q33" s="82">
        <f t="shared" ref="Q33" si="214">IF(R33&lt;0,0,R33/24)</f>
        <v>0</v>
      </c>
      <c r="R33" s="84" t="str">
        <f t="shared" ref="R33" si="215">IF(P33=0,"0",M33*24-P33*24)</f>
        <v>0</v>
      </c>
      <c r="S33" s="76">
        <f t="shared" ref="S33" si="216">P33*24</f>
        <v>0</v>
      </c>
      <c r="T33" s="76">
        <f t="shared" ref="T33" si="217">IF(R33&lt;0,S33,S33+R33)</f>
        <v>0</v>
      </c>
      <c r="U33" s="76">
        <f t="shared" ref="U33" si="218">IF(T33&lt;=0.75,M33,T33/24)</f>
        <v>3.125E-2</v>
      </c>
      <c r="V33" s="74">
        <f t="shared" ref="V33" si="219">G33*24</f>
        <v>0</v>
      </c>
      <c r="W33" s="76">
        <f t="shared" ref="W33" si="220">IF(S33&gt;0.75, V33+L33*24+P33*24,V33+L33*24+M33*24)</f>
        <v>8.5500000000000007</v>
      </c>
      <c r="X33" s="78">
        <f t="shared" ref="X33" si="221">IF(J33=0,24*(H33-G33)-(K33*24+1/6),(24*(J33-G33)-((U33*24)+(L33*24))))</f>
        <v>-7.6333333333333311</v>
      </c>
      <c r="Y33" s="71">
        <f t="shared" ref="Y33" si="222">IF(X33&lt;=-7.63,0,IF(X33&gt;=0,0,IF(X33&lt;0,ABS(X33)/24,"0")))</f>
        <v>0</v>
      </c>
      <c r="Z33" s="71" t="str">
        <f t="shared" ref="Z33" si="223">IF(X33&lt;0,"0",ABS(X33)/24)</f>
        <v>0</v>
      </c>
      <c r="AA33" s="80">
        <f>IF(X33&lt;-7.63,0,SUM($X$7:X34)+$AA$5)</f>
        <v>0</v>
      </c>
      <c r="AB33" s="69" t="str">
        <f t="shared" ref="AB33" si="224">IF(G33=0,"Heure d'arrivée non rentrée",IF((H33=0),"heure de départ en pause repas non rentrée",IF(I33=0,"Heure de fin de repas non rentrée",IF(J33=0,"Heure de sortie non rentrée",IF(AA33&lt;0,ABS(AA33)/24,0)))))</f>
        <v>Heure d'arrivée non rentrée</v>
      </c>
      <c r="AC33" s="71" t="str">
        <f t="shared" ref="AC33" si="225">IF(G33=0,"Heure d'arrivée non rentrée",IF((H33=0),"heure de départ en pause repas non rentrée",IF(I33=0,"Heure de fin de repas non rentrée",IF(J33=0,"Heure de sortie non rentrée",IF(AA33&gt;0,ABS(AA33)/24,0)))))</f>
        <v>Heure d'arrivée non rentrée</v>
      </c>
      <c r="AD33" s="71">
        <f t="shared" ref="AD33" si="226">IF(G33=0,0,IF(H33=0, "Heure de repas non rentrée",IF(I33=0, H33-G33, IF(J33=0,"Heure de sortie non rentrée",IF(Y33=0,(K33+Z33),K33-Y33)))))</f>
        <v>0</v>
      </c>
      <c r="AE33" s="134" t="str">
        <f t="shared" ref="AE33" si="227">IF(G33=0,"",IF($AS$5="Heure d'arrivée non rentrée","",IF($AS$5="heure de départ en pause repas non rentrée","",IF($AS$5="Heure de fin de repas non rentrée","",IF($AS$5="Heure de sortie non rentrée","",IF($AT$5="Heure d'arrivée non rentrée","",IF($AT$5="heure de départ en pause repas non rentrée","",IF($AT$5="Heure de fin de repas non rentrée","",IF($AT$5="Heure de sortie non rentrée","",IF($AS$5&gt;0,AF33+$AS$5,IF($AT$5&gt;0,AF33:AF34-$AT$5,"")))))))))))</f>
        <v/>
      </c>
      <c r="AF33" s="72">
        <f t="shared" ref="AF33" si="228">IF(W33=8.55,0,W33/24)</f>
        <v>0</v>
      </c>
      <c r="AG33" s="3" t="s">
        <v>3</v>
      </c>
      <c r="AH33" s="1" t="s">
        <v>3</v>
      </c>
      <c r="AI33" s="1" t="s">
        <v>4</v>
      </c>
      <c r="AJ33" s="1" t="s">
        <v>4</v>
      </c>
      <c r="AK33" s="1" t="s">
        <v>5</v>
      </c>
      <c r="AL33" s="9" t="s">
        <v>5</v>
      </c>
      <c r="AM33" s="131">
        <v>21</v>
      </c>
      <c r="AN33" s="142">
        <f>AQ5+3</f>
        <v>25</v>
      </c>
      <c r="AO33" s="39"/>
      <c r="AU33" s="2">
        <v>8</v>
      </c>
    </row>
    <row r="34" spans="3:47" ht="15" thickBot="1" x14ac:dyDescent="0.4">
      <c r="C34" s="147"/>
      <c r="D34" s="103"/>
      <c r="E34" s="90"/>
      <c r="F34" s="92"/>
      <c r="G34" s="94"/>
      <c r="H34" s="96"/>
      <c r="I34" s="98"/>
      <c r="J34" s="100"/>
      <c r="K34" s="102"/>
      <c r="L34" s="87"/>
      <c r="M34" s="87"/>
      <c r="N34" s="77"/>
      <c r="O34" s="77"/>
      <c r="P34" s="83"/>
      <c r="Q34" s="83"/>
      <c r="R34" s="77"/>
      <c r="S34" s="77"/>
      <c r="T34" s="77"/>
      <c r="U34" s="77"/>
      <c r="V34" s="75"/>
      <c r="W34" s="77"/>
      <c r="X34" s="79"/>
      <c r="Y34" s="70"/>
      <c r="Z34" s="70"/>
      <c r="AA34" s="81"/>
      <c r="AB34" s="70"/>
      <c r="AC34" s="70"/>
      <c r="AD34" s="70"/>
      <c r="AE34" s="135"/>
      <c r="AF34" s="73"/>
      <c r="AG34" s="14">
        <f t="shared" ref="AG34" si="229">IF(AF33=0,0,AF33*24 + 0.5)</f>
        <v>0</v>
      </c>
      <c r="AH34" s="11">
        <f t="shared" ref="AH34" si="230">AG34/24</f>
        <v>0</v>
      </c>
      <c r="AI34" s="10">
        <f t="shared" ref="AI34" si="231">IF(AG34=0,0,AG34+0.5)</f>
        <v>0</v>
      </c>
      <c r="AJ34" s="12">
        <f t="shared" ref="AJ34" si="232">IF(AI34=0,0,AI34/24)</f>
        <v>0</v>
      </c>
      <c r="AK34" s="10">
        <f t="shared" ref="AK34" si="233">IF(AG34=0,0,AG34+1.5)</f>
        <v>0</v>
      </c>
      <c r="AL34" s="13">
        <f t="shared" ref="AL34" si="234">AK34/24</f>
        <v>0</v>
      </c>
      <c r="AM34" s="131"/>
      <c r="AN34" s="142">
        <f>AQ5+3</f>
        <v>25</v>
      </c>
      <c r="AO34" s="39"/>
      <c r="AU34" s="2">
        <v>9</v>
      </c>
    </row>
    <row r="35" spans="3:47" ht="43.5" x14ac:dyDescent="0.35">
      <c r="C35" s="145" t="s">
        <v>68</v>
      </c>
      <c r="D35" s="89" t="str">
        <f t="shared" si="90"/>
        <v>Lundi</v>
      </c>
      <c r="E35" s="89" t="str">
        <f>"22 "&amp; $AR$5</f>
        <v>22 Juin</v>
      </c>
      <c r="F35" s="91" t="s">
        <v>20</v>
      </c>
      <c r="G35" s="93"/>
      <c r="H35" s="95"/>
      <c r="I35" s="97"/>
      <c r="J35" s="99"/>
      <c r="K35" s="101">
        <v>0.31111111111111101</v>
      </c>
      <c r="L35" s="86">
        <v>0.32500000000000001</v>
      </c>
      <c r="M35" s="88">
        <v>3.125E-2</v>
      </c>
      <c r="N35" s="76">
        <f t="shared" ref="N35" si="235">M35*24</f>
        <v>0.75</v>
      </c>
      <c r="O35" s="85">
        <f t="shared" ref="O35" si="236">I35-H35</f>
        <v>0</v>
      </c>
      <c r="P35" s="82">
        <f t="shared" ref="P35" si="237">IF(O35&lt;0.75,IF(I35=0,0,I35-H35),M35)</f>
        <v>0</v>
      </c>
      <c r="Q35" s="82">
        <f t="shared" ref="Q35" si="238">IF(R35&lt;0,0,R35/24)</f>
        <v>0</v>
      </c>
      <c r="R35" s="84" t="str">
        <f t="shared" ref="R35" si="239">IF(P35=0,"0",M35*24-P35*24)</f>
        <v>0</v>
      </c>
      <c r="S35" s="76">
        <f t="shared" ref="S35" si="240">P35*24</f>
        <v>0</v>
      </c>
      <c r="T35" s="76">
        <f t="shared" ref="T35" si="241">IF(R35&lt;0,S35,S35+R35)</f>
        <v>0</v>
      </c>
      <c r="U35" s="76">
        <f t="shared" ref="U35" si="242">IF(T35&lt;=0.75,M35,T35/24)</f>
        <v>3.125E-2</v>
      </c>
      <c r="V35" s="74">
        <f t="shared" ref="V35" si="243">G35*24</f>
        <v>0</v>
      </c>
      <c r="W35" s="76">
        <f t="shared" ref="W35" si="244">IF(S35&gt;0.75, V35+L35*24+P35*24,V35+L35*24+M35*24)</f>
        <v>8.5500000000000007</v>
      </c>
      <c r="X35" s="78">
        <f t="shared" ref="X35" si="245">IF(J35=0,24*(H35-G35)-(K35*24+1/6),(24*(J35-G35)-((U35*24)+(L35*24))))</f>
        <v>-7.6333333333333311</v>
      </c>
      <c r="Y35" s="71">
        <f t="shared" ref="Y35" si="246">IF(X35&lt;=-7.63,0,IF(X35&gt;=0,0,IF(X35&lt;0,ABS(X35)/24,"0")))</f>
        <v>0</v>
      </c>
      <c r="Z35" s="71" t="str">
        <f t="shared" ref="Z35" si="247">IF(X35&lt;0,"0",ABS(X35)/24)</f>
        <v>0</v>
      </c>
      <c r="AA35" s="80">
        <f>IF(X35&lt;-7.63,0,SUM($X$7:X36)+$AA$5)</f>
        <v>0</v>
      </c>
      <c r="AB35" s="69" t="str">
        <f t="shared" ref="AB35" si="248">IF(G35=0,"Heure d'arrivée non rentrée",IF((H35=0),"heure de départ en pause repas non rentrée",IF(I35=0,"Heure de fin de repas non rentrée",IF(J35=0,"Heure de sortie non rentrée",IF(AA35&lt;0,ABS(AA35)/24,0)))))</f>
        <v>Heure d'arrivée non rentrée</v>
      </c>
      <c r="AC35" s="71" t="str">
        <f t="shared" ref="AC35" si="249">IF(G35=0,"Heure d'arrivée non rentrée",IF((H35=0),"heure de départ en pause repas non rentrée",IF(I35=0,"Heure de fin de repas non rentrée",IF(J35=0,"Heure de sortie non rentrée",IF(AA35&gt;0,ABS(AA35)/24,0)))))</f>
        <v>Heure d'arrivée non rentrée</v>
      </c>
      <c r="AD35" s="71">
        <f t="shared" ref="AD35" si="250">IF(G35=0,0,IF(H35=0, "Heure de repas non rentrée",IF(I35=0, H35-G35, IF(J35=0,"Heure de sortie non rentrée",IF(Y35=0,(K35+Z35),K35-Y35)))))</f>
        <v>0</v>
      </c>
      <c r="AE35" s="134" t="str">
        <f t="shared" ref="AE35" si="251">IF(G35=0,"",IF($AS$5="Heure d'arrivée non rentrée","",IF($AS$5="heure de départ en pause repas non rentrée","",IF($AS$5="Heure de fin de repas non rentrée","",IF($AS$5="Heure de sortie non rentrée","",IF($AT$5="Heure d'arrivée non rentrée","",IF($AT$5="heure de départ en pause repas non rentrée","",IF($AT$5="Heure de fin de repas non rentrée","",IF($AT$5="Heure de sortie non rentrée","",IF($AS$5&gt;0,AF35+$AS$5,IF($AT$5&gt;0,AF35:AF36-$AT$5,"")))))))))))</f>
        <v/>
      </c>
      <c r="AF35" s="72">
        <f t="shared" ref="AF35" si="252">IF(W35=8.55,0,W35/24)</f>
        <v>0</v>
      </c>
      <c r="AG35" s="3" t="s">
        <v>3</v>
      </c>
      <c r="AH35" s="1" t="s">
        <v>3</v>
      </c>
      <c r="AI35" s="1" t="s">
        <v>4</v>
      </c>
      <c r="AJ35" s="1" t="s">
        <v>4</v>
      </c>
      <c r="AK35" s="1" t="s">
        <v>5</v>
      </c>
      <c r="AL35" s="9" t="s">
        <v>5</v>
      </c>
      <c r="AM35" s="131">
        <v>22</v>
      </c>
      <c r="AN35" s="142">
        <f>AQ5+3</f>
        <v>25</v>
      </c>
      <c r="AO35" s="39"/>
      <c r="AU35" s="2">
        <v>10</v>
      </c>
    </row>
    <row r="36" spans="3:47" ht="15" thickBot="1" x14ac:dyDescent="0.4">
      <c r="C36" s="147"/>
      <c r="D36" s="103"/>
      <c r="E36" s="90"/>
      <c r="F36" s="92"/>
      <c r="G36" s="94"/>
      <c r="H36" s="96"/>
      <c r="I36" s="98"/>
      <c r="J36" s="100"/>
      <c r="K36" s="102"/>
      <c r="L36" s="87"/>
      <c r="M36" s="87"/>
      <c r="N36" s="77"/>
      <c r="O36" s="77"/>
      <c r="P36" s="83"/>
      <c r="Q36" s="83"/>
      <c r="R36" s="77"/>
      <c r="S36" s="77"/>
      <c r="T36" s="77"/>
      <c r="U36" s="77"/>
      <c r="V36" s="75"/>
      <c r="W36" s="77"/>
      <c r="X36" s="79"/>
      <c r="Y36" s="70"/>
      <c r="Z36" s="70"/>
      <c r="AA36" s="81"/>
      <c r="AB36" s="70"/>
      <c r="AC36" s="70"/>
      <c r="AD36" s="70"/>
      <c r="AE36" s="135"/>
      <c r="AF36" s="73"/>
      <c r="AG36" s="14">
        <f t="shared" ref="AG36" si="253">IF(AF35=0,0,AF35*24 + 0.5)</f>
        <v>0</v>
      </c>
      <c r="AH36" s="11">
        <f t="shared" ref="AH36" si="254">AG36/24</f>
        <v>0</v>
      </c>
      <c r="AI36" s="10">
        <f t="shared" ref="AI36" si="255">IF(AG36=0,0,AG36+0.5)</f>
        <v>0</v>
      </c>
      <c r="AJ36" s="12">
        <f t="shared" ref="AJ36" si="256">IF(AI36=0,0,AI36/24)</f>
        <v>0</v>
      </c>
      <c r="AK36" s="10">
        <f t="shared" ref="AK36" si="257">IF(AG36=0,0,AG36+1.5)</f>
        <v>0</v>
      </c>
      <c r="AL36" s="13">
        <f t="shared" ref="AL36" si="258">AK36/24</f>
        <v>0</v>
      </c>
      <c r="AM36" s="131"/>
      <c r="AN36" s="142">
        <f>AQ5+3</f>
        <v>25</v>
      </c>
      <c r="AO36" s="39"/>
      <c r="AU36" s="2">
        <v>11</v>
      </c>
    </row>
    <row r="37" spans="3:47" ht="43.5" x14ac:dyDescent="0.35">
      <c r="C37" s="145"/>
      <c r="D37" s="89" t="str">
        <f t="shared" si="90"/>
        <v>Mardi</v>
      </c>
      <c r="E37" s="89" t="str">
        <f>"23 "&amp; $AR$5</f>
        <v>23 Juin</v>
      </c>
      <c r="F37" s="91" t="s">
        <v>20</v>
      </c>
      <c r="G37" s="93"/>
      <c r="H37" s="95"/>
      <c r="I37" s="97"/>
      <c r="J37" s="99"/>
      <c r="K37" s="101">
        <v>0.31111111111111101</v>
      </c>
      <c r="L37" s="86">
        <v>0.32500000000000001</v>
      </c>
      <c r="M37" s="88">
        <v>3.125E-2</v>
      </c>
      <c r="N37" s="76">
        <f t="shared" ref="N37" si="259">M37*24</f>
        <v>0.75</v>
      </c>
      <c r="O37" s="85">
        <f t="shared" ref="O37" si="260">I37-H37</f>
        <v>0</v>
      </c>
      <c r="P37" s="82">
        <f t="shared" ref="P37" si="261">IF(O37&lt;0.75,IF(I37=0,0,I37-H37),M37)</f>
        <v>0</v>
      </c>
      <c r="Q37" s="82">
        <f t="shared" ref="Q37" si="262">IF(R37&lt;0,0,R37/24)</f>
        <v>0</v>
      </c>
      <c r="R37" s="84" t="str">
        <f t="shared" ref="R37" si="263">IF(P37=0,"0",M37*24-P37*24)</f>
        <v>0</v>
      </c>
      <c r="S37" s="76">
        <f t="shared" ref="S37" si="264">P37*24</f>
        <v>0</v>
      </c>
      <c r="T37" s="76">
        <f t="shared" ref="T37" si="265">IF(R37&lt;0,S37,S37+R37)</f>
        <v>0</v>
      </c>
      <c r="U37" s="76">
        <f t="shared" ref="U37" si="266">IF(T37&lt;=0.75,M37,T37/24)</f>
        <v>3.125E-2</v>
      </c>
      <c r="V37" s="74">
        <f t="shared" ref="V37" si="267">G37*24</f>
        <v>0</v>
      </c>
      <c r="W37" s="76">
        <f t="shared" ref="W37" si="268">IF(S37&gt;0.75, V37+L37*24+P37*24,V37+L37*24+M37*24)</f>
        <v>8.5500000000000007</v>
      </c>
      <c r="X37" s="78">
        <f t="shared" ref="X37" si="269">IF(J37=0,24*(H37-G37)-(K37*24+1/6),(24*(J37-G37)-((U37*24)+(L37*24))))</f>
        <v>-7.6333333333333311</v>
      </c>
      <c r="Y37" s="71">
        <f t="shared" ref="Y37" si="270">IF(X37&lt;=-7.63,0,IF(X37&gt;=0,0,IF(X37&lt;0,ABS(X37)/24,"0")))</f>
        <v>0</v>
      </c>
      <c r="Z37" s="71" t="str">
        <f t="shared" ref="Z37" si="271">IF(X37&lt;0,"0",ABS(X37)/24)</f>
        <v>0</v>
      </c>
      <c r="AA37" s="80">
        <f>IF(X37&lt;-7.63,0,SUM($X$7:X38)+$AA$5)</f>
        <v>0</v>
      </c>
      <c r="AB37" s="69" t="str">
        <f t="shared" ref="AB37" si="272">IF(G37=0,"Heure d'arrivée non rentrée",IF((H37=0),"heure de départ en pause repas non rentrée",IF(I37=0,"Heure de fin de repas non rentrée",IF(J37=0,"Heure de sortie non rentrée",IF(AA37&lt;0,ABS(AA37)/24,0)))))</f>
        <v>Heure d'arrivée non rentrée</v>
      </c>
      <c r="AC37" s="71" t="str">
        <f t="shared" ref="AC37" si="273">IF(G37=0,"Heure d'arrivée non rentrée",IF((H37=0),"heure de départ en pause repas non rentrée",IF(I37=0,"Heure de fin de repas non rentrée",IF(J37=0,"Heure de sortie non rentrée",IF(AA37&gt;0,ABS(AA37)/24,0)))))</f>
        <v>Heure d'arrivée non rentrée</v>
      </c>
      <c r="AD37" s="71">
        <f t="shared" ref="AD37" si="274">IF(G37=0,0,IF(H37=0, "Heure de repas non rentrée",IF(I37=0, H37-G37, IF(J37=0,"Heure de sortie non rentrée",IF(Y37=0,(K37+Z37),K37-Y37)))))</f>
        <v>0</v>
      </c>
      <c r="AE37" s="134" t="str">
        <f t="shared" ref="AE37" si="275">IF(G37=0,"",IF($AS$5="Heure d'arrivée non rentrée","",IF($AS$5="heure de départ en pause repas non rentrée","",IF($AS$5="Heure de fin de repas non rentrée","",IF($AS$5="Heure de sortie non rentrée","",IF($AT$5="Heure d'arrivée non rentrée","",IF($AT$5="heure de départ en pause repas non rentrée","",IF($AT$5="Heure de fin de repas non rentrée","",IF($AT$5="Heure de sortie non rentrée","",IF($AS$5&gt;0,AF37+$AS$5,IF($AT$5&gt;0,AF37:AF38-$AT$5,"")))))))))))</f>
        <v/>
      </c>
      <c r="AF37" s="72">
        <f t="shared" ref="AF37" si="276">IF(W37=8.55,0,W37/24)</f>
        <v>0</v>
      </c>
      <c r="AG37" s="3" t="s">
        <v>3</v>
      </c>
      <c r="AH37" s="1" t="s">
        <v>3</v>
      </c>
      <c r="AI37" s="1" t="s">
        <v>4</v>
      </c>
      <c r="AJ37" s="1" t="s">
        <v>4</v>
      </c>
      <c r="AK37" s="1" t="s">
        <v>5</v>
      </c>
      <c r="AL37" s="9" t="s">
        <v>5</v>
      </c>
      <c r="AM37" s="131">
        <v>23</v>
      </c>
      <c r="AN37" s="142">
        <f>AQ5+3</f>
        <v>25</v>
      </c>
      <c r="AO37" s="39"/>
      <c r="AU37" s="2">
        <v>12</v>
      </c>
    </row>
    <row r="38" spans="3:47" ht="15" thickBot="1" x14ac:dyDescent="0.4">
      <c r="C38" s="147"/>
      <c r="D38" s="103"/>
      <c r="E38" s="90"/>
      <c r="F38" s="92"/>
      <c r="G38" s="94"/>
      <c r="H38" s="96"/>
      <c r="I38" s="98"/>
      <c r="J38" s="100"/>
      <c r="K38" s="102"/>
      <c r="L38" s="87"/>
      <c r="M38" s="87"/>
      <c r="N38" s="77"/>
      <c r="O38" s="77"/>
      <c r="P38" s="83"/>
      <c r="Q38" s="83"/>
      <c r="R38" s="77"/>
      <c r="S38" s="77"/>
      <c r="T38" s="77"/>
      <c r="U38" s="77"/>
      <c r="V38" s="75"/>
      <c r="W38" s="77"/>
      <c r="X38" s="79"/>
      <c r="Y38" s="70"/>
      <c r="Z38" s="70"/>
      <c r="AA38" s="81"/>
      <c r="AB38" s="70"/>
      <c r="AC38" s="70"/>
      <c r="AD38" s="70"/>
      <c r="AE38" s="135"/>
      <c r="AF38" s="73"/>
      <c r="AG38" s="14">
        <f t="shared" ref="AG38" si="277">IF(AF37=0,0,AF37*24 + 0.5)</f>
        <v>0</v>
      </c>
      <c r="AH38" s="11">
        <f t="shared" ref="AH38" si="278">AG38/24</f>
        <v>0</v>
      </c>
      <c r="AI38" s="10">
        <f t="shared" ref="AI38" si="279">IF(AG38=0,0,AG38+0.5)</f>
        <v>0</v>
      </c>
      <c r="AJ38" s="12">
        <f t="shared" ref="AJ38" si="280">IF(AI38=0,0,AI38/24)</f>
        <v>0</v>
      </c>
      <c r="AK38" s="10">
        <f t="shared" ref="AK38" si="281">IF(AG38=0,0,AG38+1.5)</f>
        <v>0</v>
      </c>
      <c r="AL38" s="13">
        <f t="shared" ref="AL38" si="282">AK38/24</f>
        <v>0</v>
      </c>
      <c r="AM38" s="131"/>
      <c r="AN38" s="142">
        <f>AQ5+3</f>
        <v>25</v>
      </c>
      <c r="AO38" s="39"/>
      <c r="AU38" s="2">
        <v>13</v>
      </c>
    </row>
    <row r="39" spans="3:47" ht="43.5" x14ac:dyDescent="0.35">
      <c r="C39" s="145"/>
      <c r="D39" s="89" t="str">
        <f t="shared" si="90"/>
        <v>Mercredi</v>
      </c>
      <c r="E39" s="89" t="str">
        <f>"24 "&amp; $AR$5</f>
        <v>24 Juin</v>
      </c>
      <c r="F39" s="91" t="s">
        <v>20</v>
      </c>
      <c r="G39" s="93"/>
      <c r="H39" s="95"/>
      <c r="I39" s="97"/>
      <c r="J39" s="99"/>
      <c r="K39" s="101">
        <v>0.31111111111111101</v>
      </c>
      <c r="L39" s="86">
        <v>0.32500000000000001</v>
      </c>
      <c r="M39" s="88">
        <v>3.125E-2</v>
      </c>
      <c r="N39" s="76">
        <f t="shared" ref="N39" si="283">M39*24</f>
        <v>0.75</v>
      </c>
      <c r="O39" s="85">
        <f t="shared" ref="O39" si="284">I39-H39</f>
        <v>0</v>
      </c>
      <c r="P39" s="82">
        <f t="shared" ref="P39" si="285">IF(O39&lt;0.75,IF(I39=0,0,I39-H39),M39)</f>
        <v>0</v>
      </c>
      <c r="Q39" s="82">
        <f t="shared" ref="Q39" si="286">IF(R39&lt;0,0,R39/24)</f>
        <v>0</v>
      </c>
      <c r="R39" s="84" t="str">
        <f t="shared" ref="R39" si="287">IF(P39=0,"0",M39*24-P39*24)</f>
        <v>0</v>
      </c>
      <c r="S39" s="76">
        <f t="shared" ref="S39" si="288">P39*24</f>
        <v>0</v>
      </c>
      <c r="T39" s="76">
        <f t="shared" ref="T39" si="289">IF(R39&lt;0,S39,S39+R39)</f>
        <v>0</v>
      </c>
      <c r="U39" s="76">
        <f t="shared" ref="U39" si="290">IF(T39&lt;=0.75,M39,T39/24)</f>
        <v>3.125E-2</v>
      </c>
      <c r="V39" s="74">
        <f t="shared" ref="V39" si="291">G39*24</f>
        <v>0</v>
      </c>
      <c r="W39" s="76">
        <f t="shared" ref="W39" si="292">IF(S39&gt;0.75, V39+L39*24+P39*24,V39+L39*24+M39*24)</f>
        <v>8.5500000000000007</v>
      </c>
      <c r="X39" s="78">
        <f t="shared" ref="X39" si="293">IF(J39=0,24*(H39-G39)-(K39*24+1/6),(24*(J39-G39)-((U39*24)+(L39*24))))</f>
        <v>-7.6333333333333311</v>
      </c>
      <c r="Y39" s="71">
        <f t="shared" ref="Y39" si="294">IF(X39&lt;=-7.63,0,IF(X39&gt;=0,0,IF(X39&lt;0,ABS(X39)/24,"0")))</f>
        <v>0</v>
      </c>
      <c r="Z39" s="71" t="str">
        <f t="shared" ref="Z39" si="295">IF(X39&lt;0,"0",ABS(X39)/24)</f>
        <v>0</v>
      </c>
      <c r="AA39" s="80">
        <f>IF(X39&lt;-7.63,0,SUM($X$7:X40)+$AA$5)</f>
        <v>0</v>
      </c>
      <c r="AB39" s="69" t="str">
        <f t="shared" ref="AB39" si="296">IF(G39=0,"Heure d'arrivée non rentrée",IF((H39=0),"heure de départ en pause repas non rentrée",IF(I39=0,"Heure de fin de repas non rentrée",IF(J39=0,"Heure de sortie non rentrée",IF(AA39&lt;0,ABS(AA39)/24,0)))))</f>
        <v>Heure d'arrivée non rentrée</v>
      </c>
      <c r="AC39" s="71" t="str">
        <f t="shared" ref="AC39" si="297">IF(G39=0,"Heure d'arrivée non rentrée",IF((H39=0),"heure de départ en pause repas non rentrée",IF(I39=0,"Heure de fin de repas non rentrée",IF(J39=0,"Heure de sortie non rentrée",IF(AA39&gt;0,ABS(AA39)/24,0)))))</f>
        <v>Heure d'arrivée non rentrée</v>
      </c>
      <c r="AD39" s="71">
        <f t="shared" ref="AD39" si="298">IF(G39=0,0,IF(H39=0, "Heure de repas non rentrée",IF(I39=0, H39-G39, IF(J39=0,"Heure de sortie non rentrée",IF(Y39=0,(K39+Z39),K39-Y39)))))</f>
        <v>0</v>
      </c>
      <c r="AE39" s="134" t="str">
        <f t="shared" ref="AE39" si="299">IF(G39=0,"",IF($AS$5="Heure d'arrivée non rentrée","",IF($AS$5="heure de départ en pause repas non rentrée","",IF($AS$5="Heure de fin de repas non rentrée","",IF($AS$5="Heure de sortie non rentrée","",IF($AT$5="Heure d'arrivée non rentrée","",IF($AT$5="heure de départ en pause repas non rentrée","",IF($AT$5="Heure de fin de repas non rentrée","",IF($AT$5="Heure de sortie non rentrée","",IF($AS$5&gt;0,AF39+$AS$5,IF($AT$5&gt;0,AF39:AF40-$AT$5,"")))))))))))</f>
        <v/>
      </c>
      <c r="AF39" s="72">
        <f t="shared" ref="AF39" si="300">IF(W39=8.55,0,W39/24)</f>
        <v>0</v>
      </c>
      <c r="AG39" s="3" t="s">
        <v>3</v>
      </c>
      <c r="AH39" s="1" t="s">
        <v>3</v>
      </c>
      <c r="AI39" s="1" t="s">
        <v>4</v>
      </c>
      <c r="AJ39" s="1" t="s">
        <v>4</v>
      </c>
      <c r="AK39" s="1" t="s">
        <v>5</v>
      </c>
      <c r="AL39" s="9" t="s">
        <v>5</v>
      </c>
      <c r="AM39" s="131">
        <v>24</v>
      </c>
      <c r="AN39" s="142">
        <f>AQ5+3</f>
        <v>25</v>
      </c>
      <c r="AO39" s="39"/>
      <c r="AU39" s="2">
        <v>14</v>
      </c>
    </row>
    <row r="40" spans="3:47" ht="15" thickBot="1" x14ac:dyDescent="0.4">
      <c r="C40" s="147"/>
      <c r="D40" s="103"/>
      <c r="E40" s="90"/>
      <c r="F40" s="92"/>
      <c r="G40" s="94"/>
      <c r="H40" s="96"/>
      <c r="I40" s="98"/>
      <c r="J40" s="100"/>
      <c r="K40" s="102"/>
      <c r="L40" s="87"/>
      <c r="M40" s="87"/>
      <c r="N40" s="77"/>
      <c r="O40" s="77"/>
      <c r="P40" s="83"/>
      <c r="Q40" s="83"/>
      <c r="R40" s="77"/>
      <c r="S40" s="77"/>
      <c r="T40" s="77"/>
      <c r="U40" s="77"/>
      <c r="V40" s="75"/>
      <c r="W40" s="77"/>
      <c r="X40" s="79"/>
      <c r="Y40" s="70"/>
      <c r="Z40" s="70"/>
      <c r="AA40" s="81"/>
      <c r="AB40" s="70"/>
      <c r="AC40" s="70"/>
      <c r="AD40" s="70"/>
      <c r="AE40" s="135"/>
      <c r="AF40" s="73"/>
      <c r="AG40" s="14">
        <f t="shared" ref="AG40" si="301">IF(AF39=0,0,AF39*24 + 0.5)</f>
        <v>0</v>
      </c>
      <c r="AH40" s="11">
        <f t="shared" ref="AH40" si="302">AG40/24</f>
        <v>0</v>
      </c>
      <c r="AI40" s="10">
        <f t="shared" ref="AI40" si="303">IF(AG40=0,0,AG40+0.5)</f>
        <v>0</v>
      </c>
      <c r="AJ40" s="12">
        <f t="shared" ref="AJ40" si="304">IF(AI40=0,0,AI40/24)</f>
        <v>0</v>
      </c>
      <c r="AK40" s="10">
        <f t="shared" ref="AK40" si="305">IF(AG40=0,0,AG40+1.5)</f>
        <v>0</v>
      </c>
      <c r="AL40" s="13">
        <f t="shared" ref="AL40" si="306">AK40/24</f>
        <v>0</v>
      </c>
      <c r="AM40" s="138"/>
      <c r="AN40" s="143">
        <f>AQ5+3</f>
        <v>25</v>
      </c>
      <c r="AO40" s="39"/>
      <c r="AU40" s="2">
        <v>15</v>
      </c>
    </row>
    <row r="41" spans="3:47" ht="43.5" x14ac:dyDescent="0.35">
      <c r="C41" s="145"/>
      <c r="D41" s="89" t="str">
        <f t="shared" si="90"/>
        <v>Jeudi</v>
      </c>
      <c r="E41" s="89" t="str">
        <f>"27 "&amp; $AR$5</f>
        <v>27 Juin</v>
      </c>
      <c r="F41" s="91" t="s">
        <v>20</v>
      </c>
      <c r="G41" s="93"/>
      <c r="H41" s="95"/>
      <c r="I41" s="97"/>
      <c r="J41" s="99"/>
      <c r="K41" s="101">
        <v>0.31111111111111101</v>
      </c>
      <c r="L41" s="86">
        <v>0.32500000000000001</v>
      </c>
      <c r="M41" s="88">
        <v>3.125E-2</v>
      </c>
      <c r="N41" s="76">
        <f t="shared" ref="N41" si="307">M41*24</f>
        <v>0.75</v>
      </c>
      <c r="O41" s="85">
        <f t="shared" ref="O41" si="308">I41-H41</f>
        <v>0</v>
      </c>
      <c r="P41" s="82">
        <f t="shared" ref="P41" si="309">IF(O41&lt;0.75,IF(I41=0,0,I41-H41),M41)</f>
        <v>0</v>
      </c>
      <c r="Q41" s="82">
        <f t="shared" ref="Q41" si="310">IF(R41&lt;0,0,R41/24)</f>
        <v>0</v>
      </c>
      <c r="R41" s="84" t="str">
        <f t="shared" ref="R41" si="311">IF(P41=0,"0",M41*24-P41*24)</f>
        <v>0</v>
      </c>
      <c r="S41" s="76">
        <f t="shared" ref="S41" si="312">P41*24</f>
        <v>0</v>
      </c>
      <c r="T41" s="76">
        <f t="shared" ref="T41" si="313">IF(R41&lt;0,S41,S41+R41)</f>
        <v>0</v>
      </c>
      <c r="U41" s="76">
        <f t="shared" ref="U41" si="314">IF(T41&lt;=0.75,M41,T41/24)</f>
        <v>3.125E-2</v>
      </c>
      <c r="V41" s="74">
        <f t="shared" ref="V41" si="315">G41*24</f>
        <v>0</v>
      </c>
      <c r="W41" s="76">
        <f t="shared" ref="W41" si="316">IF(S41&gt;0.75, V41+L41*24+P41*24,V41+L41*24+M41*24)</f>
        <v>8.5500000000000007</v>
      </c>
      <c r="X41" s="78">
        <f t="shared" ref="X41" si="317">IF(J41=0,24*(H41-G41)-(K41*24+1/6),(24*(J41-G41)-((U41*24)+(L41*24))))</f>
        <v>-7.6333333333333311</v>
      </c>
      <c r="Y41" s="71">
        <f t="shared" ref="Y41" si="318">IF(X41&lt;=-7.63,0,IF(X41&gt;=0,0,IF(X41&lt;0,ABS(X41)/24,"0")))</f>
        <v>0</v>
      </c>
      <c r="Z41" s="71" t="str">
        <f t="shared" ref="Z41" si="319">IF(X41&lt;0,"0",ABS(X41)/24)</f>
        <v>0</v>
      </c>
      <c r="AA41" s="80">
        <f>IF(X41&lt;-7.63,0,SUM($X$7:X42)+$AA$5)</f>
        <v>0</v>
      </c>
      <c r="AB41" s="69" t="str">
        <f t="shared" ref="AB41" si="320">IF(G41=0,"Heure d'arrivée non rentrée",IF((H41=0),"heure de départ en pause repas non rentrée",IF(I41=0,"Heure de fin de repas non rentrée",IF(J41=0,"Heure de sortie non rentrée",IF(AA41&lt;0,ABS(AA41)/24,0)))))</f>
        <v>Heure d'arrivée non rentrée</v>
      </c>
      <c r="AC41" s="71" t="str">
        <f t="shared" ref="AC41" si="321">IF(G41=0,"Heure d'arrivée non rentrée",IF((H41=0),"heure de départ en pause repas non rentrée",IF(I41=0,"Heure de fin de repas non rentrée",IF(J41=0,"Heure de sortie non rentrée",IF(AA41&gt;0,ABS(AA41)/24,0)))))</f>
        <v>Heure d'arrivée non rentrée</v>
      </c>
      <c r="AD41" s="71">
        <f t="shared" ref="AD41" si="322">IF(G41=0,0,IF(H41=0, "Heure de repas non rentrée",IF(I41=0, H41-G41, IF(J41=0,"Heure de sortie non rentrée",IF(Y41=0,(K41+Z41),K41-Y41)))))</f>
        <v>0</v>
      </c>
      <c r="AE41" s="134" t="str">
        <f t="shared" ref="AE41" si="323">IF(G41=0,"",IF($AS$5="Heure d'arrivée non rentrée","",IF($AS$5="heure de départ en pause repas non rentrée","",IF($AS$5="Heure de fin de repas non rentrée","",IF($AS$5="Heure de sortie non rentrée","",IF($AT$5="Heure d'arrivée non rentrée","",IF($AT$5="heure de départ en pause repas non rentrée","",IF($AT$5="Heure de fin de repas non rentrée","",IF($AT$5="Heure de sortie non rentrée","",IF($AS$5&gt;0,AF41+$AS$5,IF($AT$5&gt;0,AF41:AF42-$AT$5,"")))))))))))</f>
        <v/>
      </c>
      <c r="AF41" s="72">
        <f t="shared" ref="AF41" si="324">IF(W41=8.55,0,W41/24)</f>
        <v>0</v>
      </c>
      <c r="AG41" s="3" t="s">
        <v>3</v>
      </c>
      <c r="AH41" s="1" t="s">
        <v>3</v>
      </c>
      <c r="AI41" s="1" t="s">
        <v>4</v>
      </c>
      <c r="AJ41" s="1" t="s">
        <v>4</v>
      </c>
      <c r="AK41" s="1" t="s">
        <v>5</v>
      </c>
      <c r="AL41" s="9" t="s">
        <v>5</v>
      </c>
      <c r="AM41" s="129">
        <v>27</v>
      </c>
      <c r="AN41" s="141">
        <f>AQ5+4</f>
        <v>26</v>
      </c>
      <c r="AO41" s="39"/>
      <c r="AU41" s="2">
        <v>16</v>
      </c>
    </row>
    <row r="42" spans="3:47" ht="15" thickBot="1" x14ac:dyDescent="0.4">
      <c r="C42" s="147"/>
      <c r="D42" s="103"/>
      <c r="E42" s="90"/>
      <c r="F42" s="92"/>
      <c r="G42" s="94"/>
      <c r="H42" s="96"/>
      <c r="I42" s="98"/>
      <c r="J42" s="100"/>
      <c r="K42" s="102"/>
      <c r="L42" s="87"/>
      <c r="M42" s="87"/>
      <c r="N42" s="77"/>
      <c r="O42" s="77"/>
      <c r="P42" s="83"/>
      <c r="Q42" s="83"/>
      <c r="R42" s="77"/>
      <c r="S42" s="77"/>
      <c r="T42" s="77"/>
      <c r="U42" s="77"/>
      <c r="V42" s="75"/>
      <c r="W42" s="77"/>
      <c r="X42" s="79"/>
      <c r="Y42" s="70"/>
      <c r="Z42" s="70"/>
      <c r="AA42" s="81"/>
      <c r="AB42" s="70"/>
      <c r="AC42" s="70"/>
      <c r="AD42" s="70"/>
      <c r="AE42" s="135"/>
      <c r="AF42" s="73"/>
      <c r="AG42" s="14">
        <f t="shared" ref="AG42" si="325">IF(AF41=0,0,AF41*24 + 0.5)</f>
        <v>0</v>
      </c>
      <c r="AH42" s="11">
        <f t="shared" ref="AH42" si="326">AG42/24</f>
        <v>0</v>
      </c>
      <c r="AI42" s="10">
        <f t="shared" ref="AI42" si="327">IF(AG42=0,0,AG42+0.5)</f>
        <v>0</v>
      </c>
      <c r="AJ42" s="12">
        <f t="shared" ref="AJ42" si="328">IF(AI42=0,0,AI42/24)</f>
        <v>0</v>
      </c>
      <c r="AK42" s="10">
        <f t="shared" ref="AK42" si="329">IF(AG42=0,0,AG42+1.5)</f>
        <v>0</v>
      </c>
      <c r="AL42" s="13">
        <f t="shared" ref="AL42" si="330">AK42/24</f>
        <v>0</v>
      </c>
      <c r="AM42" s="131"/>
      <c r="AN42" s="142">
        <f>AQ5+4</f>
        <v>26</v>
      </c>
      <c r="AO42" s="39"/>
      <c r="AU42" s="2">
        <v>17</v>
      </c>
    </row>
    <row r="43" spans="3:47" ht="43.5" x14ac:dyDescent="0.35">
      <c r="C43" s="145"/>
      <c r="D43" s="89" t="str">
        <f t="shared" si="90"/>
        <v>Vendredi</v>
      </c>
      <c r="E43" s="89" t="str">
        <f>"28 "&amp; $AR$5</f>
        <v>28 Juin</v>
      </c>
      <c r="F43" s="91" t="s">
        <v>20</v>
      </c>
      <c r="G43" s="93"/>
      <c r="H43" s="95"/>
      <c r="I43" s="97"/>
      <c r="J43" s="99"/>
      <c r="K43" s="101">
        <v>0.31111111111111101</v>
      </c>
      <c r="L43" s="86">
        <v>0.32500000000000001</v>
      </c>
      <c r="M43" s="88">
        <v>3.125E-2</v>
      </c>
      <c r="N43" s="76">
        <f t="shared" ref="N43" si="331">M43*24</f>
        <v>0.75</v>
      </c>
      <c r="O43" s="85">
        <f t="shared" ref="O43" si="332">I43-H43</f>
        <v>0</v>
      </c>
      <c r="P43" s="82">
        <f t="shared" ref="P43" si="333">IF(O43&lt;0.75,IF(I43=0,0,I43-H43),M43)</f>
        <v>0</v>
      </c>
      <c r="Q43" s="82">
        <f t="shared" ref="Q43" si="334">IF(R43&lt;0,0,R43/24)</f>
        <v>0</v>
      </c>
      <c r="R43" s="84" t="str">
        <f t="shared" ref="R43" si="335">IF(P43=0,"0",M43*24-P43*24)</f>
        <v>0</v>
      </c>
      <c r="S43" s="76">
        <f t="shared" ref="S43" si="336">P43*24</f>
        <v>0</v>
      </c>
      <c r="T43" s="76">
        <f t="shared" ref="T43" si="337">IF(R43&lt;0,S43,S43+R43)</f>
        <v>0</v>
      </c>
      <c r="U43" s="76">
        <f t="shared" ref="U43" si="338">IF(T43&lt;=0.75,M43,T43/24)</f>
        <v>3.125E-2</v>
      </c>
      <c r="V43" s="74">
        <f t="shared" ref="V43" si="339">G43*24</f>
        <v>0</v>
      </c>
      <c r="W43" s="76">
        <f t="shared" ref="W43" si="340">IF(S43&gt;0.75, V43+L43*24+P43*24,V43+L43*24+M43*24)</f>
        <v>8.5500000000000007</v>
      </c>
      <c r="X43" s="78">
        <f t="shared" ref="X43" si="341">IF(J43=0,24*(H43-G43)-(K43*24+1/6),(24*(J43-G43)-((U43*24)+(L43*24))))</f>
        <v>-7.6333333333333311</v>
      </c>
      <c r="Y43" s="71">
        <f t="shared" ref="Y43" si="342">IF(X43&lt;=-7.63,0,IF(X43&gt;=0,0,IF(X43&lt;0,ABS(X43)/24,"0")))</f>
        <v>0</v>
      </c>
      <c r="Z43" s="71" t="str">
        <f t="shared" ref="Z43" si="343">IF(X43&lt;0,"0",ABS(X43)/24)</f>
        <v>0</v>
      </c>
      <c r="AA43" s="80">
        <f>IF(X43&lt;-7.63,0,SUM($X$7:X44)+$AA$5)</f>
        <v>0</v>
      </c>
      <c r="AB43" s="69" t="str">
        <f t="shared" ref="AB43" si="344">IF(G43=0,"Heure d'arrivée non rentrée",IF((H43=0),"heure de départ en pause repas non rentrée",IF(I43=0,"Heure de fin de repas non rentrée",IF(J43=0,"Heure de sortie non rentrée",IF(AA43&lt;0,ABS(AA43)/24,0)))))</f>
        <v>Heure d'arrivée non rentrée</v>
      </c>
      <c r="AC43" s="71" t="str">
        <f t="shared" ref="AC43" si="345">IF(G43=0,"Heure d'arrivée non rentrée",IF((H43=0),"heure de départ en pause repas non rentrée",IF(I43=0,"Heure de fin de repas non rentrée",IF(J43=0,"Heure de sortie non rentrée",IF(AA43&gt;0,ABS(AA43)/24,0)))))</f>
        <v>Heure d'arrivée non rentrée</v>
      </c>
      <c r="AD43" s="71">
        <f t="shared" ref="AD43" si="346">IF(G43=0,0,IF(H43=0, "Heure de repas non rentrée",IF(I43=0, H43-G43, IF(J43=0,"Heure de sortie non rentrée",IF(Y43=0,(K43+Z43),K43-Y43)))))</f>
        <v>0</v>
      </c>
      <c r="AE43" s="134" t="str">
        <f t="shared" ref="AE43" si="347">IF(G43=0,"",IF($AS$5="Heure d'arrivée non rentrée","",IF($AS$5="heure de départ en pause repas non rentrée","",IF($AS$5="Heure de fin de repas non rentrée","",IF($AS$5="Heure de sortie non rentrée","",IF($AT$5="Heure d'arrivée non rentrée","",IF($AT$5="heure de départ en pause repas non rentrée","",IF($AT$5="Heure de fin de repas non rentrée","",IF($AT$5="Heure de sortie non rentrée","",IF($AS$5&gt;0,AF43+$AS$5,IF($AT$5&gt;0,AF43:AF44-$AT$5,"")))))))))))</f>
        <v/>
      </c>
      <c r="AF43" s="72">
        <f t="shared" ref="AF43" si="348">IF(W43=8.55,0,W43/24)</f>
        <v>0</v>
      </c>
      <c r="AG43" s="3" t="s">
        <v>3</v>
      </c>
      <c r="AH43" s="1" t="s">
        <v>3</v>
      </c>
      <c r="AI43" s="1" t="s">
        <v>4</v>
      </c>
      <c r="AJ43" s="1" t="s">
        <v>4</v>
      </c>
      <c r="AK43" s="1" t="s">
        <v>5</v>
      </c>
      <c r="AL43" s="9" t="s">
        <v>5</v>
      </c>
      <c r="AM43" s="131">
        <v>28</v>
      </c>
      <c r="AN43" s="142">
        <f>AQ5+4</f>
        <v>26</v>
      </c>
      <c r="AO43" s="39"/>
      <c r="AU43" s="2">
        <v>18</v>
      </c>
    </row>
    <row r="44" spans="3:47" ht="15" thickBot="1" x14ac:dyDescent="0.4">
      <c r="C44" s="147"/>
      <c r="D44" s="103"/>
      <c r="E44" s="90"/>
      <c r="F44" s="92"/>
      <c r="G44" s="94"/>
      <c r="H44" s="96"/>
      <c r="I44" s="98"/>
      <c r="J44" s="100"/>
      <c r="K44" s="102"/>
      <c r="L44" s="87"/>
      <c r="M44" s="87"/>
      <c r="N44" s="77"/>
      <c r="O44" s="77"/>
      <c r="P44" s="83"/>
      <c r="Q44" s="83"/>
      <c r="R44" s="77"/>
      <c r="S44" s="77"/>
      <c r="T44" s="77"/>
      <c r="U44" s="77"/>
      <c r="V44" s="75"/>
      <c r="W44" s="77"/>
      <c r="X44" s="79"/>
      <c r="Y44" s="70"/>
      <c r="Z44" s="70"/>
      <c r="AA44" s="81"/>
      <c r="AB44" s="70"/>
      <c r="AC44" s="70"/>
      <c r="AD44" s="70"/>
      <c r="AE44" s="135"/>
      <c r="AF44" s="73"/>
      <c r="AG44" s="14">
        <f t="shared" ref="AG44" si="349">IF(AF43=0,0,AF43*24 + 0.5)</f>
        <v>0</v>
      </c>
      <c r="AH44" s="11">
        <f t="shared" ref="AH44" si="350">AG44/24</f>
        <v>0</v>
      </c>
      <c r="AI44" s="10">
        <f t="shared" ref="AI44" si="351">IF(AG44=0,0,AG44+0.5)</f>
        <v>0</v>
      </c>
      <c r="AJ44" s="12">
        <f t="shared" ref="AJ44" si="352">IF(AI44=0,0,AI44/24)</f>
        <v>0</v>
      </c>
      <c r="AK44" s="10">
        <f t="shared" ref="AK44" si="353">IF(AG44=0,0,AG44+1.5)</f>
        <v>0</v>
      </c>
      <c r="AL44" s="13">
        <f t="shared" ref="AL44" si="354">AK44/24</f>
        <v>0</v>
      </c>
      <c r="AM44" s="131"/>
      <c r="AN44" s="142">
        <f>AQ5+4</f>
        <v>26</v>
      </c>
      <c r="AO44" s="39"/>
      <c r="AU44" s="2">
        <v>19</v>
      </c>
    </row>
    <row r="45" spans="3:47" ht="43.5" x14ac:dyDescent="0.35">
      <c r="C45" s="145" t="s">
        <v>64</v>
      </c>
      <c r="D45" s="89" t="str">
        <f t="shared" si="90"/>
        <v>Lundi</v>
      </c>
      <c r="E45" s="89" t="str">
        <f>"29 "&amp; $AR$5</f>
        <v>29 Juin</v>
      </c>
      <c r="F45" s="91" t="s">
        <v>20</v>
      </c>
      <c r="G45" s="93"/>
      <c r="H45" s="95"/>
      <c r="I45" s="97"/>
      <c r="J45" s="99"/>
      <c r="K45" s="101">
        <v>0.31111111111111101</v>
      </c>
      <c r="L45" s="86">
        <v>0.32500000000000001</v>
      </c>
      <c r="M45" s="88">
        <v>3.125E-2</v>
      </c>
      <c r="N45" s="76">
        <f t="shared" ref="N45" si="355">M45*24</f>
        <v>0.75</v>
      </c>
      <c r="O45" s="85">
        <f t="shared" ref="O45" si="356">I45-H45</f>
        <v>0</v>
      </c>
      <c r="P45" s="82">
        <f t="shared" ref="P45" si="357">IF(O45&lt;0.75,IF(I45=0,0,I45-H45),M45)</f>
        <v>0</v>
      </c>
      <c r="Q45" s="82">
        <f t="shared" ref="Q45" si="358">IF(R45&lt;0,0,R45/24)</f>
        <v>0</v>
      </c>
      <c r="R45" s="84" t="str">
        <f t="shared" ref="R45" si="359">IF(P45=0,"0",M45*24-P45*24)</f>
        <v>0</v>
      </c>
      <c r="S45" s="76">
        <f t="shared" ref="S45" si="360">P45*24</f>
        <v>0</v>
      </c>
      <c r="T45" s="76">
        <f t="shared" ref="T45" si="361">IF(R45&lt;0,S45,S45+R45)</f>
        <v>0</v>
      </c>
      <c r="U45" s="76">
        <f t="shared" ref="U45" si="362">IF(T45&lt;=0.75,M45,T45/24)</f>
        <v>3.125E-2</v>
      </c>
      <c r="V45" s="74">
        <f t="shared" ref="V45" si="363">G45*24</f>
        <v>0</v>
      </c>
      <c r="W45" s="76">
        <f t="shared" ref="W45" si="364">IF(S45&gt;0.75, V45+L45*24+P45*24,V45+L45*24+M45*24)</f>
        <v>8.5500000000000007</v>
      </c>
      <c r="X45" s="78">
        <f t="shared" ref="X45" si="365">IF(J45=0,24*(H45-G45)-(K45*24+1/6),(24*(J45-G45)-((U45*24)+(L45*24))))</f>
        <v>-7.6333333333333311</v>
      </c>
      <c r="Y45" s="71">
        <f t="shared" ref="Y45" si="366">IF(X45&lt;=-7.63,0,IF(X45&gt;=0,0,IF(X45&lt;0,ABS(X45)/24,"0")))</f>
        <v>0</v>
      </c>
      <c r="Z45" s="71" t="str">
        <f t="shared" ref="Z45" si="367">IF(X45&lt;0,"0",ABS(X45)/24)</f>
        <v>0</v>
      </c>
      <c r="AA45" s="80">
        <f>IF(X45&lt;-7.63,0,SUM($X$7:X46)+$AA$5)</f>
        <v>0</v>
      </c>
      <c r="AB45" s="69" t="str">
        <f t="shared" ref="AB45" si="368">IF(G45=0,"Heure d'arrivée non rentrée",IF((H45=0),"heure de départ en pause repas non rentrée",IF(I45=0,"Heure de fin de repas non rentrée",IF(J45=0,"Heure de sortie non rentrée",IF(AA45&lt;0,ABS(AA45)/24,0)))))</f>
        <v>Heure d'arrivée non rentrée</v>
      </c>
      <c r="AC45" s="71" t="str">
        <f t="shared" ref="AC45" si="369">IF(G45=0,"Heure d'arrivée non rentrée",IF((H45=0),"heure de départ en pause repas non rentrée",IF(I45=0,"Heure de fin de repas non rentrée",IF(J45=0,"Heure de sortie non rentrée",IF(AA45&gt;0,ABS(AA45)/24,0)))))</f>
        <v>Heure d'arrivée non rentrée</v>
      </c>
      <c r="AD45" s="71">
        <f t="shared" ref="AD45" si="370">IF(G45=0,0,IF(H45=0, "Heure de repas non rentrée",IF(I45=0, H45-G45, IF(J45=0,"Heure de sortie non rentrée",IF(Y45=0,(K45+Z45),K45-Y45)))))</f>
        <v>0</v>
      </c>
      <c r="AE45" s="134" t="str">
        <f t="shared" ref="AE45" si="371">IF(G45=0,"",IF($AS$5="Heure d'arrivée non rentrée","",IF($AS$5="heure de départ en pause repas non rentrée","",IF($AS$5="Heure de fin de repas non rentrée","",IF($AS$5="Heure de sortie non rentrée","",IF($AT$5="Heure d'arrivée non rentrée","",IF($AT$5="heure de départ en pause repas non rentrée","",IF($AT$5="Heure de fin de repas non rentrée","",IF($AT$5="Heure de sortie non rentrée","",IF($AS$5&gt;0,AF45+$AS$5,IF($AT$5&gt;0,AF45:AF46-$AT$5,"")))))))))))</f>
        <v/>
      </c>
      <c r="AF45" s="72">
        <f t="shared" ref="AF45" si="372">IF(W45=8.55,0,W45/24)</f>
        <v>0</v>
      </c>
      <c r="AG45" s="3" t="s">
        <v>3</v>
      </c>
      <c r="AH45" s="1" t="s">
        <v>3</v>
      </c>
      <c r="AI45" s="1" t="s">
        <v>4</v>
      </c>
      <c r="AJ45" s="1" t="s">
        <v>4</v>
      </c>
      <c r="AK45" s="1" t="s">
        <v>5</v>
      </c>
      <c r="AL45" s="9" t="s">
        <v>5</v>
      </c>
      <c r="AM45" s="131">
        <v>29</v>
      </c>
      <c r="AN45" s="142">
        <f>AQ5+4</f>
        <v>26</v>
      </c>
      <c r="AO45" s="39"/>
      <c r="AU45" s="2">
        <v>20</v>
      </c>
    </row>
    <row r="46" spans="3:47" ht="15" thickBot="1" x14ac:dyDescent="0.4">
      <c r="C46" s="147"/>
      <c r="D46" s="103"/>
      <c r="E46" s="90"/>
      <c r="F46" s="92"/>
      <c r="G46" s="94"/>
      <c r="H46" s="96"/>
      <c r="I46" s="98"/>
      <c r="J46" s="100"/>
      <c r="K46" s="102"/>
      <c r="L46" s="87"/>
      <c r="M46" s="87"/>
      <c r="N46" s="77"/>
      <c r="O46" s="77"/>
      <c r="P46" s="83"/>
      <c r="Q46" s="83"/>
      <c r="R46" s="77"/>
      <c r="S46" s="77"/>
      <c r="T46" s="77"/>
      <c r="U46" s="77"/>
      <c r="V46" s="75"/>
      <c r="W46" s="77"/>
      <c r="X46" s="79"/>
      <c r="Y46" s="70"/>
      <c r="Z46" s="70"/>
      <c r="AA46" s="81"/>
      <c r="AB46" s="70"/>
      <c r="AC46" s="70"/>
      <c r="AD46" s="70"/>
      <c r="AE46" s="135"/>
      <c r="AF46" s="73"/>
      <c r="AG46" s="14">
        <f t="shared" ref="AG46" si="373">IF(AF45=0,0,AF45*24 + 0.5)</f>
        <v>0</v>
      </c>
      <c r="AH46" s="11">
        <f t="shared" ref="AH46" si="374">AG46/24</f>
        <v>0</v>
      </c>
      <c r="AI46" s="10">
        <f t="shared" ref="AI46" si="375">IF(AG46=0,0,AG46+0.5)</f>
        <v>0</v>
      </c>
      <c r="AJ46" s="12">
        <f t="shared" ref="AJ46" si="376">IF(AI46=0,0,AI46/24)</f>
        <v>0</v>
      </c>
      <c r="AK46" s="10">
        <f t="shared" ref="AK46" si="377">IF(AG46=0,0,AG46+1.5)</f>
        <v>0</v>
      </c>
      <c r="AL46" s="13">
        <f t="shared" ref="AL46" si="378">AK46/24</f>
        <v>0</v>
      </c>
      <c r="AM46" s="131"/>
      <c r="AN46" s="142">
        <f>AQ5+4</f>
        <v>26</v>
      </c>
      <c r="AO46" s="39"/>
      <c r="AU46" s="2">
        <v>21</v>
      </c>
    </row>
    <row r="47" spans="3:47" ht="43.5" x14ac:dyDescent="0.35">
      <c r="C47" s="145"/>
      <c r="D47" s="89" t="str">
        <f t="shared" si="90"/>
        <v>Mardi</v>
      </c>
      <c r="E47" s="89" t="str">
        <f>"30 "&amp; $AR$5</f>
        <v>30 Juin</v>
      </c>
      <c r="F47" s="91" t="s">
        <v>20</v>
      </c>
      <c r="G47" s="93"/>
      <c r="H47" s="95"/>
      <c r="I47" s="97"/>
      <c r="J47" s="99"/>
      <c r="K47" s="101">
        <v>0.31111111111111101</v>
      </c>
      <c r="L47" s="86">
        <v>0.32500000000000001</v>
      </c>
      <c r="M47" s="88">
        <v>3.125E-2</v>
      </c>
      <c r="N47" s="76">
        <f t="shared" ref="N47" si="379">M47*24</f>
        <v>0.75</v>
      </c>
      <c r="O47" s="85">
        <f t="shared" ref="O47" si="380">I47-H47</f>
        <v>0</v>
      </c>
      <c r="P47" s="82">
        <f t="shared" ref="P47" si="381">IF(O47&lt;0.75,IF(I47=0,0,I47-H47),M47)</f>
        <v>0</v>
      </c>
      <c r="Q47" s="82">
        <f t="shared" ref="Q47" si="382">IF(R47&lt;0,0,R47/24)</f>
        <v>0</v>
      </c>
      <c r="R47" s="84" t="str">
        <f t="shared" ref="R47" si="383">IF(P47=0,"0",M47*24-P47*24)</f>
        <v>0</v>
      </c>
      <c r="S47" s="76">
        <f t="shared" ref="S47" si="384">P47*24</f>
        <v>0</v>
      </c>
      <c r="T47" s="76">
        <f t="shared" ref="T47" si="385">IF(R47&lt;0,S47,S47+R47)</f>
        <v>0</v>
      </c>
      <c r="U47" s="76">
        <f t="shared" ref="U47" si="386">IF(T47&lt;=0.75,M47,T47/24)</f>
        <v>3.125E-2</v>
      </c>
      <c r="V47" s="74">
        <f t="shared" ref="V47" si="387">G47*24</f>
        <v>0</v>
      </c>
      <c r="W47" s="76">
        <f t="shared" ref="W47" si="388">IF(S47&gt;0.75, V47+L47*24+P47*24,V47+L47*24+M47*24)</f>
        <v>8.5500000000000007</v>
      </c>
      <c r="X47" s="78">
        <f t="shared" ref="X47" si="389">IF(J47=0,24*(H47-G47)-(K47*24+1/6),(24*(J47-G47)-((U47*24)+(L47*24))))</f>
        <v>-7.6333333333333311</v>
      </c>
      <c r="Y47" s="71">
        <f t="shared" ref="Y47" si="390">IF(X47&lt;=-7.63,0,IF(X47&gt;=0,0,IF(X47&lt;0,ABS(X47)/24,"0")))</f>
        <v>0</v>
      </c>
      <c r="Z47" s="71" t="str">
        <f t="shared" ref="Z47" si="391">IF(X47&lt;0,"0",ABS(X47)/24)</f>
        <v>0</v>
      </c>
      <c r="AA47" s="80">
        <f>IF(X47&lt;-7.63,0,SUM($X$7:X48)+$AA$5)</f>
        <v>0</v>
      </c>
      <c r="AB47" s="69" t="str">
        <f t="shared" ref="AB47" si="392">IF(G47=0,"Heure d'arrivée non rentrée",IF((H47=0),"heure de départ en pause repas non rentrée",IF(I47=0,"Heure de fin de repas non rentrée",IF(J47=0,"Heure de sortie non rentrée",IF(AA47&lt;0,ABS(AA47)/24,0)))))</f>
        <v>Heure d'arrivée non rentrée</v>
      </c>
      <c r="AC47" s="71" t="str">
        <f t="shared" ref="AC47" si="393">IF(G47=0,"Heure d'arrivée non rentrée",IF((H47=0),"heure de départ en pause repas non rentrée",IF(I47=0,"Heure de fin de repas non rentrée",IF(J47=0,"Heure de sortie non rentrée",IF(AA47&gt;0,ABS(AA47)/24,0)))))</f>
        <v>Heure d'arrivée non rentrée</v>
      </c>
      <c r="AD47" s="71">
        <f t="shared" ref="AD47" si="394">IF(G47=0,0,IF(H47=0, "Heure de repas non rentrée",IF(I47=0, H47-G47, IF(J47=0,"Heure de sortie non rentrée",IF(Y47=0,(K47+Z47),K47-Y47)))))</f>
        <v>0</v>
      </c>
      <c r="AE47" s="134" t="str">
        <f t="shared" ref="AE47" si="395">IF(G47=0,"",IF($AS$5="Heure d'arrivée non rentrée","",IF($AS$5="heure de départ en pause repas non rentrée","",IF($AS$5="Heure de fin de repas non rentrée","",IF($AS$5="Heure de sortie non rentrée","",IF($AT$5="Heure d'arrivée non rentrée","",IF($AT$5="heure de départ en pause repas non rentrée","",IF($AT$5="Heure de fin de repas non rentrée","",IF($AT$5="Heure de sortie non rentrée","",IF($AS$5&gt;0,AF47+$AS$5,IF($AT$5&gt;0,AF47:AF48-$AT$5,"")))))))))))</f>
        <v/>
      </c>
      <c r="AF47" s="72">
        <f t="shared" ref="AF47" si="396">IF(W47=8.55,0,W47/24)</f>
        <v>0</v>
      </c>
      <c r="AG47" s="3" t="s">
        <v>3</v>
      </c>
      <c r="AH47" s="1" t="s">
        <v>3</v>
      </c>
      <c r="AI47" s="1" t="s">
        <v>4</v>
      </c>
      <c r="AJ47" s="1" t="s">
        <v>4</v>
      </c>
      <c r="AK47" s="1" t="s">
        <v>5</v>
      </c>
      <c r="AL47" s="9" t="s">
        <v>5</v>
      </c>
      <c r="AM47" s="131">
        <v>30</v>
      </c>
      <c r="AN47" s="142">
        <f>AQ5+4</f>
        <v>26</v>
      </c>
      <c r="AO47" s="39"/>
      <c r="AU47" s="2">
        <v>22</v>
      </c>
    </row>
    <row r="48" spans="3:47" ht="15" thickBot="1" x14ac:dyDescent="0.4">
      <c r="C48" s="147"/>
      <c r="D48" s="103"/>
      <c r="E48" s="90"/>
      <c r="F48" s="92"/>
      <c r="G48" s="94"/>
      <c r="H48" s="96"/>
      <c r="I48" s="98"/>
      <c r="J48" s="100"/>
      <c r="K48" s="102"/>
      <c r="L48" s="87"/>
      <c r="M48" s="87"/>
      <c r="N48" s="77"/>
      <c r="O48" s="77"/>
      <c r="P48" s="83"/>
      <c r="Q48" s="83"/>
      <c r="R48" s="77"/>
      <c r="S48" s="77"/>
      <c r="T48" s="77"/>
      <c r="U48" s="77"/>
      <c r="V48" s="75"/>
      <c r="W48" s="77"/>
      <c r="X48" s="79"/>
      <c r="Y48" s="70"/>
      <c r="Z48" s="70"/>
      <c r="AA48" s="81"/>
      <c r="AB48" s="70"/>
      <c r="AC48" s="70"/>
      <c r="AD48" s="70"/>
      <c r="AE48" s="135"/>
      <c r="AF48" s="73"/>
      <c r="AG48" s="14">
        <f t="shared" ref="AG48" si="397">IF(AF47=0,0,AF47*24 + 0.5)</f>
        <v>0</v>
      </c>
      <c r="AH48" s="11">
        <f t="shared" ref="AH48" si="398">AG48/24</f>
        <v>0</v>
      </c>
      <c r="AI48" s="10">
        <f t="shared" ref="AI48" si="399">IF(AG48=0,0,AG48+0.5)</f>
        <v>0</v>
      </c>
      <c r="AJ48" s="12">
        <f t="shared" ref="AJ48" si="400">IF(AI48=0,0,AI48/24)</f>
        <v>0</v>
      </c>
      <c r="AK48" s="10">
        <f t="shared" ref="AK48" si="401">IF(AG48=0,0,AG48+1.5)</f>
        <v>0</v>
      </c>
      <c r="AL48" s="13">
        <f t="shared" ref="AL48" si="402">AK48/24</f>
        <v>0</v>
      </c>
      <c r="AM48" s="131"/>
      <c r="AN48" s="142">
        <f>AQ5+4</f>
        <v>26</v>
      </c>
      <c r="AO48" s="39"/>
      <c r="AU48" s="2">
        <v>23</v>
      </c>
    </row>
    <row r="49" spans="3:47" ht="43.5" x14ac:dyDescent="0.35">
      <c r="C49" s="145"/>
      <c r="D49" s="89" t="str">
        <f t="shared" si="90"/>
        <v>Mercredi</v>
      </c>
      <c r="E49" s="103" t="str">
        <f>"31 "&amp; $AR$5</f>
        <v>31 Juin</v>
      </c>
      <c r="F49" s="91" t="s">
        <v>20</v>
      </c>
      <c r="G49" s="93"/>
      <c r="H49" s="95"/>
      <c r="I49" s="97"/>
      <c r="J49" s="99"/>
      <c r="K49" s="101">
        <v>0.31111111111111101</v>
      </c>
      <c r="L49" s="86">
        <v>0.32500000000000001</v>
      </c>
      <c r="M49" s="88">
        <v>3.125E-2</v>
      </c>
      <c r="N49" s="76">
        <f t="shared" ref="N49" si="403">M49*24</f>
        <v>0.75</v>
      </c>
      <c r="O49" s="85">
        <f t="shared" ref="O49" si="404">I49-H49</f>
        <v>0</v>
      </c>
      <c r="P49" s="82">
        <f t="shared" ref="P49" si="405">IF(O49&lt;0.75,IF(I49=0,0,I49-H49),M49)</f>
        <v>0</v>
      </c>
      <c r="Q49" s="82">
        <f t="shared" ref="Q49" si="406">IF(R49&lt;0,0,R49/24)</f>
        <v>0</v>
      </c>
      <c r="R49" s="84" t="str">
        <f t="shared" ref="R49" si="407">IF(P49=0,"0",M49*24-P49*24)</f>
        <v>0</v>
      </c>
      <c r="S49" s="76">
        <f t="shared" ref="S49" si="408">P49*24</f>
        <v>0</v>
      </c>
      <c r="T49" s="76">
        <f t="shared" ref="T49" si="409">IF(R49&lt;0,S49,S49+R49)</f>
        <v>0</v>
      </c>
      <c r="U49" s="76">
        <f t="shared" ref="U49" si="410">IF(T49&lt;=0.75,M49,T49/24)</f>
        <v>3.125E-2</v>
      </c>
      <c r="V49" s="74">
        <f t="shared" ref="V49" si="411">G49*24</f>
        <v>0</v>
      </c>
      <c r="W49" s="76">
        <f t="shared" ref="W49" si="412">IF(S49&gt;0.75, V49+L49*24+P49*24,V49+L49*24+M49*24)</f>
        <v>8.5500000000000007</v>
      </c>
      <c r="X49" s="78">
        <f t="shared" ref="X49" si="413">IF(J49=0,24*(H49-G49)-(K49*24+1/6),(24*(J49-G49)-((U49*24)+(L49*24))))</f>
        <v>-7.6333333333333311</v>
      </c>
      <c r="Y49" s="71">
        <f t="shared" ref="Y49" si="414">IF(X49&lt;=-7.63,0,IF(X49&gt;=0,0,IF(X49&lt;0,ABS(X49)/24,"0")))</f>
        <v>0</v>
      </c>
      <c r="Z49" s="71" t="str">
        <f t="shared" ref="Z49" si="415">IF(X49&lt;0,"0",ABS(X49)/24)</f>
        <v>0</v>
      </c>
      <c r="AA49" s="80">
        <f>IF(X49&lt;-7.63,0,SUM($X$7:X50)+$AA$5)</f>
        <v>0</v>
      </c>
      <c r="AB49" s="69" t="str">
        <f t="shared" ref="AB49" si="416">IF(G49=0,"Heure d'arrivée non rentrée",IF((H49=0),"heure de départ en pause repas non rentrée",IF(I49=0,"Heure de fin de repas non rentrée",IF(J49=0,"Heure de sortie non rentrée",IF(AA49&lt;0,ABS(AA49)/24,0)))))</f>
        <v>Heure d'arrivée non rentrée</v>
      </c>
      <c r="AC49" s="71" t="str">
        <f t="shared" ref="AC49" si="417">IF(G49=0,"Heure d'arrivée non rentrée",IF((H49=0),"heure de départ en pause repas non rentrée",IF(I49=0,"Heure de fin de repas non rentrée",IF(J49=0,"Heure de sortie non rentrée",IF(AA49&gt;0,ABS(AA49)/24,0)))))</f>
        <v>Heure d'arrivée non rentrée</v>
      </c>
      <c r="AD49" s="71">
        <f t="shared" ref="AD49" si="418">IF(G49=0,0,IF(H49=0, "Heure de repas non rentrée",IF(I49=0, H49-G49, IF(J49=0,"Heure de sortie non rentrée",IF(Y49=0,(K49+Z49),K49-Y49)))))</f>
        <v>0</v>
      </c>
      <c r="AE49" s="134" t="str">
        <f t="shared" ref="AE49" si="419">IF(G49=0,"",IF($AS$5="Heure d'arrivée non rentrée","",IF($AS$5="heure de départ en pause repas non rentrée","",IF($AS$5="Heure de fin de repas non rentrée","",IF($AS$5="Heure de sortie non rentrée","",IF($AT$5="Heure d'arrivée non rentrée","",IF($AT$5="heure de départ en pause repas non rentrée","",IF($AT$5="Heure de fin de repas non rentrée","",IF($AT$5="Heure de sortie non rentrée","",IF($AS$5&gt;0,AF49+$AS$5,IF($AT$5&gt;0,AF49:AF50-$AT$5,"")))))))))))</f>
        <v/>
      </c>
      <c r="AF49" s="72">
        <f t="shared" ref="AF49" si="420">IF(W49=8.55,0,W49/24)</f>
        <v>0</v>
      </c>
      <c r="AG49" s="3" t="s">
        <v>3</v>
      </c>
      <c r="AH49" s="1" t="s">
        <v>3</v>
      </c>
      <c r="AI49" s="1" t="s">
        <v>4</v>
      </c>
      <c r="AJ49" s="1" t="s">
        <v>4</v>
      </c>
      <c r="AK49" s="1" t="s">
        <v>5</v>
      </c>
      <c r="AL49" s="9" t="s">
        <v>5</v>
      </c>
      <c r="AM49" s="131">
        <v>31</v>
      </c>
      <c r="AN49" s="142">
        <f>AQ5+4</f>
        <v>26</v>
      </c>
      <c r="AO49" s="39"/>
      <c r="AU49" s="2">
        <v>24</v>
      </c>
    </row>
    <row r="50" spans="3:47" ht="15" thickBot="1" x14ac:dyDescent="0.4">
      <c r="C50" s="147"/>
      <c r="D50" s="103"/>
      <c r="E50" s="90"/>
      <c r="F50" s="92"/>
      <c r="G50" s="94"/>
      <c r="H50" s="96"/>
      <c r="I50" s="98"/>
      <c r="J50" s="100"/>
      <c r="K50" s="102"/>
      <c r="L50" s="87"/>
      <c r="M50" s="87"/>
      <c r="N50" s="77"/>
      <c r="O50" s="77"/>
      <c r="P50" s="83"/>
      <c r="Q50" s="83"/>
      <c r="R50" s="77"/>
      <c r="S50" s="77"/>
      <c r="T50" s="77"/>
      <c r="U50" s="77"/>
      <c r="V50" s="75"/>
      <c r="W50" s="77"/>
      <c r="X50" s="79"/>
      <c r="Y50" s="70"/>
      <c r="Z50" s="70"/>
      <c r="AA50" s="81"/>
      <c r="AB50" s="70"/>
      <c r="AC50" s="70"/>
      <c r="AD50" s="70"/>
      <c r="AE50" s="135"/>
      <c r="AF50" s="73"/>
      <c r="AG50" s="14">
        <f t="shared" ref="AG50" si="421">IF(AF49=0,0,AF49*24 + 0.5)</f>
        <v>0</v>
      </c>
      <c r="AH50" s="11">
        <f t="shared" ref="AH50" si="422">AG50/24</f>
        <v>0</v>
      </c>
      <c r="AI50" s="10">
        <f t="shared" ref="AI50" si="423">IF(AG50=0,0,AG50+0.5)</f>
        <v>0</v>
      </c>
      <c r="AJ50" s="12">
        <f t="shared" ref="AJ50" si="424">IF(AI50=0,0,AI50/24)</f>
        <v>0</v>
      </c>
      <c r="AK50" s="10">
        <f t="shared" ref="AK50" si="425">IF(AG50=0,0,AG50+1.5)</f>
        <v>0</v>
      </c>
      <c r="AL50" s="13">
        <f t="shared" ref="AL50" si="426">AK50/24</f>
        <v>0</v>
      </c>
      <c r="AM50" s="130"/>
      <c r="AN50" s="143">
        <f>AQ5+4</f>
        <v>26</v>
      </c>
      <c r="AO50" s="39"/>
      <c r="AU50" s="2">
        <v>25</v>
      </c>
    </row>
    <row r="51" spans="3:47" x14ac:dyDescent="0.35">
      <c r="C51" s="145"/>
      <c r="D51" s="148" t="str">
        <f t="shared" si="90"/>
        <v>Jeudi</v>
      </c>
      <c r="E51" s="45"/>
      <c r="AU51" s="2">
        <v>26</v>
      </c>
    </row>
    <row r="52" spans="3:47" ht="15" thickBot="1" x14ac:dyDescent="0.4">
      <c r="C52" s="147"/>
      <c r="D52" s="149"/>
      <c r="AU52" s="2">
        <v>27</v>
      </c>
    </row>
    <row r="53" spans="3:47" x14ac:dyDescent="0.35">
      <c r="C53" s="145"/>
      <c r="AU53" s="2">
        <v>28</v>
      </c>
    </row>
    <row r="54" spans="3:47" ht="15" thickBot="1" x14ac:dyDescent="0.4">
      <c r="C54" s="147"/>
      <c r="AU54" s="2">
        <v>29</v>
      </c>
    </row>
    <row r="55" spans="3:47" x14ac:dyDescent="0.35">
      <c r="C55" s="145" t="s">
        <v>68</v>
      </c>
      <c r="AU55" s="2">
        <v>30</v>
      </c>
    </row>
    <row r="56" spans="3:47" ht="15" thickBot="1" x14ac:dyDescent="0.4">
      <c r="C56" s="147"/>
      <c r="AU56" s="2">
        <v>31</v>
      </c>
    </row>
    <row r="57" spans="3:47" x14ac:dyDescent="0.35">
      <c r="C57" s="146"/>
      <c r="AU57" s="2">
        <v>32</v>
      </c>
    </row>
    <row r="58" spans="3:47" ht="15" thickBot="1" x14ac:dyDescent="0.4">
      <c r="C58" s="147"/>
      <c r="AU58" s="2">
        <v>33</v>
      </c>
    </row>
    <row r="59" spans="3:47" x14ac:dyDescent="0.35">
      <c r="C59" s="146"/>
      <c r="AU59" s="2">
        <v>34</v>
      </c>
    </row>
    <row r="60" spans="3:47" ht="15" thickBot="1" x14ac:dyDescent="0.4">
      <c r="C60" s="147"/>
      <c r="AU60" s="2">
        <v>35</v>
      </c>
    </row>
    <row r="61" spans="3:47" x14ac:dyDescent="0.35">
      <c r="C61" s="146"/>
      <c r="AU61" s="2">
        <v>36</v>
      </c>
    </row>
    <row r="62" spans="3:47" ht="15" thickBot="1" x14ac:dyDescent="0.4">
      <c r="C62" s="147"/>
      <c r="AU62" s="2">
        <v>37</v>
      </c>
    </row>
    <row r="63" spans="3:47" x14ac:dyDescent="0.35">
      <c r="C63" s="146"/>
      <c r="AU63" s="2">
        <v>38</v>
      </c>
    </row>
    <row r="64" spans="3:47" ht="15" thickBot="1" x14ac:dyDescent="0.4">
      <c r="C64" s="147"/>
      <c r="AU64" s="2">
        <v>39</v>
      </c>
    </row>
    <row r="65" spans="47:47" x14ac:dyDescent="0.35">
      <c r="AU65" s="2">
        <v>40</v>
      </c>
    </row>
    <row r="66" spans="47:47" x14ac:dyDescent="0.35">
      <c r="AU66" s="2">
        <v>41</v>
      </c>
    </row>
    <row r="67" spans="47:47" x14ac:dyDescent="0.35">
      <c r="AU67" s="2">
        <v>42</v>
      </c>
    </row>
    <row r="68" spans="47:47" x14ac:dyDescent="0.35">
      <c r="AU68" s="2">
        <v>43</v>
      </c>
    </row>
    <row r="69" spans="47:47" x14ac:dyDescent="0.35">
      <c r="AU69" s="2">
        <v>44</v>
      </c>
    </row>
    <row r="70" spans="47:47" x14ac:dyDescent="0.35">
      <c r="AU70" s="2">
        <v>45</v>
      </c>
    </row>
    <row r="71" spans="47:47" x14ac:dyDescent="0.35">
      <c r="AU71" s="2">
        <v>46</v>
      </c>
    </row>
    <row r="72" spans="47:47" x14ac:dyDescent="0.35">
      <c r="AU72" s="2">
        <v>47</v>
      </c>
    </row>
    <row r="73" spans="47:47" x14ac:dyDescent="0.35">
      <c r="AU73" s="2">
        <v>48</v>
      </c>
    </row>
    <row r="74" spans="47:47" x14ac:dyDescent="0.35">
      <c r="AU74" s="2">
        <v>49</v>
      </c>
    </row>
    <row r="75" spans="47:47" x14ac:dyDescent="0.35">
      <c r="AU75" s="2">
        <v>50</v>
      </c>
    </row>
    <row r="76" spans="47:47" x14ac:dyDescent="0.35">
      <c r="AU76" s="2">
        <v>51</v>
      </c>
    </row>
    <row r="77" spans="47:47" x14ac:dyDescent="0.35">
      <c r="AU77" s="2">
        <v>52</v>
      </c>
    </row>
    <row r="78" spans="47:47" x14ac:dyDescent="0.35">
      <c r="AU78" s="2">
        <v>53</v>
      </c>
    </row>
  </sheetData>
  <mergeCells count="707">
    <mergeCell ref="C15:C24"/>
    <mergeCell ref="C25:C34"/>
    <mergeCell ref="C35:C44"/>
    <mergeCell ref="C45:C54"/>
    <mergeCell ref="C55:C64"/>
    <mergeCell ref="D51:D52"/>
    <mergeCell ref="AC49:AC50"/>
    <mergeCell ref="AD49:AD50"/>
    <mergeCell ref="Q49:Q50"/>
    <mergeCell ref="R49:R50"/>
    <mergeCell ref="S49:S50"/>
    <mergeCell ref="T49:T50"/>
    <mergeCell ref="U49:U50"/>
    <mergeCell ref="V49:V50"/>
    <mergeCell ref="K49:K50"/>
    <mergeCell ref="L49:L50"/>
    <mergeCell ref="M49:M50"/>
    <mergeCell ref="N49:N50"/>
    <mergeCell ref="O49:O50"/>
    <mergeCell ref="P49:P50"/>
    <mergeCell ref="O47:O48"/>
    <mergeCell ref="P47:P48"/>
    <mergeCell ref="Q47:Q48"/>
    <mergeCell ref="R47:R48"/>
    <mergeCell ref="AE49:AE50"/>
    <mergeCell ref="AF49:AF50"/>
    <mergeCell ref="AM49:AM50"/>
    <mergeCell ref="W49:W50"/>
    <mergeCell ref="X49:X50"/>
    <mergeCell ref="Y49:Y50"/>
    <mergeCell ref="Z49:Z50"/>
    <mergeCell ref="AA49:AA50"/>
    <mergeCell ref="AB49:AB50"/>
    <mergeCell ref="AE47:AE48"/>
    <mergeCell ref="AF47:AF48"/>
    <mergeCell ref="AM47:AM48"/>
    <mergeCell ref="D49:D50"/>
    <mergeCell ref="E49:E50"/>
    <mergeCell ref="F49:F50"/>
    <mergeCell ref="G49:G50"/>
    <mergeCell ref="H49:H50"/>
    <mergeCell ref="I49:I50"/>
    <mergeCell ref="J49:J50"/>
    <mergeCell ref="Y47:Y48"/>
    <mergeCell ref="Z47:Z48"/>
    <mergeCell ref="AA47:AA48"/>
    <mergeCell ref="AB47:AB48"/>
    <mergeCell ref="AC47:AC48"/>
    <mergeCell ref="AD47:AD48"/>
    <mergeCell ref="S47:S48"/>
    <mergeCell ref="T47:T48"/>
    <mergeCell ref="U47:U48"/>
    <mergeCell ref="V47:V48"/>
    <mergeCell ref="W47:W48"/>
    <mergeCell ref="X47:X48"/>
    <mergeCell ref="M47:M48"/>
    <mergeCell ref="N47:N48"/>
    <mergeCell ref="AM45:AM46"/>
    <mergeCell ref="D47:D48"/>
    <mergeCell ref="E47:E48"/>
    <mergeCell ref="F47:F48"/>
    <mergeCell ref="G47:G48"/>
    <mergeCell ref="H47:H48"/>
    <mergeCell ref="I47:I48"/>
    <mergeCell ref="J47:J48"/>
    <mergeCell ref="K47:K48"/>
    <mergeCell ref="L47:L48"/>
    <mergeCell ref="AA45:AA46"/>
    <mergeCell ref="AB45:AB46"/>
    <mergeCell ref="AC45:AC46"/>
    <mergeCell ref="AD45:AD46"/>
    <mergeCell ref="AE45:AE46"/>
    <mergeCell ref="AF45:AF46"/>
    <mergeCell ref="U45:U46"/>
    <mergeCell ref="V45:V46"/>
    <mergeCell ref="W45:W46"/>
    <mergeCell ref="X45:X46"/>
    <mergeCell ref="Y45:Y46"/>
    <mergeCell ref="Z45:Z46"/>
    <mergeCell ref="O45:O46"/>
    <mergeCell ref="P45:P46"/>
    <mergeCell ref="Q45:Q46"/>
    <mergeCell ref="R45:R46"/>
    <mergeCell ref="S45:S46"/>
    <mergeCell ref="T45:T46"/>
    <mergeCell ref="I45:I46"/>
    <mergeCell ref="J45:J46"/>
    <mergeCell ref="K45:K46"/>
    <mergeCell ref="L45:L46"/>
    <mergeCell ref="M45:M46"/>
    <mergeCell ref="N45:N46"/>
    <mergeCell ref="AC43:AC44"/>
    <mergeCell ref="AD43:AD44"/>
    <mergeCell ref="AE43:AE44"/>
    <mergeCell ref="AF43:AF44"/>
    <mergeCell ref="AM43:AM44"/>
    <mergeCell ref="D45:D46"/>
    <mergeCell ref="E45:E46"/>
    <mergeCell ref="F45:F46"/>
    <mergeCell ref="G45:G46"/>
    <mergeCell ref="H45:H46"/>
    <mergeCell ref="W43:W44"/>
    <mergeCell ref="X43:X44"/>
    <mergeCell ref="Y43:Y44"/>
    <mergeCell ref="Z43:Z44"/>
    <mergeCell ref="AA43:AA44"/>
    <mergeCell ref="AB43:AB44"/>
    <mergeCell ref="Q43:Q44"/>
    <mergeCell ref="R43:R44"/>
    <mergeCell ref="S43:S44"/>
    <mergeCell ref="T43:T44"/>
    <mergeCell ref="U43:U44"/>
    <mergeCell ref="V43:V44"/>
    <mergeCell ref="K43:K44"/>
    <mergeCell ref="L43:L44"/>
    <mergeCell ref="M43:M44"/>
    <mergeCell ref="N43:N44"/>
    <mergeCell ref="O43:O44"/>
    <mergeCell ref="P43:P44"/>
    <mergeCell ref="AF41:AF42"/>
    <mergeCell ref="AM41:AM42"/>
    <mergeCell ref="AN41:AN50"/>
    <mergeCell ref="D43:D44"/>
    <mergeCell ref="E43:E44"/>
    <mergeCell ref="F43:F44"/>
    <mergeCell ref="G43:G44"/>
    <mergeCell ref="H43:H44"/>
    <mergeCell ref="I43:I44"/>
    <mergeCell ref="J43:J44"/>
    <mergeCell ref="Z41:Z42"/>
    <mergeCell ref="AA41:AA42"/>
    <mergeCell ref="AB41:AB42"/>
    <mergeCell ref="AC41:AC42"/>
    <mergeCell ref="AD41:AD42"/>
    <mergeCell ref="AE41:AE42"/>
    <mergeCell ref="T41:T42"/>
    <mergeCell ref="U41:U42"/>
    <mergeCell ref="V41:V42"/>
    <mergeCell ref="W41:W42"/>
    <mergeCell ref="X41:X42"/>
    <mergeCell ref="Y41:Y42"/>
    <mergeCell ref="N41:N42"/>
    <mergeCell ref="O41:O42"/>
    <mergeCell ref="P41:P42"/>
    <mergeCell ref="Q41:Q42"/>
    <mergeCell ref="R41:R42"/>
    <mergeCell ref="S41:S42"/>
    <mergeCell ref="H41:H42"/>
    <mergeCell ref="I41:I42"/>
    <mergeCell ref="J41:J42"/>
    <mergeCell ref="K41:K42"/>
    <mergeCell ref="L41:L42"/>
    <mergeCell ref="M41:M42"/>
    <mergeCell ref="AC39:AC40"/>
    <mergeCell ref="AD39:AD40"/>
    <mergeCell ref="AE39:AE40"/>
    <mergeCell ref="AF39:AF40"/>
    <mergeCell ref="AM39:AM40"/>
    <mergeCell ref="D41:D42"/>
    <mergeCell ref="E41:E42"/>
    <mergeCell ref="F41:F42"/>
    <mergeCell ref="G41:G42"/>
    <mergeCell ref="W39:W40"/>
    <mergeCell ref="X39:X40"/>
    <mergeCell ref="Y39:Y40"/>
    <mergeCell ref="Z39:Z40"/>
    <mergeCell ref="AA39:AA40"/>
    <mergeCell ref="AB39:AB40"/>
    <mergeCell ref="Q39:Q40"/>
    <mergeCell ref="R39:R40"/>
    <mergeCell ref="S39:S40"/>
    <mergeCell ref="T39:T40"/>
    <mergeCell ref="U39:U40"/>
    <mergeCell ref="V39:V40"/>
    <mergeCell ref="K39:K40"/>
    <mergeCell ref="L39:L40"/>
    <mergeCell ref="M39:M40"/>
    <mergeCell ref="N39:N40"/>
    <mergeCell ref="O39:O40"/>
    <mergeCell ref="P39:P40"/>
    <mergeCell ref="AE37:AE38"/>
    <mergeCell ref="AF37:AF38"/>
    <mergeCell ref="AM37:AM38"/>
    <mergeCell ref="D39:D40"/>
    <mergeCell ref="E39:E40"/>
    <mergeCell ref="F39:F40"/>
    <mergeCell ref="G39:G40"/>
    <mergeCell ref="H39:H40"/>
    <mergeCell ref="I39:I40"/>
    <mergeCell ref="J39:J40"/>
    <mergeCell ref="Y37:Y38"/>
    <mergeCell ref="Z37:Z38"/>
    <mergeCell ref="AA37:AA38"/>
    <mergeCell ref="AB37:AB38"/>
    <mergeCell ref="AC37:AC38"/>
    <mergeCell ref="AD37:AD38"/>
    <mergeCell ref="S37:S38"/>
    <mergeCell ref="T37:T38"/>
    <mergeCell ref="U37:U38"/>
    <mergeCell ref="V37:V38"/>
    <mergeCell ref="W37:W38"/>
    <mergeCell ref="X37:X38"/>
    <mergeCell ref="M37:M38"/>
    <mergeCell ref="N37:N38"/>
    <mergeCell ref="O37:O38"/>
    <mergeCell ref="P37:P38"/>
    <mergeCell ref="Q37:Q38"/>
    <mergeCell ref="R37:R38"/>
    <mergeCell ref="AM35:AM36"/>
    <mergeCell ref="AA35:AA36"/>
    <mergeCell ref="AB35:AB36"/>
    <mergeCell ref="AC35:AC36"/>
    <mergeCell ref="AD35:AD36"/>
    <mergeCell ref="AE35:AE36"/>
    <mergeCell ref="AF35:AF36"/>
    <mergeCell ref="U35:U36"/>
    <mergeCell ref="V35:V36"/>
    <mergeCell ref="W35:W36"/>
    <mergeCell ref="X35:X36"/>
    <mergeCell ref="Y35:Y36"/>
    <mergeCell ref="Z35:Z36"/>
    <mergeCell ref="O35:O36"/>
    <mergeCell ref="P35:P36"/>
    <mergeCell ref="Q35:Q36"/>
    <mergeCell ref="R35:R36"/>
    <mergeCell ref="D37:D38"/>
    <mergeCell ref="E37:E38"/>
    <mergeCell ref="F37:F38"/>
    <mergeCell ref="G37:G38"/>
    <mergeCell ref="H37:H38"/>
    <mergeCell ref="I37:I38"/>
    <mergeCell ref="J37:J38"/>
    <mergeCell ref="K37:K38"/>
    <mergeCell ref="L37:L38"/>
    <mergeCell ref="S35:S36"/>
    <mergeCell ref="T35:T36"/>
    <mergeCell ref="I35:I36"/>
    <mergeCell ref="J35:J36"/>
    <mergeCell ref="K35:K36"/>
    <mergeCell ref="L35:L36"/>
    <mergeCell ref="M35:M36"/>
    <mergeCell ref="N35:N36"/>
    <mergeCell ref="AC33:AC34"/>
    <mergeCell ref="N33:N34"/>
    <mergeCell ref="O33:O34"/>
    <mergeCell ref="P33:P34"/>
    <mergeCell ref="AD33:AD34"/>
    <mergeCell ref="AE33:AE34"/>
    <mergeCell ref="AF33:AF34"/>
    <mergeCell ref="AM33:AM34"/>
    <mergeCell ref="D35:D36"/>
    <mergeCell ref="E35:E36"/>
    <mergeCell ref="F35:F36"/>
    <mergeCell ref="G35:G36"/>
    <mergeCell ref="H35:H36"/>
    <mergeCell ref="W33:W34"/>
    <mergeCell ref="X33:X34"/>
    <mergeCell ref="Y33:Y34"/>
    <mergeCell ref="Z33:Z34"/>
    <mergeCell ref="AA33:AA34"/>
    <mergeCell ref="AB33:AB34"/>
    <mergeCell ref="Q33:Q34"/>
    <mergeCell ref="R33:R34"/>
    <mergeCell ref="S33:S34"/>
    <mergeCell ref="T33:T34"/>
    <mergeCell ref="U33:U34"/>
    <mergeCell ref="V33:V34"/>
    <mergeCell ref="K33:K34"/>
    <mergeCell ref="L33:L34"/>
    <mergeCell ref="M33:M34"/>
    <mergeCell ref="AF31:AF32"/>
    <mergeCell ref="AM31:AM32"/>
    <mergeCell ref="AN31:AN40"/>
    <mergeCell ref="D33:D34"/>
    <mergeCell ref="E33:E34"/>
    <mergeCell ref="F33:F34"/>
    <mergeCell ref="G33:G34"/>
    <mergeCell ref="H33:H34"/>
    <mergeCell ref="I33:I34"/>
    <mergeCell ref="J33:J34"/>
    <mergeCell ref="Z31:Z32"/>
    <mergeCell ref="AA31:AA32"/>
    <mergeCell ref="AB31:AB32"/>
    <mergeCell ref="AC31:AC32"/>
    <mergeCell ref="AD31:AD32"/>
    <mergeCell ref="AE31:AE32"/>
    <mergeCell ref="T31:T32"/>
    <mergeCell ref="U31:U32"/>
    <mergeCell ref="V31:V32"/>
    <mergeCell ref="W31:W32"/>
    <mergeCell ref="X31:X32"/>
    <mergeCell ref="Y31:Y32"/>
    <mergeCell ref="N31:N32"/>
    <mergeCell ref="O31:O32"/>
    <mergeCell ref="P31:P32"/>
    <mergeCell ref="Q31:Q32"/>
    <mergeCell ref="R31:R32"/>
    <mergeCell ref="S31:S32"/>
    <mergeCell ref="H31:H32"/>
    <mergeCell ref="I31:I32"/>
    <mergeCell ref="J31:J32"/>
    <mergeCell ref="K31:K32"/>
    <mergeCell ref="L31:L32"/>
    <mergeCell ref="M31:M32"/>
    <mergeCell ref="AC29:AC30"/>
    <mergeCell ref="AD29:AD30"/>
    <mergeCell ref="AE29:AE30"/>
    <mergeCell ref="AF29:AF30"/>
    <mergeCell ref="AM29:AM30"/>
    <mergeCell ref="D31:D32"/>
    <mergeCell ref="E31:E32"/>
    <mergeCell ref="F31:F32"/>
    <mergeCell ref="G31:G32"/>
    <mergeCell ref="W29:W30"/>
    <mergeCell ref="X29:X30"/>
    <mergeCell ref="Y29:Y30"/>
    <mergeCell ref="Z29:Z30"/>
    <mergeCell ref="AA29:AA30"/>
    <mergeCell ref="AB29:AB30"/>
    <mergeCell ref="Q29:Q30"/>
    <mergeCell ref="R29:R30"/>
    <mergeCell ref="S29:S30"/>
    <mergeCell ref="T29:T30"/>
    <mergeCell ref="U29:U30"/>
    <mergeCell ref="V29:V30"/>
    <mergeCell ref="K29:K30"/>
    <mergeCell ref="L29:L30"/>
    <mergeCell ref="M29:M30"/>
    <mergeCell ref="N29:N30"/>
    <mergeCell ref="O29:O30"/>
    <mergeCell ref="P29:P30"/>
    <mergeCell ref="AE27:AE28"/>
    <mergeCell ref="AF27:AF28"/>
    <mergeCell ref="AM27:AM28"/>
    <mergeCell ref="D29:D30"/>
    <mergeCell ref="E29:E30"/>
    <mergeCell ref="F29:F30"/>
    <mergeCell ref="G29:G30"/>
    <mergeCell ref="H29:H30"/>
    <mergeCell ref="I29:I30"/>
    <mergeCell ref="J29:J30"/>
    <mergeCell ref="Y27:Y28"/>
    <mergeCell ref="Z27:Z28"/>
    <mergeCell ref="AA27:AA28"/>
    <mergeCell ref="AB27:AB28"/>
    <mergeCell ref="AC27:AC28"/>
    <mergeCell ref="AD27:AD28"/>
    <mergeCell ref="S27:S28"/>
    <mergeCell ref="T27:T28"/>
    <mergeCell ref="U27:U28"/>
    <mergeCell ref="V27:V28"/>
    <mergeCell ref="W27:W28"/>
    <mergeCell ref="X27:X28"/>
    <mergeCell ref="M27:M28"/>
    <mergeCell ref="N27:N28"/>
    <mergeCell ref="O27:O28"/>
    <mergeCell ref="P27:P28"/>
    <mergeCell ref="Q27:Q28"/>
    <mergeCell ref="R27:R28"/>
    <mergeCell ref="AM25:AM26"/>
    <mergeCell ref="AA25:AA26"/>
    <mergeCell ref="AB25:AB26"/>
    <mergeCell ref="AC25:AC26"/>
    <mergeCell ref="AD25:AD26"/>
    <mergeCell ref="AE25:AE26"/>
    <mergeCell ref="AF25:AF26"/>
    <mergeCell ref="U25:U26"/>
    <mergeCell ref="V25:V26"/>
    <mergeCell ref="W25:W26"/>
    <mergeCell ref="X25:X26"/>
    <mergeCell ref="Y25:Y26"/>
    <mergeCell ref="Z25:Z26"/>
    <mergeCell ref="O25:O26"/>
    <mergeCell ref="P25:P26"/>
    <mergeCell ref="Q25:Q26"/>
    <mergeCell ref="R25:R26"/>
    <mergeCell ref="D27:D28"/>
    <mergeCell ref="E27:E28"/>
    <mergeCell ref="F27:F28"/>
    <mergeCell ref="G27:G28"/>
    <mergeCell ref="H27:H28"/>
    <mergeCell ref="I27:I28"/>
    <mergeCell ref="J27:J28"/>
    <mergeCell ref="K27:K28"/>
    <mergeCell ref="L27:L28"/>
    <mergeCell ref="S25:S26"/>
    <mergeCell ref="T25:T26"/>
    <mergeCell ref="I25:I26"/>
    <mergeCell ref="J25:J26"/>
    <mergeCell ref="K25:K26"/>
    <mergeCell ref="L25:L26"/>
    <mergeCell ref="M25:M26"/>
    <mergeCell ref="N25:N26"/>
    <mergeCell ref="AC23:AC24"/>
    <mergeCell ref="N23:N24"/>
    <mergeCell ref="O23:O24"/>
    <mergeCell ref="P23:P24"/>
    <mergeCell ref="AD23:AD24"/>
    <mergeCell ref="AE23:AE24"/>
    <mergeCell ref="AF23:AF24"/>
    <mergeCell ref="AM23:AM24"/>
    <mergeCell ref="D25:D26"/>
    <mergeCell ref="E25:E26"/>
    <mergeCell ref="F25:F26"/>
    <mergeCell ref="G25:G26"/>
    <mergeCell ref="H25:H26"/>
    <mergeCell ref="W23:W24"/>
    <mergeCell ref="X23:X24"/>
    <mergeCell ref="Y23:Y24"/>
    <mergeCell ref="Z23:Z24"/>
    <mergeCell ref="AA23:AA24"/>
    <mergeCell ref="AB23:AB24"/>
    <mergeCell ref="Q23:Q24"/>
    <mergeCell ref="R23:R24"/>
    <mergeCell ref="S23:S24"/>
    <mergeCell ref="T23:T24"/>
    <mergeCell ref="U23:U24"/>
    <mergeCell ref="V23:V24"/>
    <mergeCell ref="K23:K24"/>
    <mergeCell ref="L23:L24"/>
    <mergeCell ref="M23:M24"/>
    <mergeCell ref="AF21:AF22"/>
    <mergeCell ref="AM21:AM22"/>
    <mergeCell ref="AN21:AN30"/>
    <mergeCell ref="D23:D24"/>
    <mergeCell ref="E23:E24"/>
    <mergeCell ref="F23:F24"/>
    <mergeCell ref="G23:G24"/>
    <mergeCell ref="H23:H24"/>
    <mergeCell ref="I23:I24"/>
    <mergeCell ref="J23:J24"/>
    <mergeCell ref="Z21:Z22"/>
    <mergeCell ref="AA21:AA22"/>
    <mergeCell ref="AB21:AB22"/>
    <mergeCell ref="AC21:AC22"/>
    <mergeCell ref="AD21:AD22"/>
    <mergeCell ref="AE21:AE22"/>
    <mergeCell ref="T21:T22"/>
    <mergeCell ref="U21:U22"/>
    <mergeCell ref="V21:V22"/>
    <mergeCell ref="W21:W22"/>
    <mergeCell ref="X21:X22"/>
    <mergeCell ref="Y21:Y22"/>
    <mergeCell ref="N21:N22"/>
    <mergeCell ref="O21:O22"/>
    <mergeCell ref="P21:P22"/>
    <mergeCell ref="Q21:Q22"/>
    <mergeCell ref="R21:R22"/>
    <mergeCell ref="S21:S22"/>
    <mergeCell ref="H21:H22"/>
    <mergeCell ref="I21:I22"/>
    <mergeCell ref="J21:J22"/>
    <mergeCell ref="K21:K22"/>
    <mergeCell ref="L21:L22"/>
    <mergeCell ref="M21:M22"/>
    <mergeCell ref="AC19:AC20"/>
    <mergeCell ref="AD19:AD20"/>
    <mergeCell ref="AE19:AE20"/>
    <mergeCell ref="AF19:AF20"/>
    <mergeCell ref="AM19:AM20"/>
    <mergeCell ref="D21:D22"/>
    <mergeCell ref="E21:E22"/>
    <mergeCell ref="F21:F22"/>
    <mergeCell ref="G21:G22"/>
    <mergeCell ref="W19:W20"/>
    <mergeCell ref="X19:X20"/>
    <mergeCell ref="Y19:Y20"/>
    <mergeCell ref="Z19:Z20"/>
    <mergeCell ref="AA19:AA20"/>
    <mergeCell ref="AB19:AB20"/>
    <mergeCell ref="Q19:Q20"/>
    <mergeCell ref="R19:R20"/>
    <mergeCell ref="S19:S20"/>
    <mergeCell ref="T19:T20"/>
    <mergeCell ref="U19:U20"/>
    <mergeCell ref="V19:V20"/>
    <mergeCell ref="K19:K20"/>
    <mergeCell ref="L19:L20"/>
    <mergeCell ref="M19:M20"/>
    <mergeCell ref="N19:N20"/>
    <mergeCell ref="O19:O20"/>
    <mergeCell ref="P19:P20"/>
    <mergeCell ref="AE17:AE18"/>
    <mergeCell ref="AF17:AF18"/>
    <mergeCell ref="AM17:AM18"/>
    <mergeCell ref="D19:D20"/>
    <mergeCell ref="E19:E20"/>
    <mergeCell ref="F19:F20"/>
    <mergeCell ref="G19:G20"/>
    <mergeCell ref="H19:H20"/>
    <mergeCell ref="I19:I20"/>
    <mergeCell ref="J19:J20"/>
    <mergeCell ref="Y17:Y18"/>
    <mergeCell ref="Z17:Z18"/>
    <mergeCell ref="AA17:AA18"/>
    <mergeCell ref="AB17:AB18"/>
    <mergeCell ref="AC17:AC18"/>
    <mergeCell ref="AD17:AD18"/>
    <mergeCell ref="S17:S18"/>
    <mergeCell ref="T17:T18"/>
    <mergeCell ref="U17:U18"/>
    <mergeCell ref="V17:V18"/>
    <mergeCell ref="W17:W18"/>
    <mergeCell ref="X17:X18"/>
    <mergeCell ref="M17:M18"/>
    <mergeCell ref="N17:N18"/>
    <mergeCell ref="O17:O18"/>
    <mergeCell ref="P17:P18"/>
    <mergeCell ref="Q17:Q18"/>
    <mergeCell ref="R17:R18"/>
    <mergeCell ref="AM15:AM16"/>
    <mergeCell ref="AA15:AA16"/>
    <mergeCell ref="AB15:AB16"/>
    <mergeCell ref="AC15:AC16"/>
    <mergeCell ref="AD15:AD16"/>
    <mergeCell ref="AE15:AE16"/>
    <mergeCell ref="AF15:AF16"/>
    <mergeCell ref="U15:U16"/>
    <mergeCell ref="V15:V16"/>
    <mergeCell ref="W15:W16"/>
    <mergeCell ref="X15:X16"/>
    <mergeCell ref="Y15:Y16"/>
    <mergeCell ref="Z15:Z16"/>
    <mergeCell ref="O15:O16"/>
    <mergeCell ref="P15:P16"/>
    <mergeCell ref="Q15:Q16"/>
    <mergeCell ref="R15:R16"/>
    <mergeCell ref="D17:D18"/>
    <mergeCell ref="E17:E18"/>
    <mergeCell ref="F17:F18"/>
    <mergeCell ref="G17:G18"/>
    <mergeCell ref="H17:H18"/>
    <mergeCell ref="I17:I18"/>
    <mergeCell ref="J17:J18"/>
    <mergeCell ref="K17:K18"/>
    <mergeCell ref="L17:L18"/>
    <mergeCell ref="S15:S16"/>
    <mergeCell ref="T15:T16"/>
    <mergeCell ref="I15:I16"/>
    <mergeCell ref="J15:J16"/>
    <mergeCell ref="K15:K16"/>
    <mergeCell ref="L15:L16"/>
    <mergeCell ref="M15:M16"/>
    <mergeCell ref="N15:N16"/>
    <mergeCell ref="AC13:AC14"/>
    <mergeCell ref="N13:N14"/>
    <mergeCell ref="O13:O14"/>
    <mergeCell ref="P13:P14"/>
    <mergeCell ref="AD13:AD14"/>
    <mergeCell ref="AE13:AE14"/>
    <mergeCell ref="AF13:AF14"/>
    <mergeCell ref="AM13:AM14"/>
    <mergeCell ref="D15:D16"/>
    <mergeCell ref="E15:E16"/>
    <mergeCell ref="F15:F16"/>
    <mergeCell ref="G15:G16"/>
    <mergeCell ref="H15:H16"/>
    <mergeCell ref="W13:W14"/>
    <mergeCell ref="X13:X14"/>
    <mergeCell ref="Y13:Y14"/>
    <mergeCell ref="Z13:Z14"/>
    <mergeCell ref="AA13:AA14"/>
    <mergeCell ref="AB13:AB14"/>
    <mergeCell ref="Q13:Q14"/>
    <mergeCell ref="R13:R14"/>
    <mergeCell ref="S13:S14"/>
    <mergeCell ref="T13:T14"/>
    <mergeCell ref="U13:U14"/>
    <mergeCell ref="V13:V14"/>
    <mergeCell ref="K13:K14"/>
    <mergeCell ref="L13:L14"/>
    <mergeCell ref="M13:M14"/>
    <mergeCell ref="AM11:AM12"/>
    <mergeCell ref="AN11:AN20"/>
    <mergeCell ref="AQ11:AQ20"/>
    <mergeCell ref="D13:D14"/>
    <mergeCell ref="E13:E14"/>
    <mergeCell ref="F13:F14"/>
    <mergeCell ref="G13:G14"/>
    <mergeCell ref="H13:H14"/>
    <mergeCell ref="I13:I14"/>
    <mergeCell ref="J13:J14"/>
    <mergeCell ref="AA11:AA12"/>
    <mergeCell ref="AB11:AB12"/>
    <mergeCell ref="AC11:AC12"/>
    <mergeCell ref="AD11:AD12"/>
    <mergeCell ref="AE11:AE12"/>
    <mergeCell ref="AF11:AF12"/>
    <mergeCell ref="U11:U12"/>
    <mergeCell ref="V11:V12"/>
    <mergeCell ref="W11:W12"/>
    <mergeCell ref="X11:X12"/>
    <mergeCell ref="P11:P12"/>
    <mergeCell ref="Q11:Q12"/>
    <mergeCell ref="R11:R12"/>
    <mergeCell ref="S11:S12"/>
    <mergeCell ref="T11:T12"/>
    <mergeCell ref="I11:I12"/>
    <mergeCell ref="J11:J12"/>
    <mergeCell ref="K11:K12"/>
    <mergeCell ref="L11:L12"/>
    <mergeCell ref="M11:M12"/>
    <mergeCell ref="N11:N12"/>
    <mergeCell ref="AN9:AN10"/>
    <mergeCell ref="D11:D12"/>
    <mergeCell ref="E11:E12"/>
    <mergeCell ref="F11:F12"/>
    <mergeCell ref="G11:G12"/>
    <mergeCell ref="H11:H12"/>
    <mergeCell ref="Y9:Y10"/>
    <mergeCell ref="Z9:Z10"/>
    <mergeCell ref="AA9:AA10"/>
    <mergeCell ref="AB9:AB10"/>
    <mergeCell ref="AC9:AC10"/>
    <mergeCell ref="AD9:AD10"/>
    <mergeCell ref="S9:S10"/>
    <mergeCell ref="T9:T10"/>
    <mergeCell ref="U9:U10"/>
    <mergeCell ref="V9:V10"/>
    <mergeCell ref="W9:W10"/>
    <mergeCell ref="AN7:AN8"/>
    <mergeCell ref="D9:D10"/>
    <mergeCell ref="E9:E10"/>
    <mergeCell ref="F9:F10"/>
    <mergeCell ref="G9:G10"/>
    <mergeCell ref="H9:H10"/>
    <mergeCell ref="I9:I10"/>
    <mergeCell ref="J9:J10"/>
    <mergeCell ref="K9:K10"/>
    <mergeCell ref="L9:L10"/>
    <mergeCell ref="AB7:AB8"/>
    <mergeCell ref="AC7:AC8"/>
    <mergeCell ref="AD7:AD8"/>
    <mergeCell ref="AE7:AE8"/>
    <mergeCell ref="AF7:AF8"/>
    <mergeCell ref="AM7:AM8"/>
    <mergeCell ref="V7:V8"/>
    <mergeCell ref="AM9:AM10"/>
    <mergeCell ref="J7:J8"/>
    <mergeCell ref="K7:K8"/>
    <mergeCell ref="L7:L8"/>
    <mergeCell ref="M7:M8"/>
    <mergeCell ref="N7:N8"/>
    <mergeCell ref="O7:O8"/>
    <mergeCell ref="O9:O10"/>
    <mergeCell ref="P9:P10"/>
    <mergeCell ref="Q9:Q10"/>
    <mergeCell ref="Z7:Z8"/>
    <mergeCell ref="AA7:AA8"/>
    <mergeCell ref="P7:P8"/>
    <mergeCell ref="Q7:Q8"/>
    <mergeCell ref="R7:R8"/>
    <mergeCell ref="S7:S8"/>
    <mergeCell ref="T7:T8"/>
    <mergeCell ref="U7:U8"/>
    <mergeCell ref="X9:X10"/>
    <mergeCell ref="M9:M10"/>
    <mergeCell ref="N9:N10"/>
    <mergeCell ref="R9:R10"/>
    <mergeCell ref="AM5:AM6"/>
    <mergeCell ref="AN5:AN6"/>
    <mergeCell ref="W5:W6"/>
    <mergeCell ref="X5:X6"/>
    <mergeCell ref="Y5:Y6"/>
    <mergeCell ref="Z5:Z6"/>
    <mergeCell ref="AA5:AA6"/>
    <mergeCell ref="AB5:AB6"/>
    <mergeCell ref="D7:D8"/>
    <mergeCell ref="E7:E8"/>
    <mergeCell ref="F7:F8"/>
    <mergeCell ref="G7:G8"/>
    <mergeCell ref="H7:H8"/>
    <mergeCell ref="I7:I8"/>
    <mergeCell ref="AC5:AC6"/>
    <mergeCell ref="AD5:AD6"/>
    <mergeCell ref="AE5:AE6"/>
    <mergeCell ref="Q5:Q6"/>
    <mergeCell ref="R5:R6"/>
    <mergeCell ref="S5:S6"/>
    <mergeCell ref="T5:T6"/>
    <mergeCell ref="U5:U6"/>
    <mergeCell ref="V5:V6"/>
    <mergeCell ref="K5:K6"/>
    <mergeCell ref="C4:F4"/>
    <mergeCell ref="AH4:AL4"/>
    <mergeCell ref="D5:D6"/>
    <mergeCell ref="E5:E6"/>
    <mergeCell ref="F5:F6"/>
    <mergeCell ref="G5:G6"/>
    <mergeCell ref="H5:H6"/>
    <mergeCell ref="I5:I6"/>
    <mergeCell ref="J5:J6"/>
    <mergeCell ref="AF5:AF6"/>
    <mergeCell ref="L5:L6"/>
    <mergeCell ref="M5:M6"/>
    <mergeCell ref="N5:N6"/>
    <mergeCell ref="O5:O6"/>
    <mergeCell ref="P5:P6"/>
    <mergeCell ref="C5:C14"/>
    <mergeCell ref="W7:W8"/>
    <mergeCell ref="X7:X8"/>
    <mergeCell ref="Y7:Y8"/>
    <mergeCell ref="AE9:AE10"/>
    <mergeCell ref="AF9:AF10"/>
    <mergeCell ref="Y11:Y12"/>
    <mergeCell ref="Z11:Z12"/>
    <mergeCell ref="O11:O12"/>
  </mergeCells>
  <conditionalFormatting sqref="AD5:AE50">
    <cfRule type="containsText" dxfId="3" priority="3" operator="containsText" text="Heure de repas non rentrée">
      <formula>NOT(ISERROR(SEARCH("Heure de repas non rentrée",AD5)))</formula>
    </cfRule>
    <cfRule type="containsText" dxfId="2" priority="4" operator="containsText" text="Heure de sortie non rentrée">
      <formula>NOT(ISERROR(SEARCH("Heure de sortie non rentrée",AD5)))</formula>
    </cfRule>
  </conditionalFormatting>
  <conditionalFormatting sqref="P5:P50">
    <cfRule type="cellIs" dxfId="1" priority="2" operator="greaterThan">
      <formula>0.03125</formula>
    </cfRule>
  </conditionalFormatting>
  <conditionalFormatting sqref="Q5:Q50">
    <cfRule type="cellIs" dxfId="0" priority="1" operator="notEqual">
      <formula>0</formula>
    </cfRule>
  </conditionalFormatting>
  <dataValidations count="3">
    <dataValidation type="list" allowBlank="1" showInputMessage="1" showErrorMessage="1" sqref="AQ5">
      <formula1>$AU$26:$AU$78</formula1>
    </dataValidation>
    <dataValidation type="list" allowBlank="1" showInputMessage="1" showErrorMessage="1" sqref="AR5">
      <formula1>$AU$13:$AU$24</formula1>
    </dataValidation>
    <dataValidation type="list" allowBlank="1" showInputMessage="1" showErrorMessage="1" sqref="AP5">
      <formula1>$AU$4:$AU$10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O19"/>
  <sheetViews>
    <sheetView topLeftCell="A4" workbookViewId="0">
      <selection activeCell="B9" sqref="B9"/>
    </sheetView>
  </sheetViews>
  <sheetFormatPr baseColWidth="10" defaultColWidth="11.453125" defaultRowHeight="14.5" x14ac:dyDescent="0.35"/>
  <cols>
    <col min="1" max="13" width="11.453125" style="2"/>
    <col min="14" max="14" width="0" style="2" hidden="1" customWidth="1"/>
    <col min="15" max="16384" width="11.453125" style="2"/>
  </cols>
  <sheetData>
    <row r="3" spans="2:15" ht="15.5" x14ac:dyDescent="0.35">
      <c r="B3" s="15" t="s">
        <v>10</v>
      </c>
    </row>
    <row r="4" spans="2:15" ht="15.5" x14ac:dyDescent="0.35">
      <c r="B4" s="15"/>
    </row>
    <row r="5" spans="2:15" ht="15.5" x14ac:dyDescent="0.35">
      <c r="B5" s="20" t="s">
        <v>15</v>
      </c>
    </row>
    <row r="6" spans="2:15" ht="15.5" x14ac:dyDescent="0.35">
      <c r="B6" s="15"/>
      <c r="N6" s="2" t="s">
        <v>57</v>
      </c>
    </row>
    <row r="7" spans="2:15" x14ac:dyDescent="0.35">
      <c r="B7" s="51" t="s">
        <v>60</v>
      </c>
    </row>
    <row r="8" spans="2:15" x14ac:dyDescent="0.35">
      <c r="B8" s="46" t="s">
        <v>59</v>
      </c>
      <c r="J8" s="47"/>
      <c r="K8" s="47"/>
      <c r="L8" s="47"/>
      <c r="M8" s="47"/>
    </row>
    <row r="9" spans="2:15" x14ac:dyDescent="0.35">
      <c r="B9" s="50" t="s">
        <v>73</v>
      </c>
      <c r="C9" s="50"/>
      <c r="D9" s="50"/>
      <c r="E9" s="50"/>
      <c r="F9" s="50"/>
      <c r="G9" s="50"/>
      <c r="H9" s="50"/>
      <c r="I9" s="50"/>
      <c r="J9" s="47"/>
      <c r="K9" s="47"/>
      <c r="L9" s="47"/>
      <c r="M9" s="47"/>
    </row>
    <row r="10" spans="2:15" ht="15" customHeight="1" x14ac:dyDescent="0.35">
      <c r="B10" s="46" t="s">
        <v>58</v>
      </c>
      <c r="C10" s="47"/>
      <c r="D10" s="47"/>
      <c r="E10" s="47"/>
      <c r="F10" s="47"/>
      <c r="G10" s="47"/>
      <c r="H10" s="47"/>
      <c r="I10" s="47"/>
      <c r="N10" s="26"/>
      <c r="O10" s="26"/>
    </row>
    <row r="11" spans="2:15" x14ac:dyDescent="0.35">
      <c r="N11" s="26"/>
      <c r="O11" s="26"/>
    </row>
    <row r="12" spans="2:15" x14ac:dyDescent="0.35">
      <c r="B12" s="51" t="s">
        <v>61</v>
      </c>
    </row>
    <row r="13" spans="2:15" x14ac:dyDescent="0.35">
      <c r="B13" s="150" t="s">
        <v>56</v>
      </c>
      <c r="C13" s="150"/>
      <c r="D13" s="150"/>
      <c r="E13" s="150"/>
      <c r="F13" s="150"/>
      <c r="G13" s="150"/>
      <c r="H13" s="150"/>
      <c r="I13" s="150"/>
      <c r="J13" s="150"/>
      <c r="K13" s="150"/>
      <c r="L13" s="150"/>
      <c r="M13" s="150"/>
    </row>
    <row r="14" spans="2:15" x14ac:dyDescent="0.35">
      <c r="B14" s="48" t="s">
        <v>25</v>
      </c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</row>
    <row r="15" spans="2:15" x14ac:dyDescent="0.35">
      <c r="B15" s="48" t="s">
        <v>62</v>
      </c>
      <c r="C15" s="47"/>
      <c r="D15" s="47"/>
      <c r="E15" s="47"/>
      <c r="F15" s="47"/>
      <c r="G15" s="47"/>
      <c r="H15" s="47"/>
      <c r="I15" s="47"/>
      <c r="J15" s="47"/>
      <c r="K15" s="47"/>
      <c r="L15" s="47"/>
      <c r="M15" s="47"/>
    </row>
    <row r="16" spans="2:15" x14ac:dyDescent="0.35">
      <c r="B16" s="48"/>
      <c r="C16" s="47"/>
      <c r="D16" s="47"/>
      <c r="E16" s="47"/>
      <c r="F16" s="47"/>
      <c r="G16" s="47"/>
      <c r="H16" s="47"/>
      <c r="I16" s="47"/>
      <c r="J16" s="47"/>
      <c r="K16" s="47"/>
      <c r="L16" s="47"/>
      <c r="M16" s="47"/>
    </row>
    <row r="18" spans="2:2" x14ac:dyDescent="0.35">
      <c r="B18" s="16"/>
    </row>
    <row r="19" spans="2:2" x14ac:dyDescent="0.35">
      <c r="B19" s="16"/>
    </row>
  </sheetData>
  <mergeCells count="1">
    <mergeCell ref="B13:M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pointage MAI 2022</vt:lpstr>
      <vt:lpstr>Pointages JUIN</vt:lpstr>
      <vt:lpstr>Template rev 0.6</vt:lpstr>
      <vt:lpstr>explication d'utilisation</vt:lpstr>
      <vt:lpstr>'Pointages JUIN'!Semaines</vt:lpstr>
      <vt:lpstr>'Template rev 0.6'!Semaines</vt:lpstr>
    </vt:vector>
  </TitlesOfParts>
  <Company>bioMerieux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CAVALLA Nicolas</dc:creator>
  <cp:lastModifiedBy>CAVALLA Nicolas</cp:lastModifiedBy>
  <dcterms:created xsi:type="dcterms:W3CDTF">2021-10-26T13:16:18Z</dcterms:created>
  <dcterms:modified xsi:type="dcterms:W3CDTF">2022-06-02T16:26:58Z</dcterms:modified>
</cp:coreProperties>
</file>