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8800" windowHeight="12300"/>
  </bookViews>
  <sheets>
    <sheet name="Recap" sheetId="3" r:id="rId1"/>
    <sheet name="Cubatures" sheetId="1" r:id="rId2"/>
    <sheet name="Données de fonctionnement " sheetId="2" r:id="rId3"/>
    <sheet name="DnCANA" sheetId="4" r:id="rId4"/>
  </sheets>
  <definedNames>
    <definedName name="AMJ10485655">Cubatures!$D$2</definedName>
    <definedName name="Béton">DnCANA!$D$4:$D$16</definedName>
    <definedName name="chiffres">DnCANA!$Z$58:$AD$101</definedName>
    <definedName name="DN">DnCANA!$Y$58:$Y$101</definedName>
    <definedName name="Fonte">DnCANA!$I$4:$I$27</definedName>
    <definedName name="Liste_materiaux">DnCANA!$A$4:$A$8</definedName>
    <definedName name="ListeMatv2">DnCANA!$A$4:$A$9</definedName>
    <definedName name="mois">DnCANA!$Z$56:$AD$56</definedName>
    <definedName name="PE">DnCANA!$S$4:$S$29</definedName>
    <definedName name="Polypro">DnCANA!$N$4:$N$11</definedName>
    <definedName name="PVC">DnCANA!$X$4:$X$12</definedName>
    <definedName name="_xlnm.Print_Area" localSheetId="1">Cubatures!$A$1:$J$66</definedName>
    <definedName name="_xlnm.Print_Area" localSheetId="2">'Données de fonctionnement '!$A$1:$BC$70</definedName>
    <definedName name="_xlnm.Print_Area" localSheetId="0">Recap!$A$1:$K$31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1" l="1"/>
  <c r="E41" i="1" s="1"/>
  <c r="E29" i="1"/>
  <c r="E32" i="1"/>
  <c r="E31" i="1"/>
  <c r="F13" i="1"/>
  <c r="F32" i="1"/>
  <c r="F31" i="1"/>
  <c r="F30" i="1"/>
  <c r="F41" i="1" s="1"/>
  <c r="F29" i="1"/>
  <c r="F58" i="1" s="1"/>
  <c r="F26" i="1"/>
  <c r="F25" i="1"/>
  <c r="F24" i="1"/>
  <c r="F23" i="1"/>
  <c r="F22" i="1"/>
  <c r="F21" i="1"/>
  <c r="F37" i="1" s="1"/>
  <c r="F38" i="1" s="1"/>
  <c r="F14" i="1"/>
  <c r="F16" i="1" s="1"/>
  <c r="F15" i="1"/>
  <c r="F17" i="1" s="1"/>
  <c r="F11" i="1"/>
  <c r="D27" i="3"/>
  <c r="D26" i="3"/>
  <c r="D25" i="3"/>
  <c r="D24" i="3"/>
  <c r="D23" i="3"/>
  <c r="D22" i="3"/>
  <c r="D20" i="3"/>
  <c r="D19" i="3"/>
  <c r="D18" i="3"/>
  <c r="D17" i="3"/>
  <c r="D16" i="3"/>
  <c r="D15" i="3"/>
  <c r="D14" i="3"/>
  <c r="D11" i="3"/>
  <c r="D9" i="3"/>
  <c r="E37" i="1"/>
  <c r="E38" i="1" s="1"/>
  <c r="E16" i="1"/>
  <c r="C9" i="3"/>
  <c r="C11" i="3"/>
  <c r="C14" i="3"/>
  <c r="C16" i="3"/>
  <c r="C17" i="3"/>
  <c r="C18" i="3"/>
  <c r="C19" i="3"/>
  <c r="C22" i="3"/>
  <c r="C23" i="3"/>
  <c r="C24" i="3"/>
  <c r="C25" i="3"/>
  <c r="C26" i="3"/>
  <c r="C27" i="3"/>
  <c r="AJ20" i="2"/>
  <c r="F49" i="1" l="1"/>
  <c r="F35" i="1"/>
  <c r="F54" i="1" s="1"/>
  <c r="F55" i="1" s="1"/>
  <c r="F44" i="1"/>
  <c r="E58" i="1"/>
  <c r="E49" i="1"/>
  <c r="E35" i="1"/>
  <c r="E54" i="1" s="1"/>
  <c r="AR29" i="2"/>
  <c r="F42" i="1" l="1"/>
  <c r="F50" i="1"/>
  <c r="F51" i="1" s="1"/>
  <c r="F52" i="1"/>
  <c r="F53" i="1" s="1"/>
  <c r="F43" i="1"/>
  <c r="F46" i="1"/>
  <c r="F36" i="1"/>
  <c r="E44" i="1"/>
  <c r="E52" i="1"/>
  <c r="E53" i="1" s="1"/>
  <c r="E50" i="1"/>
  <c r="E51" i="1" s="1"/>
  <c r="E42" i="1"/>
  <c r="E55" i="1"/>
  <c r="AJ27" i="2"/>
  <c r="AJ26" i="2"/>
  <c r="AJ25" i="2"/>
  <c r="AJ24" i="2"/>
  <c r="AJ23" i="2"/>
  <c r="AJ22" i="2"/>
  <c r="F45" i="1" l="1"/>
  <c r="AN20" i="2"/>
  <c r="AJ19" i="2" l="1"/>
  <c r="AJ15" i="2"/>
  <c r="D29" i="1"/>
  <c r="AJ9" i="2"/>
  <c r="AJ11" i="2"/>
  <c r="AI14" i="2"/>
  <c r="AJ14" i="2" s="1"/>
  <c r="AI16" i="2"/>
  <c r="AJ16" i="2" s="1"/>
  <c r="AJ17" i="2"/>
  <c r="AI18" i="2"/>
  <c r="AJ18" i="2" s="1"/>
  <c r="AQ3" i="2"/>
  <c r="D3" i="1"/>
  <c r="AW32" i="2"/>
  <c r="AW31" i="2"/>
  <c r="AW30" i="2"/>
  <c r="AW29" i="2"/>
  <c r="AW26" i="2"/>
  <c r="AW25" i="2"/>
  <c r="AW24" i="2"/>
  <c r="AW23" i="2"/>
  <c r="AW22" i="2"/>
  <c r="AW21" i="2"/>
  <c r="AW14" i="2"/>
  <c r="AW16" i="2" s="1"/>
  <c r="AW13" i="2"/>
  <c r="AW15" i="2" s="1"/>
  <c r="AW12" i="2"/>
  <c r="AW11" i="2"/>
  <c r="AW3" i="2"/>
  <c r="AQ30" i="2"/>
  <c r="AR30" i="2"/>
  <c r="AQ22" i="2"/>
  <c r="AR21" i="2"/>
  <c r="AQ21" i="2"/>
  <c r="AR11" i="2"/>
  <c r="AR13" i="2"/>
  <c r="AR15" i="2" s="1"/>
  <c r="AQ16" i="2"/>
  <c r="AR32" i="2"/>
  <c r="AR31" i="2"/>
  <c r="AR26" i="2"/>
  <c r="AR25" i="2"/>
  <c r="AR24" i="2"/>
  <c r="AR23" i="2"/>
  <c r="AR22" i="2"/>
  <c r="AR14" i="2"/>
  <c r="AR16" i="2" s="1"/>
  <c r="AQ29" i="2"/>
  <c r="AQ32" i="2"/>
  <c r="AQ31" i="2"/>
  <c r="AQ26" i="2"/>
  <c r="AQ25" i="2"/>
  <c r="AQ24" i="2"/>
  <c r="AQ23" i="2"/>
  <c r="AQ15" i="2"/>
  <c r="D32" i="1"/>
  <c r="Y53" i="4"/>
  <c r="D31" i="1"/>
  <c r="D30" i="1"/>
  <c r="AA79" i="4"/>
  <c r="AA77" i="4"/>
  <c r="AA75" i="4"/>
  <c r="AA72" i="4"/>
  <c r="X54" i="4"/>
  <c r="Y54" i="4" l="1"/>
  <c r="AW37" i="2"/>
  <c r="AW38" i="2" s="1"/>
  <c r="D35" i="1"/>
  <c r="B29" i="1"/>
  <c r="AR37" i="2"/>
  <c r="AR38" i="2" s="1"/>
  <c r="AR35" i="2"/>
  <c r="AR54" i="2" s="1"/>
  <c r="AR55" i="2" s="1"/>
  <c r="AQ35" i="2"/>
  <c r="AQ50" i="2" s="1"/>
  <c r="AQ51" i="2" s="1"/>
  <c r="AR58" i="2"/>
  <c r="AW17" i="2"/>
  <c r="AW41" i="2"/>
  <c r="AW49" i="2"/>
  <c r="AW58" i="2"/>
  <c r="AW35" i="2"/>
  <c r="AW54" i="2" s="1"/>
  <c r="AW55" i="2" s="1"/>
  <c r="AR17" i="2"/>
  <c r="AR41" i="2"/>
  <c r="AR49" i="2"/>
  <c r="AQ58" i="2"/>
  <c r="AQ37" i="2"/>
  <c r="AQ38" i="2" s="1"/>
  <c r="AQ17" i="2"/>
  <c r="AQ41" i="2"/>
  <c r="AQ49" i="2"/>
  <c r="AQ54" i="2" l="1"/>
  <c r="AQ55" i="2" s="1"/>
  <c r="AQ36" i="2"/>
  <c r="AQ42" i="2"/>
  <c r="AR36" i="2"/>
  <c r="AR50" i="2"/>
  <c r="AR51" i="2" s="1"/>
  <c r="AR44" i="2"/>
  <c r="AR42" i="2"/>
  <c r="AR52" i="2"/>
  <c r="AR53" i="2" s="1"/>
  <c r="AW50" i="2"/>
  <c r="AW51" i="2" s="1"/>
  <c r="AW44" i="2"/>
  <c r="AW42" i="2"/>
  <c r="AQ44" i="2"/>
  <c r="AQ52" i="2"/>
  <c r="AQ53" i="2" s="1"/>
  <c r="AW36" i="2"/>
  <c r="AW52" i="2"/>
  <c r="AW53" i="2" s="1"/>
  <c r="D22" i="1"/>
  <c r="D23" i="1"/>
  <c r="D24" i="1"/>
  <c r="D25" i="1"/>
  <c r="D26" i="1"/>
  <c r="D21" i="1"/>
  <c r="D37" i="1" s="1"/>
  <c r="D38" i="1" s="1"/>
  <c r="B38" i="1" s="1"/>
  <c r="D14" i="1"/>
  <c r="E13" i="1" s="1"/>
  <c r="E15" i="1" s="1"/>
  <c r="E17" i="1" s="1"/>
  <c r="D13" i="1"/>
  <c r="D15" i="1" s="1"/>
  <c r="D12" i="1"/>
  <c r="E11" i="1" s="1"/>
  <c r="D11" i="1"/>
  <c r="E36" i="1" l="1"/>
  <c r="E46" i="1"/>
  <c r="E43" i="1"/>
  <c r="AQ43" i="2"/>
  <c r="AR43" i="2"/>
  <c r="AR46" i="2"/>
  <c r="AR45" i="2" s="1"/>
  <c r="AQ46" i="2"/>
  <c r="AQ45" i="2" s="1"/>
  <c r="AW43" i="2"/>
  <c r="AW46" i="2"/>
  <c r="AW45" i="2" s="1"/>
  <c r="D58" i="1"/>
  <c r="B58" i="1" s="1"/>
  <c r="B35" i="1"/>
  <c r="E45" i="1" l="1"/>
  <c r="D52" i="1"/>
  <c r="D53" i="1" s="1"/>
  <c r="D54" i="1"/>
  <c r="T29" i="4"/>
  <c r="U29" i="4" s="1"/>
  <c r="T28" i="4"/>
  <c r="U28" i="4" s="1"/>
  <c r="T27" i="4"/>
  <c r="U27" i="4" s="1"/>
  <c r="T26" i="4"/>
  <c r="U26" i="4" s="1"/>
  <c r="T25" i="4"/>
  <c r="U25" i="4" s="1"/>
  <c r="T24" i="4"/>
  <c r="U24" i="4" s="1"/>
  <c r="T23" i="4"/>
  <c r="U23" i="4" s="1"/>
  <c r="T22" i="4"/>
  <c r="U22" i="4" s="1"/>
  <c r="T21" i="4"/>
  <c r="U21" i="4" s="1"/>
  <c r="T20" i="4"/>
  <c r="U20" i="4" s="1"/>
  <c r="T19" i="4"/>
  <c r="U19" i="4" s="1"/>
  <c r="T18" i="4"/>
  <c r="U18" i="4" s="1"/>
  <c r="T17" i="4"/>
  <c r="U17" i="4" s="1"/>
  <c r="T16" i="4"/>
  <c r="U16" i="4" s="1"/>
  <c r="F16" i="4"/>
  <c r="T15" i="4"/>
  <c r="U15" i="4" s="1"/>
  <c r="F15" i="4"/>
  <c r="T14" i="4"/>
  <c r="U14" i="4" s="1"/>
  <c r="F14" i="4"/>
  <c r="T13" i="4"/>
  <c r="U13" i="4" s="1"/>
  <c r="F13" i="4"/>
  <c r="T12" i="4"/>
  <c r="U12" i="4" s="1"/>
  <c r="F12" i="4"/>
  <c r="T11" i="4"/>
  <c r="U11" i="4" s="1"/>
  <c r="O11" i="4"/>
  <c r="P11" i="4" s="1"/>
  <c r="F11" i="4"/>
  <c r="T10" i="4"/>
  <c r="U10" i="4" s="1"/>
  <c r="O10" i="4"/>
  <c r="P10" i="4" s="1"/>
  <c r="F10" i="4"/>
  <c r="T9" i="4"/>
  <c r="U9" i="4" s="1"/>
  <c r="O9" i="4"/>
  <c r="P9" i="4" s="1"/>
  <c r="F9" i="4"/>
  <c r="T8" i="4"/>
  <c r="U8" i="4" s="1"/>
  <c r="O8" i="4"/>
  <c r="P8" i="4" s="1"/>
  <c r="F8" i="4"/>
  <c r="T7" i="4"/>
  <c r="U7" i="4" s="1"/>
  <c r="O7" i="4"/>
  <c r="P7" i="4" s="1"/>
  <c r="F7" i="4"/>
  <c r="T6" i="4"/>
  <c r="U6" i="4" s="1"/>
  <c r="O6" i="4"/>
  <c r="P6" i="4" s="1"/>
  <c r="F6" i="4"/>
  <c r="U5" i="4"/>
  <c r="O5" i="4"/>
  <c r="P5" i="4" s="1"/>
  <c r="F5" i="4"/>
  <c r="U4" i="4"/>
  <c r="O4" i="4"/>
  <c r="P4" i="4" s="1"/>
  <c r="F4" i="4"/>
  <c r="B54" i="1" l="1"/>
  <c r="D55" i="1"/>
  <c r="B52" i="1"/>
  <c r="D41" i="1"/>
  <c r="B41" i="1" s="1"/>
  <c r="B37" i="1"/>
  <c r="D42" i="1" l="1"/>
  <c r="B42" i="1" s="1"/>
  <c r="D49" i="1"/>
  <c r="B49" i="1" s="1"/>
  <c r="D16" i="1" l="1"/>
  <c r="D44" i="1" l="1"/>
  <c r="B44" i="1" s="1"/>
  <c r="D50" i="1"/>
  <c r="B55" i="1"/>
  <c r="B53" i="1"/>
  <c r="D17" i="1"/>
  <c r="B17" i="1" l="1"/>
  <c r="D36" i="1"/>
  <c r="B36" i="1" s="1"/>
  <c r="B62" i="1" s="1"/>
  <c r="D51" i="1"/>
  <c r="B51" i="1" s="1"/>
  <c r="B50" i="1"/>
  <c r="D43" i="1"/>
  <c r="B43" i="1" s="1"/>
  <c r="D46" i="1"/>
  <c r="B46" i="1" s="1"/>
  <c r="B61" i="1" l="1"/>
  <c r="D45" i="1"/>
  <c r="B45" i="1" s="1"/>
</calcChain>
</file>

<file path=xl/sharedStrings.xml><?xml version="1.0" encoding="utf-8"?>
<sst xmlns="http://schemas.openxmlformats.org/spreadsheetml/2006/main" count="277" uniqueCount="108">
  <si>
    <t>Numéro regard amont</t>
  </si>
  <si>
    <t>TOTAL</t>
  </si>
  <si>
    <t>Numéro regard aval</t>
  </si>
  <si>
    <t>Profondeur amont fil d'eau (m)</t>
  </si>
  <si>
    <t>Profondeur aval fil d'eau (m)</t>
  </si>
  <si>
    <t>Profondeur amont de tranchée (m)</t>
  </si>
  <si>
    <t>Profondeur aval de tranchée (m)</t>
  </si>
  <si>
    <t>Profondeur moyenne de tranchée (m)</t>
  </si>
  <si>
    <t>TYPE DE TERRAIN (% du linéaire)</t>
  </si>
  <si>
    <t>Terrain naturel</t>
  </si>
  <si>
    <t>Chemin</t>
  </si>
  <si>
    <t>Enrobé à froid</t>
  </si>
  <si>
    <t>Grave bitume</t>
  </si>
  <si>
    <t>Enrobé à chaud</t>
  </si>
  <si>
    <t xml:space="preserve">Réutilisation des déblais en remblais </t>
  </si>
  <si>
    <t>CARACTERISTIQUE RESEAUX</t>
  </si>
  <si>
    <t>Longueur (m)</t>
  </si>
  <si>
    <t>TERRASSEMENTS</t>
  </si>
  <si>
    <t>Largeur de tranchée (m)</t>
  </si>
  <si>
    <r>
      <rPr>
        <sz val="12"/>
        <color theme="1"/>
        <rFont val="Arial"/>
        <family val="2"/>
      </rPr>
      <t>Volume Terrassement (m</t>
    </r>
    <r>
      <rPr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)</t>
    </r>
  </si>
  <si>
    <r>
      <rPr>
        <sz val="12"/>
        <color theme="1"/>
        <rFont val="Arial"/>
        <family val="2"/>
      </rPr>
      <t>Volume de décapage de terre végétale (m</t>
    </r>
    <r>
      <rPr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)</t>
    </r>
  </si>
  <si>
    <r>
      <rPr>
        <sz val="12"/>
        <color theme="1"/>
        <rFont val="Arial"/>
        <family val="2"/>
      </rPr>
      <t>Surface de décapage de terre végétale (m</t>
    </r>
    <r>
      <rPr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</si>
  <si>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t>REMBLAIS</t>
  </si>
  <si>
    <t xml:space="preserve">Volume tuyaux </t>
  </si>
  <si>
    <r>
      <rPr>
        <sz val="12"/>
        <color theme="1"/>
        <rFont val="Arial"/>
        <family val="2"/>
      </rPr>
      <t>Volume couche de réglage GNT 0/31,5 (m</t>
    </r>
    <r>
      <rPr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)</t>
    </r>
  </si>
  <si>
    <r>
      <rPr>
        <sz val="12"/>
        <color theme="1"/>
        <rFont val="Arial"/>
        <family val="2"/>
      </rPr>
      <t>Volume grave  0/60 (m</t>
    </r>
    <r>
      <rPr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)</t>
    </r>
  </si>
  <si>
    <r>
      <rPr>
        <sz val="12"/>
        <color theme="1"/>
        <rFont val="Arial"/>
        <family val="2"/>
      </rPr>
      <t>Volume enrobage (m</t>
    </r>
    <r>
      <rPr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)</t>
    </r>
  </si>
  <si>
    <t>Volume de déblais évacués (m³)</t>
  </si>
  <si>
    <r>
      <rPr>
        <sz val="12"/>
        <color theme="1"/>
        <rFont val="Arial"/>
        <family val="2"/>
      </rPr>
      <t>Volume déblais réutilisés (m</t>
    </r>
    <r>
      <rPr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)</t>
    </r>
  </si>
  <si>
    <t>REFECTIONS</t>
  </si>
  <si>
    <t>Linéaire de tranchée de découpage des enrobés (ml)</t>
  </si>
  <si>
    <t>Réfection en enrobé à froid (m²)</t>
  </si>
  <si>
    <t>Réfection en enrobé à froid (T)</t>
  </si>
  <si>
    <t>Réfection provisoire en GB (m²)</t>
  </si>
  <si>
    <t>Réfection provisoire en GB (T)</t>
  </si>
  <si>
    <t>Réfection en enrobé à chaud (m²)</t>
  </si>
  <si>
    <t>Réfection en enrobé à chaud (T)</t>
  </si>
  <si>
    <t>Hauteurs et mesures diverses</t>
  </si>
  <si>
    <t>Lit de pose (sable 0/8)</t>
  </si>
  <si>
    <t>Couverture (sable 0/8)</t>
  </si>
  <si>
    <t>Débords de tranchée d'un côté</t>
  </si>
  <si>
    <t>Couche de roulement :</t>
  </si>
  <si>
    <t>Couche de réglage GNT 0/31,5 (épai.)</t>
  </si>
  <si>
    <t>Epaisseur terre végétale (décapage)</t>
  </si>
  <si>
    <t>Enrobé à froid (densité : T/m³)</t>
  </si>
  <si>
    <t>Enrobé à chaud (densité : T/m³)</t>
  </si>
  <si>
    <t>Grave bitume (densité : T/m³)</t>
  </si>
  <si>
    <t xml:space="preserve">CUBATURES </t>
  </si>
  <si>
    <t xml:space="preserve">N°Affaire: </t>
  </si>
  <si>
    <t xml:space="preserve">Maitre d'ouvrage: </t>
  </si>
  <si>
    <r>
      <rPr>
        <b/>
        <i/>
        <sz val="16"/>
        <color rgb="FFFF0000"/>
        <rFont val="Arial"/>
        <family val="2"/>
      </rPr>
      <t>NOM PROJET</t>
    </r>
    <r>
      <rPr>
        <sz val="16"/>
        <color theme="1"/>
        <rFont val="Arial"/>
        <family val="2"/>
      </rPr>
      <t xml:space="preserve"> </t>
    </r>
  </si>
  <si>
    <t>Ø Tuyau 1 (mm)</t>
  </si>
  <si>
    <t>Ø Tuyau 2 (mm)</t>
  </si>
  <si>
    <t>Ø Tuyau 3 (mm)</t>
  </si>
  <si>
    <t>DIVERS</t>
  </si>
  <si>
    <t>ANALYSE</t>
  </si>
  <si>
    <t xml:space="preserve">Epaisseur refections par troncon </t>
  </si>
  <si>
    <t xml:space="preserve">Densités données de ficntionemment </t>
  </si>
  <si>
    <t>Sciage chaussée légère (ml)</t>
  </si>
  <si>
    <t>Taux de Réutilisation (%)</t>
  </si>
  <si>
    <t>Terrassement au ml  (m3/ml)</t>
  </si>
  <si>
    <t xml:space="preserve">Diamètre extérieur Canalisation en fonction du matériau </t>
  </si>
  <si>
    <t xml:space="preserve">PVC </t>
  </si>
  <si>
    <t xml:space="preserve">Densité matériaux </t>
  </si>
  <si>
    <t>Béton</t>
  </si>
  <si>
    <t xml:space="preserve">Epaisseur paroi </t>
  </si>
  <si>
    <t>DN parois (mm)</t>
  </si>
  <si>
    <t>Epaisseur extérieur (mm)</t>
  </si>
  <si>
    <t>Troncon 1</t>
  </si>
  <si>
    <t>Fonte</t>
  </si>
  <si>
    <t>Polypro</t>
  </si>
  <si>
    <t>Tuyau 3 : type matériau</t>
  </si>
  <si>
    <t>Tuyau 1 : type matériau</t>
  </si>
  <si>
    <t>Tuyau 2 : type matériau</t>
  </si>
  <si>
    <t xml:space="preserve">Liste matériaux </t>
  </si>
  <si>
    <t>PE</t>
  </si>
  <si>
    <t>Nouveau tronçon</t>
  </si>
  <si>
    <t>Macro Nouveau troncon</t>
  </si>
  <si>
    <t>Nouvelle Canalisation</t>
  </si>
  <si>
    <t>Nouvelle Cana</t>
  </si>
  <si>
    <t>Volume Terrassement (T/m3)</t>
  </si>
  <si>
    <t>Sable (T/m3)</t>
  </si>
  <si>
    <t>Grave 0/80 (T/m3)</t>
  </si>
  <si>
    <t>Grave 0/60 (T/m3)</t>
  </si>
  <si>
    <t>GNT 0/31,5 (T/m3)</t>
  </si>
  <si>
    <t>TOTAL       (en T)</t>
  </si>
  <si>
    <t xml:space="preserve">Chantier: </t>
  </si>
  <si>
    <t xml:space="preserve">Zone </t>
  </si>
  <si>
    <t>R1</t>
  </si>
  <si>
    <t>R2</t>
  </si>
  <si>
    <t>DN</t>
  </si>
  <si>
    <t>Int.</t>
  </si>
  <si>
    <t>Ext.</t>
  </si>
  <si>
    <t xml:space="preserve">Macro Nouveau Troncon </t>
  </si>
  <si>
    <t>Macro Nouvelle canalisation</t>
  </si>
  <si>
    <r>
      <t>Epaisseur refections</t>
    </r>
    <r>
      <rPr>
        <i/>
        <u/>
        <sz val="12"/>
        <color theme="1"/>
        <rFont val="Arial"/>
        <family val="2"/>
      </rPr>
      <t xml:space="preserve"> par troncon (m)</t>
    </r>
  </si>
  <si>
    <t xml:space="preserve">à modifier </t>
  </si>
  <si>
    <t xml:space="preserve">Vérifier les formules bibliothèques </t>
  </si>
  <si>
    <r>
      <t>Volume Terrassement (m</t>
    </r>
    <r>
      <rPr>
        <sz val="10"/>
        <rFont val="Arial"/>
        <family val="2"/>
      </rPr>
      <t>3)</t>
    </r>
  </si>
  <si>
    <r>
      <t>Volume de décapage de terre végétale (m</t>
    </r>
    <r>
      <rPr>
        <sz val="10"/>
        <rFont val="Arial"/>
        <family val="2"/>
      </rPr>
      <t>3)</t>
    </r>
  </si>
  <si>
    <r>
      <t>Surface de décapage de terre végétale (m</t>
    </r>
    <r>
      <rPr>
        <sz val="10"/>
        <rFont val="Arial"/>
        <family val="2"/>
      </rPr>
      <t>2)</t>
    </r>
  </si>
  <si>
    <r>
      <t>Volume couche de réglage GNT 0/31,5 (m</t>
    </r>
    <r>
      <rPr>
        <sz val="10"/>
        <rFont val="Arial"/>
        <family val="2"/>
      </rPr>
      <t>3)</t>
    </r>
  </si>
  <si>
    <r>
      <t>Volume grave  0/60 (m</t>
    </r>
    <r>
      <rPr>
        <sz val="10"/>
        <rFont val="Arial"/>
        <family val="2"/>
      </rPr>
      <t>3)</t>
    </r>
  </si>
  <si>
    <r>
      <t>Volume enrobage (m</t>
    </r>
    <r>
      <rPr>
        <sz val="10"/>
        <rFont val="Arial"/>
        <family val="2"/>
      </rPr>
      <t>3)</t>
    </r>
  </si>
  <si>
    <r>
      <t>Volume déblais réutilisés (m</t>
    </r>
    <r>
      <rPr>
        <sz val="10"/>
        <rFont val="Arial"/>
        <family val="2"/>
      </rPr>
      <t>3)</t>
    </r>
  </si>
  <si>
    <t xml:space="preserve">Pas de canalisation </t>
  </si>
  <si>
    <t>Nouveau Tronçon</t>
  </si>
  <si>
    <t>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</si>
</sst>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i/>
      <sz val="11"/>
      <color theme="1"/>
      <name val="Arial"/>
      <family val="2"/>
    </font>
    <font>
      <sz val="16"/>
      <color theme="1"/>
      <name val="Arial"/>
      <family val="2"/>
    </font>
    <font>
      <b/>
      <i/>
      <sz val="16"/>
      <color rgb="FFFF0000"/>
      <name val="Arial"/>
      <family val="2"/>
    </font>
    <font>
      <b/>
      <sz val="22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u/>
      <sz val="12"/>
      <color theme="1"/>
      <name val="Arial"/>
      <family val="2"/>
    </font>
    <font>
      <sz val="11"/>
      <color rgb="FF000000"/>
      <name val="Calibri"/>
      <family val="2"/>
    </font>
    <font>
      <i/>
      <u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99"/>
        <bgColor rgb="FFFFFF99"/>
      </patternFill>
    </fill>
    <fill>
      <patternFill patternType="solid">
        <fgColor rgb="FFB7E1CD"/>
        <bgColor rgb="FFB7E1CD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rgb="FF548DD4"/>
      </patternFill>
    </fill>
    <fill>
      <patternFill patternType="solid">
        <fgColor rgb="FF548DD4"/>
        <bgColor indexed="64"/>
      </patternFill>
    </fill>
    <fill>
      <patternFill patternType="solid">
        <fgColor rgb="FFCCFFCC"/>
        <bgColor rgb="FF548DD4"/>
      </patternFill>
    </fill>
    <fill>
      <patternFill patternType="solid">
        <fgColor rgb="FFCCFFCC"/>
        <bgColor rgb="FFFFFF99"/>
      </patternFill>
    </fill>
    <fill>
      <patternFill patternType="solid">
        <fgColor rgb="FF5B82FF"/>
        <bgColor rgb="FF548DD4"/>
      </patternFill>
    </fill>
    <fill>
      <patternFill patternType="solid">
        <fgColor rgb="FF5B82FF"/>
        <bgColor rgb="FFFFFF9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9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B7E1CD"/>
      </patternFill>
    </fill>
    <fill>
      <patternFill patternType="solid">
        <fgColor theme="0" tint="-0.34998626667073579"/>
        <bgColor rgb="FF548DD4"/>
      </patternFill>
    </fill>
    <fill>
      <patternFill patternType="solid">
        <fgColor theme="0" tint="-0.34998626667073579"/>
        <bgColor rgb="FFFFFF99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/>
        <bgColor rgb="FF548DD4"/>
      </patternFill>
    </fill>
    <fill>
      <patternFill patternType="solid">
        <fgColor theme="0"/>
        <bgColor rgb="FFB7E1CD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medium">
        <color indexed="64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999999"/>
      </bottom>
      <diagonal/>
    </border>
    <border>
      <left/>
      <right style="thin">
        <color indexed="64"/>
      </right>
      <top/>
      <bottom style="thin">
        <color rgb="FF999999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n">
        <color rgb="FF99999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999999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999999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7B7B7"/>
      </right>
      <top style="medium">
        <color indexed="64"/>
      </top>
      <bottom style="medium">
        <color indexed="64"/>
      </bottom>
      <diagonal/>
    </border>
    <border>
      <left style="thin">
        <color rgb="FFB7B7B7"/>
      </left>
      <right style="thin">
        <color rgb="FFB7B7B7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999999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indexed="64"/>
      </right>
      <top/>
      <bottom style="thin">
        <color rgb="FF999999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999999"/>
      </bottom>
      <diagonal/>
    </border>
    <border>
      <left style="medium">
        <color indexed="64"/>
      </left>
      <right/>
      <top style="medium">
        <color indexed="64"/>
      </top>
      <bottom style="thin">
        <color rgb="FF999999"/>
      </bottom>
      <diagonal/>
    </border>
    <border>
      <left style="thin">
        <color indexed="64"/>
      </left>
      <right style="medium">
        <color indexed="64"/>
      </right>
      <top style="thin">
        <color rgb="FF999999"/>
      </top>
      <bottom style="medium">
        <color indexed="64"/>
      </bottom>
      <diagonal/>
    </border>
    <border>
      <left style="medium">
        <color indexed="64"/>
      </left>
      <right/>
      <top style="thin">
        <color rgb="FF999999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212">
    <xf numFmtId="0" fontId="0" fillId="0" borderId="0" xfId="0"/>
    <xf numFmtId="0" fontId="1" fillId="2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/>
    <xf numFmtId="0" fontId="4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2" fontId="1" fillId="4" borderId="6" xfId="0" applyNumberFormat="1" applyFont="1" applyFill="1" applyBorder="1" applyAlignment="1">
      <alignment horizontal="center"/>
    </xf>
    <xf numFmtId="2" fontId="0" fillId="0" borderId="0" xfId="0" applyNumberFormat="1"/>
    <xf numFmtId="0" fontId="7" fillId="0" borderId="8" xfId="0" applyFont="1" applyFill="1" applyBorder="1" applyAlignment="1">
      <alignment horizontal="left" vertical="center"/>
    </xf>
    <xf numFmtId="0" fontId="0" fillId="5" borderId="0" xfId="0" applyFill="1"/>
    <xf numFmtId="0" fontId="1" fillId="5" borderId="8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5" fillId="6" borderId="0" xfId="0" applyFont="1" applyFill="1" applyBorder="1" applyAlignment="1">
      <alignment horizontal="left" vertical="center" wrapText="1"/>
    </xf>
    <xf numFmtId="0" fontId="11" fillId="7" borderId="0" xfId="0" applyFont="1" applyFill="1"/>
    <xf numFmtId="1" fontId="1" fillId="4" borderId="18" xfId="0" applyNumberFormat="1" applyFont="1" applyFill="1" applyBorder="1" applyAlignment="1">
      <alignment horizontal="center"/>
    </xf>
    <xf numFmtId="2" fontId="1" fillId="4" borderId="18" xfId="0" applyNumberFormat="1" applyFont="1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/>
    <xf numFmtId="0" fontId="7" fillId="0" borderId="8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10" borderId="5" xfId="0" applyFont="1" applyFill="1" applyBorder="1" applyAlignment="1">
      <alignment horizontal="left" vertical="center"/>
    </xf>
    <xf numFmtId="0" fontId="5" fillId="10" borderId="5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4" fillId="6" borderId="11" xfId="0" applyFont="1" applyFill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0" fontId="0" fillId="0" borderId="19" xfId="0" applyBorder="1"/>
    <xf numFmtId="0" fontId="5" fillId="6" borderId="10" xfId="0" applyFont="1" applyFill="1" applyBorder="1" applyAlignment="1">
      <alignment horizontal="left" vertical="center" wrapText="1"/>
    </xf>
    <xf numFmtId="0" fontId="0" fillId="0" borderId="0" xfId="0" applyBorder="1"/>
    <xf numFmtId="0" fontId="5" fillId="6" borderId="14" xfId="0" applyFont="1" applyFill="1" applyBorder="1" applyAlignment="1">
      <alignment horizontal="left" vertical="center" wrapText="1"/>
    </xf>
    <xf numFmtId="9" fontId="1" fillId="0" borderId="22" xfId="0" applyNumberFormat="1" applyFont="1" applyBorder="1" applyAlignment="1">
      <alignment horizontal="center" vertical="center"/>
    </xf>
    <xf numFmtId="0" fontId="0" fillId="0" borderId="20" xfId="0" applyBorder="1"/>
    <xf numFmtId="0" fontId="15" fillId="0" borderId="0" xfId="1"/>
    <xf numFmtId="0" fontId="0" fillId="0" borderId="12" xfId="0" applyBorder="1"/>
    <xf numFmtId="0" fontId="0" fillId="0" borderId="15" xfId="0" applyBorder="1"/>
    <xf numFmtId="0" fontId="0" fillId="0" borderId="9" xfId="0" applyBorder="1"/>
    <xf numFmtId="0" fontId="0" fillId="0" borderId="13" xfId="0" applyBorder="1"/>
    <xf numFmtId="0" fontId="0" fillId="0" borderId="24" xfId="0" applyBorder="1"/>
    <xf numFmtId="0" fontId="0" fillId="0" borderId="0" xfId="0" applyFill="1"/>
    <xf numFmtId="0" fontId="0" fillId="12" borderId="17" xfId="0" applyFill="1" applyBorder="1"/>
    <xf numFmtId="0" fontId="0" fillId="0" borderId="23" xfId="0" applyBorder="1"/>
    <xf numFmtId="4" fontId="0" fillId="0" borderId="23" xfId="0" applyNumberFormat="1" applyBorder="1"/>
    <xf numFmtId="4" fontId="0" fillId="0" borderId="0" xfId="0" applyNumberFormat="1"/>
    <xf numFmtId="9" fontId="1" fillId="14" borderId="25" xfId="0" applyNumberFormat="1" applyFont="1" applyFill="1" applyBorder="1" applyAlignment="1">
      <alignment horizontal="center" vertical="center"/>
    </xf>
    <xf numFmtId="9" fontId="1" fillId="14" borderId="27" xfId="0" applyNumberFormat="1" applyFont="1" applyFill="1" applyBorder="1" applyAlignment="1">
      <alignment horizontal="center" vertical="center"/>
    </xf>
    <xf numFmtId="9" fontId="1" fillId="14" borderId="26" xfId="0" applyNumberFormat="1" applyFont="1" applyFill="1" applyBorder="1" applyAlignment="1">
      <alignment horizontal="center" vertical="center"/>
    </xf>
    <xf numFmtId="0" fontId="1" fillId="18" borderId="0" xfId="0" applyFont="1" applyFill="1" applyAlignment="1">
      <alignment vertical="center"/>
    </xf>
    <xf numFmtId="0" fontId="1" fillId="18" borderId="0" xfId="0" applyFont="1" applyFill="1" applyAlignment="1">
      <alignment horizontal="left" vertical="center"/>
    </xf>
    <xf numFmtId="0" fontId="17" fillId="6" borderId="28" xfId="0" applyFont="1" applyFill="1" applyBorder="1" applyAlignment="1">
      <alignment horizontal="left" vertical="center" wrapText="1"/>
    </xf>
    <xf numFmtId="0" fontId="17" fillId="6" borderId="33" xfId="0" applyFont="1" applyFill="1" applyBorder="1" applyAlignment="1">
      <alignment horizontal="left" vertical="center" wrapText="1"/>
    </xf>
    <xf numFmtId="0" fontId="17" fillId="6" borderId="29" xfId="0" applyFont="1" applyFill="1" applyBorder="1" applyAlignment="1">
      <alignment horizontal="left" vertical="center" wrapText="1"/>
    </xf>
    <xf numFmtId="0" fontId="17" fillId="6" borderId="35" xfId="0" applyFont="1" applyFill="1" applyBorder="1" applyAlignment="1">
      <alignment horizontal="left" vertical="center" wrapText="1"/>
    </xf>
    <xf numFmtId="0" fontId="17" fillId="6" borderId="19" xfId="0" applyFont="1" applyFill="1" applyBorder="1" applyAlignment="1">
      <alignment horizontal="left" vertical="center" wrapText="1"/>
    </xf>
    <xf numFmtId="0" fontId="17" fillId="6" borderId="36" xfId="0" applyFont="1" applyFill="1" applyBorder="1" applyAlignment="1">
      <alignment horizontal="left" vertical="center" wrapText="1"/>
    </xf>
    <xf numFmtId="9" fontId="1" fillId="14" borderId="37" xfId="0" applyNumberFormat="1" applyFont="1" applyFill="1" applyBorder="1" applyAlignment="1">
      <alignment horizontal="center" vertical="center"/>
    </xf>
    <xf numFmtId="0" fontId="17" fillId="6" borderId="38" xfId="0" applyFont="1" applyFill="1" applyBorder="1" applyAlignment="1">
      <alignment horizontal="left" vertical="center" wrapText="1"/>
    </xf>
    <xf numFmtId="0" fontId="17" fillId="6" borderId="10" xfId="0" applyFont="1" applyFill="1" applyBorder="1" applyAlignment="1">
      <alignment horizontal="left" vertical="center" wrapText="1"/>
    </xf>
    <xf numFmtId="0" fontId="1" fillId="18" borderId="14" xfId="0" applyFont="1" applyFill="1" applyBorder="1" applyAlignment="1">
      <alignment horizontal="left" vertical="center"/>
    </xf>
    <xf numFmtId="0" fontId="1" fillId="18" borderId="20" xfId="0" applyFont="1" applyFill="1" applyBorder="1" applyAlignment="1">
      <alignment horizontal="left" vertical="center"/>
    </xf>
    <xf numFmtId="0" fontId="16" fillId="16" borderId="34" xfId="0" applyFont="1" applyFill="1" applyBorder="1" applyAlignment="1">
      <alignment horizontal="left" vertical="center"/>
    </xf>
    <xf numFmtId="0" fontId="16" fillId="16" borderId="0" xfId="0" applyFont="1" applyFill="1" applyBorder="1" applyAlignment="1">
      <alignment horizontal="left" vertical="center"/>
    </xf>
    <xf numFmtId="0" fontId="4" fillId="17" borderId="40" xfId="0" applyFont="1" applyFill="1" applyBorder="1" applyAlignment="1">
      <alignment horizontal="left" vertical="center"/>
    </xf>
    <xf numFmtId="0" fontId="4" fillId="17" borderId="7" xfId="0" applyFont="1" applyFill="1" applyBorder="1" applyAlignment="1">
      <alignment horizontal="center" vertical="center" wrapText="1"/>
    </xf>
    <xf numFmtId="0" fontId="4" fillId="17" borderId="13" xfId="0" applyFont="1" applyFill="1" applyBorder="1" applyAlignment="1">
      <alignment horizontal="center" vertical="center" wrapText="1"/>
    </xf>
    <xf numFmtId="0" fontId="19" fillId="13" borderId="31" xfId="0" applyFont="1" applyFill="1" applyBorder="1" applyAlignment="1">
      <alignment horizontal="left" vertical="center" wrapText="1"/>
    </xf>
    <xf numFmtId="0" fontId="19" fillId="13" borderId="32" xfId="0" applyFont="1" applyFill="1" applyBorder="1" applyAlignment="1">
      <alignment horizontal="left" vertical="center" wrapText="1"/>
    </xf>
    <xf numFmtId="0" fontId="4" fillId="14" borderId="27" xfId="0" applyFont="1" applyFill="1" applyBorder="1" applyAlignment="1">
      <alignment horizontal="center" vertical="center" wrapText="1"/>
    </xf>
    <xf numFmtId="0" fontId="4" fillId="14" borderId="33" xfId="0" applyFont="1" applyFill="1" applyBorder="1" applyAlignment="1">
      <alignment horizontal="center" vertical="center" wrapText="1"/>
    </xf>
    <xf numFmtId="0" fontId="3" fillId="14" borderId="32" xfId="0" applyFont="1" applyFill="1" applyBorder="1" applyAlignment="1">
      <alignment horizontal="center" vertical="center"/>
    </xf>
    <xf numFmtId="2" fontId="1" fillId="15" borderId="31" xfId="0" applyNumberFormat="1" applyFont="1" applyFill="1" applyBorder="1" applyAlignment="1">
      <alignment horizontal="center" vertical="center"/>
    </xf>
    <xf numFmtId="0" fontId="3" fillId="14" borderId="33" xfId="0" applyFont="1" applyFill="1" applyBorder="1" applyAlignment="1">
      <alignment horizontal="center" vertical="center"/>
    </xf>
    <xf numFmtId="2" fontId="1" fillId="15" borderId="27" xfId="0" applyNumberFormat="1" applyFont="1" applyFill="1" applyBorder="1" applyAlignment="1">
      <alignment horizontal="center" vertical="center"/>
    </xf>
    <xf numFmtId="2" fontId="1" fillId="15" borderId="33" xfId="0" applyNumberFormat="1" applyFont="1" applyFill="1" applyBorder="1" applyAlignment="1">
      <alignment horizontal="center" vertical="center"/>
    </xf>
    <xf numFmtId="2" fontId="1" fillId="15" borderId="42" xfId="0" applyNumberFormat="1" applyFont="1" applyFill="1" applyBorder="1" applyAlignment="1">
      <alignment horizontal="center" vertical="center"/>
    </xf>
    <xf numFmtId="0" fontId="17" fillId="3" borderId="43" xfId="0" applyFont="1" applyFill="1" applyBorder="1" applyAlignment="1">
      <alignment horizontal="left" vertical="center" wrapText="1"/>
    </xf>
    <xf numFmtId="0" fontId="17" fillId="6" borderId="45" xfId="0" applyFont="1" applyFill="1" applyBorder="1" applyAlignment="1">
      <alignment horizontal="left" vertical="center" wrapText="1"/>
    </xf>
    <xf numFmtId="0" fontId="17" fillId="6" borderId="46" xfId="0" applyFont="1" applyFill="1" applyBorder="1" applyAlignment="1">
      <alignment horizontal="left" vertical="center" wrapText="1"/>
    </xf>
    <xf numFmtId="0" fontId="17" fillId="6" borderId="47" xfId="0" applyFont="1" applyFill="1" applyBorder="1" applyAlignment="1">
      <alignment horizontal="left" vertical="center" wrapText="1"/>
    </xf>
    <xf numFmtId="9" fontId="1" fillId="14" borderId="48" xfId="0" applyNumberFormat="1" applyFont="1" applyFill="1" applyBorder="1" applyAlignment="1">
      <alignment horizontal="center" vertical="center"/>
    </xf>
    <xf numFmtId="0" fontId="16" fillId="16" borderId="49" xfId="0" applyFont="1" applyFill="1" applyBorder="1" applyAlignment="1">
      <alignment horizontal="left" vertical="center"/>
    </xf>
    <xf numFmtId="0" fontId="16" fillId="16" borderId="50" xfId="0" applyFont="1" applyFill="1" applyBorder="1" applyAlignment="1">
      <alignment horizontal="left" vertical="center"/>
    </xf>
    <xf numFmtId="0" fontId="3" fillId="16" borderId="51" xfId="0" applyFont="1" applyFill="1" applyBorder="1" applyAlignment="1">
      <alignment horizontal="center"/>
    </xf>
    <xf numFmtId="0" fontId="4" fillId="17" borderId="52" xfId="0" applyFont="1" applyFill="1" applyBorder="1" applyAlignment="1">
      <alignment horizontal="left" vertical="center"/>
    </xf>
    <xf numFmtId="0" fontId="16" fillId="3" borderId="53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7" fillId="3" borderId="54" xfId="0" applyFont="1" applyFill="1" applyBorder="1" applyAlignment="1">
      <alignment horizontal="left" vertical="center" wrapText="1"/>
    </xf>
    <xf numFmtId="0" fontId="16" fillId="17" borderId="55" xfId="0" applyFont="1" applyFill="1" applyBorder="1" applyAlignment="1">
      <alignment horizontal="left" vertical="center"/>
    </xf>
    <xf numFmtId="0" fontId="16" fillId="17" borderId="51" xfId="0" applyFont="1" applyFill="1" applyBorder="1" applyAlignment="1">
      <alignment horizontal="left" vertical="center"/>
    </xf>
    <xf numFmtId="0" fontId="3" fillId="17" borderId="51" xfId="0" applyFont="1" applyFill="1" applyBorder="1" applyAlignment="1">
      <alignment horizontal="center"/>
    </xf>
    <xf numFmtId="0" fontId="16" fillId="16" borderId="55" xfId="0" applyFont="1" applyFill="1" applyBorder="1" applyAlignment="1">
      <alignment horizontal="left" vertical="center"/>
    </xf>
    <xf numFmtId="0" fontId="16" fillId="16" borderId="51" xfId="0" applyFont="1" applyFill="1" applyBorder="1" applyAlignment="1">
      <alignment horizontal="left" vertical="center"/>
    </xf>
    <xf numFmtId="0" fontId="16" fillId="16" borderId="55" xfId="0" applyFont="1" applyFill="1" applyBorder="1" applyAlignment="1">
      <alignment horizontal="left" vertical="center" wrapText="1"/>
    </xf>
    <xf numFmtId="0" fontId="17" fillId="16" borderId="51" xfId="0" applyFont="1" applyFill="1" applyBorder="1" applyAlignment="1">
      <alignment horizontal="left" vertical="center" wrapText="1"/>
    </xf>
    <xf numFmtId="0" fontId="4" fillId="17" borderId="55" xfId="0" applyFont="1" applyFill="1" applyBorder="1" applyAlignment="1">
      <alignment horizontal="left" vertical="center"/>
    </xf>
    <xf numFmtId="0" fontId="18" fillId="13" borderId="37" xfId="0" applyFont="1" applyFill="1" applyBorder="1" applyAlignment="1">
      <alignment horizontal="center" vertical="center" wrapText="1"/>
    </xf>
    <xf numFmtId="0" fontId="18" fillId="13" borderId="56" xfId="0" applyFont="1" applyFill="1" applyBorder="1" applyAlignment="1">
      <alignment horizontal="center" vertical="center" wrapText="1"/>
    </xf>
    <xf numFmtId="0" fontId="4" fillId="14" borderId="37" xfId="0" applyFont="1" applyFill="1" applyBorder="1" applyAlignment="1">
      <alignment horizontal="center" vertical="center" wrapText="1"/>
    </xf>
    <xf numFmtId="0" fontId="4" fillId="14" borderId="56" xfId="0" applyFont="1" applyFill="1" applyBorder="1" applyAlignment="1">
      <alignment horizontal="center" vertical="center" wrapText="1"/>
    </xf>
    <xf numFmtId="0" fontId="18" fillId="13" borderId="33" xfId="0" applyFont="1" applyFill="1" applyBorder="1" applyAlignment="1">
      <alignment horizontal="center" vertical="center"/>
    </xf>
    <xf numFmtId="0" fontId="17" fillId="3" borderId="57" xfId="0" applyFont="1" applyFill="1" applyBorder="1" applyAlignment="1">
      <alignment horizontal="left" vertical="center" wrapText="1"/>
    </xf>
    <xf numFmtId="0" fontId="19" fillId="13" borderId="25" xfId="0" applyFont="1" applyFill="1" applyBorder="1" applyAlignment="1">
      <alignment horizontal="left" vertical="center" wrapText="1"/>
    </xf>
    <xf numFmtId="0" fontId="17" fillId="3" borderId="41" xfId="0" applyFont="1" applyFill="1" applyBorder="1" applyAlignment="1">
      <alignment horizontal="left" vertical="center" wrapText="1"/>
    </xf>
    <xf numFmtId="0" fontId="19" fillId="13" borderId="33" xfId="0" applyFont="1" applyFill="1" applyBorder="1" applyAlignment="1">
      <alignment horizontal="left" vertical="center" wrapText="1"/>
    </xf>
    <xf numFmtId="0" fontId="19" fillId="13" borderId="28" xfId="0" applyFont="1" applyFill="1" applyBorder="1" applyAlignment="1">
      <alignment horizontal="left" vertical="center" wrapText="1"/>
    </xf>
    <xf numFmtId="2" fontId="1" fillId="15" borderId="25" xfId="0" applyNumberFormat="1" applyFont="1" applyFill="1" applyBorder="1" applyAlignment="1">
      <alignment horizontal="center" vertical="center"/>
    </xf>
    <xf numFmtId="2" fontId="1" fillId="15" borderId="32" xfId="0" applyNumberFormat="1" applyFont="1" applyFill="1" applyBorder="1" applyAlignment="1">
      <alignment horizontal="center" vertical="center"/>
    </xf>
    <xf numFmtId="0" fontId="17" fillId="3" borderId="58" xfId="0" applyFont="1" applyFill="1" applyBorder="1" applyAlignment="1">
      <alignment horizontal="left" vertical="center" wrapText="1"/>
    </xf>
    <xf numFmtId="2" fontId="18" fillId="19" borderId="59" xfId="0" applyNumberFormat="1" applyFont="1" applyFill="1" applyBorder="1" applyAlignment="1">
      <alignment horizontal="right" vertical="center" wrapText="1"/>
    </xf>
    <xf numFmtId="0" fontId="19" fillId="13" borderId="42" xfId="0" applyFont="1" applyFill="1" applyBorder="1" applyAlignment="1">
      <alignment horizontal="left" vertical="center" wrapText="1"/>
    </xf>
    <xf numFmtId="4" fontId="3" fillId="14" borderId="19" xfId="0" applyNumberFormat="1" applyFont="1" applyFill="1" applyBorder="1" applyAlignment="1">
      <alignment horizontal="center" vertical="center" wrapText="1"/>
    </xf>
    <xf numFmtId="1" fontId="1" fillId="14" borderId="28" xfId="0" applyNumberFormat="1" applyFont="1" applyFill="1" applyBorder="1" applyAlignment="1">
      <alignment horizontal="center" vertical="center"/>
    </xf>
    <xf numFmtId="1" fontId="1" fillId="14" borderId="20" xfId="0" applyNumberFormat="1" applyFont="1" applyFill="1" applyBorder="1" applyAlignment="1">
      <alignment horizontal="center" vertical="center"/>
    </xf>
    <xf numFmtId="1" fontId="1" fillId="14" borderId="33" xfId="0" applyNumberFormat="1" applyFont="1" applyFill="1" applyBorder="1" applyAlignment="1">
      <alignment horizontal="center" vertical="center"/>
    </xf>
    <xf numFmtId="4" fontId="3" fillId="14" borderId="56" xfId="0" applyNumberFormat="1" applyFont="1" applyFill="1" applyBorder="1" applyAlignment="1">
      <alignment horizontal="center" vertical="center" wrapText="1"/>
    </xf>
    <xf numFmtId="1" fontId="1" fillId="14" borderId="42" xfId="0" applyNumberFormat="1" applyFont="1" applyFill="1" applyBorder="1" applyAlignment="1">
      <alignment horizontal="center" vertical="center"/>
    </xf>
    <xf numFmtId="0" fontId="17" fillId="6" borderId="53" xfId="0" applyFont="1" applyFill="1" applyBorder="1" applyAlignment="1">
      <alignment horizontal="left" vertical="center" wrapText="1"/>
    </xf>
    <xf numFmtId="0" fontId="17" fillId="6" borderId="54" xfId="0" applyFont="1" applyFill="1" applyBorder="1" applyAlignment="1">
      <alignment horizontal="left" vertical="center" wrapText="1"/>
    </xf>
    <xf numFmtId="0" fontId="17" fillId="6" borderId="58" xfId="0" applyFont="1" applyFill="1" applyBorder="1" applyAlignment="1">
      <alignment horizontal="left" vertical="center" wrapText="1"/>
    </xf>
    <xf numFmtId="1" fontId="19" fillId="19" borderId="36" xfId="0" applyNumberFormat="1" applyFont="1" applyFill="1" applyBorder="1" applyAlignment="1">
      <alignment horizontal="left" vertical="center" wrapText="1"/>
    </xf>
    <xf numFmtId="0" fontId="19" fillId="19" borderId="33" xfId="0" applyFont="1" applyFill="1" applyBorder="1" applyAlignment="1">
      <alignment horizontal="left" vertical="center" wrapText="1"/>
    </xf>
    <xf numFmtId="0" fontId="19" fillId="19" borderId="42" xfId="0" applyFont="1" applyFill="1" applyBorder="1" applyAlignment="1">
      <alignment horizontal="left" vertical="center" wrapText="1"/>
    </xf>
    <xf numFmtId="2" fontId="18" fillId="19" borderId="37" xfId="0" applyNumberFormat="1" applyFont="1" applyFill="1" applyBorder="1" applyAlignment="1">
      <alignment horizontal="right" vertical="center" wrapText="1"/>
    </xf>
    <xf numFmtId="0" fontId="19" fillId="19" borderId="27" xfId="0" applyFont="1" applyFill="1" applyBorder="1" applyAlignment="1">
      <alignment horizontal="left" vertical="center" wrapText="1"/>
    </xf>
    <xf numFmtId="0" fontId="19" fillId="19" borderId="59" xfId="0" applyFont="1" applyFill="1" applyBorder="1" applyAlignment="1">
      <alignment horizontal="left" vertical="center" wrapText="1"/>
    </xf>
    <xf numFmtId="2" fontId="1" fillId="15" borderId="56" xfId="0" applyNumberFormat="1" applyFont="1" applyFill="1" applyBorder="1" applyAlignment="1">
      <alignment horizontal="center" vertical="center"/>
    </xf>
    <xf numFmtId="0" fontId="19" fillId="13" borderId="56" xfId="0" applyFont="1" applyFill="1" applyBorder="1" applyAlignment="1">
      <alignment horizontal="left" vertical="center" wrapText="1"/>
    </xf>
    <xf numFmtId="2" fontId="18" fillId="13" borderId="56" xfId="0" applyNumberFormat="1" applyFont="1" applyFill="1" applyBorder="1" applyAlignment="1">
      <alignment horizontal="right" vertical="center" wrapText="1"/>
    </xf>
    <xf numFmtId="2" fontId="18" fillId="13" borderId="33" xfId="0" applyNumberFormat="1" applyFont="1" applyFill="1" applyBorder="1" applyAlignment="1">
      <alignment horizontal="right" vertical="center" wrapText="1"/>
    </xf>
    <xf numFmtId="2" fontId="18" fillId="13" borderId="31" xfId="0" applyNumberFormat="1" applyFont="1" applyFill="1" applyBorder="1" applyAlignment="1">
      <alignment horizontal="right" vertical="center" wrapText="1"/>
    </xf>
    <xf numFmtId="0" fontId="17" fillId="3" borderId="44" xfId="0" applyFont="1" applyFill="1" applyBorder="1" applyAlignment="1">
      <alignment horizontal="left" vertical="center" wrapText="1"/>
    </xf>
    <xf numFmtId="0" fontId="17" fillId="3" borderId="61" xfId="0" applyFont="1" applyFill="1" applyBorder="1" applyAlignment="1">
      <alignment horizontal="left" vertical="center" wrapText="1"/>
    </xf>
    <xf numFmtId="0" fontId="17" fillId="6" borderId="44" xfId="0" applyFont="1" applyFill="1" applyBorder="1" applyAlignment="1">
      <alignment horizontal="left" vertical="center" wrapText="1"/>
    </xf>
    <xf numFmtId="0" fontId="17" fillId="6" borderId="41" xfId="0" applyFont="1" applyFill="1" applyBorder="1" applyAlignment="1">
      <alignment horizontal="left" vertical="center" wrapText="1"/>
    </xf>
    <xf numFmtId="0" fontId="17" fillId="6" borderId="61" xfId="0" applyFont="1" applyFill="1" applyBorder="1" applyAlignment="1">
      <alignment horizontal="left" vertical="center" wrapText="1"/>
    </xf>
    <xf numFmtId="2" fontId="18" fillId="19" borderId="27" xfId="0" applyNumberFormat="1" applyFont="1" applyFill="1" applyBorder="1" applyAlignment="1">
      <alignment horizontal="right" vertical="center" wrapText="1"/>
    </xf>
    <xf numFmtId="2" fontId="18" fillId="19" borderId="30" xfId="0" applyNumberFormat="1" applyFont="1" applyFill="1" applyBorder="1" applyAlignment="1">
      <alignment horizontal="right" vertical="center" wrapText="1"/>
    </xf>
    <xf numFmtId="0" fontId="19" fillId="19" borderId="37" xfId="0" applyFont="1" applyFill="1" applyBorder="1" applyAlignment="1">
      <alignment horizontal="left" vertical="center" wrapText="1"/>
    </xf>
    <xf numFmtId="0" fontId="19" fillId="19" borderId="30" xfId="0" applyFont="1" applyFill="1" applyBorder="1" applyAlignment="1">
      <alignment horizontal="left" vertical="center" wrapText="1"/>
    </xf>
    <xf numFmtId="2" fontId="1" fillId="15" borderId="37" xfId="0" applyNumberFormat="1" applyFont="1" applyFill="1" applyBorder="1" applyAlignment="1">
      <alignment horizontal="center" vertical="center"/>
    </xf>
    <xf numFmtId="2" fontId="1" fillId="15" borderId="30" xfId="0" applyNumberFormat="1" applyFont="1" applyFill="1" applyBorder="1" applyAlignment="1">
      <alignment horizontal="center" vertical="center"/>
    </xf>
    <xf numFmtId="2" fontId="18" fillId="13" borderId="37" xfId="0" applyNumberFormat="1" applyFont="1" applyFill="1" applyBorder="1" applyAlignment="1">
      <alignment horizontal="right" vertical="center" wrapText="1"/>
    </xf>
    <xf numFmtId="2" fontId="18" fillId="13" borderId="27" xfId="0" applyNumberFormat="1" applyFont="1" applyFill="1" applyBorder="1" applyAlignment="1">
      <alignment horizontal="right" vertical="center" wrapText="1"/>
    </xf>
    <xf numFmtId="2" fontId="18" fillId="13" borderId="30" xfId="0" applyNumberFormat="1" applyFont="1" applyFill="1" applyBorder="1" applyAlignment="1">
      <alignment horizontal="right" vertical="center" wrapText="1"/>
    </xf>
    <xf numFmtId="0" fontId="19" fillId="13" borderId="37" xfId="0" applyFont="1" applyFill="1" applyBorder="1" applyAlignment="1">
      <alignment horizontal="left" vertical="center" wrapText="1"/>
    </xf>
    <xf numFmtId="0" fontId="19" fillId="13" borderId="27" xfId="0" applyFont="1" applyFill="1" applyBorder="1" applyAlignment="1">
      <alignment horizontal="left" vertical="center" wrapText="1"/>
    </xf>
    <xf numFmtId="0" fontId="19" fillId="13" borderId="30" xfId="0" applyFont="1" applyFill="1" applyBorder="1" applyAlignment="1">
      <alignment horizontal="left" vertical="center" wrapText="1"/>
    </xf>
    <xf numFmtId="0" fontId="19" fillId="19" borderId="62" xfId="0" applyFont="1" applyFill="1" applyBorder="1" applyAlignment="1">
      <alignment horizontal="left" vertical="center" wrapText="1"/>
    </xf>
    <xf numFmtId="2" fontId="1" fillId="15" borderId="62" xfId="0" applyNumberFormat="1" applyFont="1" applyFill="1" applyBorder="1" applyAlignment="1">
      <alignment horizontal="center" vertical="center"/>
    </xf>
    <xf numFmtId="0" fontId="17" fillId="6" borderId="63" xfId="0" applyFont="1" applyFill="1" applyBorder="1" applyAlignment="1">
      <alignment horizontal="left" vertical="center" wrapText="1"/>
    </xf>
    <xf numFmtId="2" fontId="18" fillId="19" borderId="60" xfId="0" applyNumberFormat="1" applyFont="1" applyFill="1" applyBorder="1" applyAlignment="1">
      <alignment horizontal="right" vertical="center" wrapText="1"/>
    </xf>
    <xf numFmtId="0" fontId="17" fillId="3" borderId="65" xfId="0" applyFont="1" applyFill="1" applyBorder="1" applyAlignment="1">
      <alignment horizontal="left" vertical="center" wrapText="1"/>
    </xf>
    <xf numFmtId="2" fontId="1" fillId="20" borderId="64" xfId="0" applyNumberFormat="1" applyFont="1" applyFill="1" applyBorder="1" applyAlignment="1">
      <alignment horizontal="center" vertical="center"/>
    </xf>
    <xf numFmtId="0" fontId="17" fillId="3" borderId="67" xfId="0" applyFont="1" applyFill="1" applyBorder="1" applyAlignment="1">
      <alignment horizontal="left" vertical="center" wrapText="1"/>
    </xf>
    <xf numFmtId="2" fontId="1" fillId="20" borderId="66" xfId="0" applyNumberFormat="1" applyFont="1" applyFill="1" applyBorder="1" applyAlignment="1">
      <alignment horizontal="center" vertical="center"/>
    </xf>
    <xf numFmtId="0" fontId="3" fillId="14" borderId="2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3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>
      <alignment horizontal="center" vertical="center" textRotation="90"/>
    </xf>
    <xf numFmtId="0" fontId="4" fillId="3" borderId="2" xfId="0" applyFont="1" applyFill="1" applyBorder="1" applyAlignment="1">
      <alignment horizontal="center" vertical="center" textRotation="90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2" fillId="17" borderId="7" xfId="0" applyFont="1" applyFill="1" applyBorder="1" applyAlignment="1">
      <alignment horizontal="center" vertical="center" textRotation="90"/>
    </xf>
    <xf numFmtId="0" fontId="2" fillId="17" borderId="8" xfId="0" applyFont="1" applyFill="1" applyBorder="1" applyAlignment="1">
      <alignment horizontal="center" vertical="center" textRotation="90"/>
    </xf>
    <xf numFmtId="0" fontId="2" fillId="17" borderId="9" xfId="0" applyFont="1" applyFill="1" applyBorder="1" applyAlignment="1">
      <alignment horizontal="center" vertical="center" textRotation="90"/>
    </xf>
    <xf numFmtId="0" fontId="10" fillId="0" borderId="1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17" borderId="39" xfId="0" applyFont="1" applyFill="1" applyBorder="1" applyAlignment="1">
      <alignment horizontal="center" vertical="center" textRotation="90"/>
    </xf>
    <xf numFmtId="0" fontId="2" fillId="17" borderId="10" xfId="0" applyFont="1" applyFill="1" applyBorder="1" applyAlignment="1">
      <alignment horizontal="center" vertical="center" textRotation="90"/>
    </xf>
    <xf numFmtId="0" fontId="4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21" borderId="33" xfId="0" applyFont="1" applyFill="1" applyBorder="1" applyAlignment="1">
      <alignment horizontal="center" vertical="center"/>
    </xf>
    <xf numFmtId="0" fontId="4" fillId="21" borderId="33" xfId="0" applyFont="1" applyFill="1" applyBorder="1" applyAlignment="1">
      <alignment horizontal="center" vertical="center" wrapText="1"/>
    </xf>
    <xf numFmtId="9" fontId="1" fillId="21" borderId="37" xfId="0" applyNumberFormat="1" applyFont="1" applyFill="1" applyBorder="1" applyAlignment="1">
      <alignment horizontal="center" vertical="center"/>
    </xf>
    <xf numFmtId="9" fontId="1" fillId="21" borderId="27" xfId="0" applyNumberFormat="1" applyFont="1" applyFill="1" applyBorder="1" applyAlignment="1">
      <alignment horizontal="center" vertical="center"/>
    </xf>
    <xf numFmtId="9" fontId="1" fillId="21" borderId="26" xfId="0" applyNumberFormat="1" applyFont="1" applyFill="1" applyBorder="1" applyAlignment="1">
      <alignment horizontal="center" vertical="center"/>
    </xf>
    <xf numFmtId="9" fontId="1" fillId="21" borderId="25" xfId="0" applyNumberFormat="1" applyFont="1" applyFill="1" applyBorder="1" applyAlignment="1">
      <alignment horizontal="center" vertical="center"/>
    </xf>
    <xf numFmtId="9" fontId="1" fillId="21" borderId="48" xfId="0" applyNumberFormat="1" applyFont="1" applyFill="1" applyBorder="1" applyAlignment="1">
      <alignment horizontal="center" vertical="center"/>
    </xf>
    <xf numFmtId="4" fontId="3" fillId="21" borderId="19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384EBA"/>
      <color rgb="FF1200FA"/>
      <color rgb="FF0066FF"/>
      <color rgb="FF0033CC"/>
      <color rgb="FFCCFFCC"/>
      <color rgb="FF5B82FF"/>
      <color rgb="FF3366FF"/>
      <color rgb="FF4A6CFC"/>
      <color rgb="FF6A77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27</xdr:row>
          <xdr:rowOff>76200</xdr:rowOff>
        </xdr:from>
        <xdr:to>
          <xdr:col>0</xdr:col>
          <xdr:colOff>1524000</xdr:colOff>
          <xdr:row>30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tronçon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1762125</xdr:colOff>
          <xdr:row>27</xdr:row>
          <xdr:rowOff>76200</xdr:rowOff>
        </xdr:from>
        <xdr:to>
          <xdr:col>0</xdr:col>
          <xdr:colOff>3152775</xdr:colOff>
          <xdr:row>30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Canalisation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1"/>
  <sheetViews>
    <sheetView tabSelected="1" view="pageBreakPreview" zoomScaleNormal="100" zoomScaleSheetLayoutView="100" workbookViewId="0">
      <selection activeCell="A7" sqref="A7:A8"/>
    </sheetView>
  </sheetViews>
  <sheetFormatPr baseColWidth="10" defaultRowHeight="15" x14ac:dyDescent="0.25"/>
  <cols>
    <col min="1" max="1" width="51.7109375" customWidth="1"/>
    <col min="2" max="4" width="9.42578125" customWidth="1"/>
  </cols>
  <sheetData>
    <row r="1" spans="1:14" ht="20.25" customHeight="1" x14ac:dyDescent="0.25">
      <c r="A1" s="19" t="s">
        <v>47</v>
      </c>
      <c r="B1" s="23" t="s">
        <v>87</v>
      </c>
      <c r="C1" s="23"/>
      <c r="D1" s="23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5" customHeight="1" x14ac:dyDescent="0.25">
      <c r="A2" s="18"/>
      <c r="B2" s="174" t="s">
        <v>68</v>
      </c>
      <c r="C2" s="174" t="s">
        <v>76</v>
      </c>
      <c r="D2" s="174" t="s">
        <v>76</v>
      </c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25">
      <c r="A3" s="28" t="s">
        <v>48</v>
      </c>
      <c r="B3" s="175"/>
      <c r="C3" s="175"/>
      <c r="D3" s="175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x14ac:dyDescent="0.25">
      <c r="A4" s="16"/>
      <c r="B4" s="175"/>
      <c r="C4" s="175"/>
      <c r="D4" s="175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x14ac:dyDescent="0.25">
      <c r="A5" s="28" t="s">
        <v>49</v>
      </c>
      <c r="B5" s="175"/>
      <c r="C5" s="175"/>
      <c r="D5" s="175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x14ac:dyDescent="0.25">
      <c r="A6" s="16"/>
      <c r="B6" s="175"/>
      <c r="C6" s="175"/>
      <c r="D6" s="175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x14ac:dyDescent="0.25">
      <c r="A7" s="177" t="s">
        <v>50</v>
      </c>
      <c r="B7" s="175"/>
      <c r="C7" s="175"/>
      <c r="D7" s="175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ht="24" customHeight="1" thickBot="1" x14ac:dyDescent="0.3">
      <c r="A8" s="178"/>
      <c r="B8" s="176"/>
      <c r="C8" s="176"/>
      <c r="D8" s="176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ht="15.75" x14ac:dyDescent="0.25">
      <c r="A9" s="2" t="s">
        <v>0</v>
      </c>
      <c r="B9" s="3" t="s">
        <v>88</v>
      </c>
      <c r="C9" s="3" t="str">
        <f>B10</f>
        <v>R2</v>
      </c>
      <c r="D9" s="3" t="str">
        <f>C10</f>
        <v>R3</v>
      </c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 ht="15.75" x14ac:dyDescent="0.25">
      <c r="A10" s="2" t="s">
        <v>2</v>
      </c>
      <c r="B10" s="3" t="s">
        <v>89</v>
      </c>
      <c r="C10" s="3" t="s">
        <v>107</v>
      </c>
      <c r="D10" s="3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x14ac:dyDescent="0.25">
      <c r="A11" s="4" t="s">
        <v>3</v>
      </c>
      <c r="B11" s="5">
        <v>1.56</v>
      </c>
      <c r="C11" s="5">
        <f>B12</f>
        <v>1.68</v>
      </c>
      <c r="D11" s="5">
        <f>C12</f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x14ac:dyDescent="0.25">
      <c r="A12" s="4" t="s">
        <v>4</v>
      </c>
      <c r="B12" s="5">
        <v>1.68</v>
      </c>
      <c r="C12" s="5">
        <v>2</v>
      </c>
      <c r="D12" s="5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x14ac:dyDescent="0.25">
      <c r="A13" s="20" t="s">
        <v>16</v>
      </c>
      <c r="B13" s="7">
        <v>150</v>
      </c>
      <c r="C13" s="7">
        <v>178</v>
      </c>
      <c r="D13" s="7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x14ac:dyDescent="0.25">
      <c r="A14" s="20" t="s">
        <v>72</v>
      </c>
      <c r="B14" s="7" t="s">
        <v>64</v>
      </c>
      <c r="C14" s="7" t="str">
        <f t="shared" ref="C14:D19" si="0">B14</f>
        <v>Béton</v>
      </c>
      <c r="D14" s="7" t="str">
        <f t="shared" si="0"/>
        <v>Béton</v>
      </c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x14ac:dyDescent="0.25">
      <c r="A15" s="20" t="s">
        <v>51</v>
      </c>
      <c r="B15" s="7">
        <v>300</v>
      </c>
      <c r="C15" s="7">
        <v>300</v>
      </c>
      <c r="D15" s="7">
        <f t="shared" si="0"/>
        <v>300</v>
      </c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 x14ac:dyDescent="0.25">
      <c r="A16" s="20" t="s">
        <v>73</v>
      </c>
      <c r="B16" s="7" t="s">
        <v>64</v>
      </c>
      <c r="C16" s="7" t="str">
        <f t="shared" si="0"/>
        <v>Béton</v>
      </c>
      <c r="D16" s="7" t="str">
        <f t="shared" si="0"/>
        <v>Béton</v>
      </c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 x14ac:dyDescent="0.25">
      <c r="A17" s="20" t="s">
        <v>52</v>
      </c>
      <c r="B17" s="7">
        <v>300</v>
      </c>
      <c r="C17" s="7">
        <f t="shared" si="0"/>
        <v>300</v>
      </c>
      <c r="D17" s="7">
        <f t="shared" si="0"/>
        <v>300</v>
      </c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 x14ac:dyDescent="0.25">
      <c r="A18" s="20" t="s">
        <v>71</v>
      </c>
      <c r="B18" s="7" t="s">
        <v>64</v>
      </c>
      <c r="C18" s="7" t="str">
        <f t="shared" si="0"/>
        <v>Béton</v>
      </c>
      <c r="D18" s="7" t="str">
        <f t="shared" si="0"/>
        <v>Béton</v>
      </c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 x14ac:dyDescent="0.25">
      <c r="A19" s="20" t="s">
        <v>53</v>
      </c>
      <c r="B19" s="7">
        <v>400</v>
      </c>
      <c r="C19" s="7">
        <f t="shared" si="0"/>
        <v>400</v>
      </c>
      <c r="D19" s="7">
        <f t="shared" si="0"/>
        <v>400</v>
      </c>
      <c r="E19" s="8"/>
      <c r="F19" s="8"/>
      <c r="G19" s="8"/>
      <c r="H19" s="8"/>
      <c r="I19" s="8"/>
      <c r="J19" s="8"/>
      <c r="K19" s="8"/>
      <c r="L19" s="8"/>
      <c r="M19" s="8"/>
      <c r="N19" s="8"/>
    </row>
    <row r="20" spans="1:14" ht="15.75" thickBot="1" x14ac:dyDescent="0.3">
      <c r="A20" s="22" t="s">
        <v>95</v>
      </c>
      <c r="B20" s="41">
        <v>0.6</v>
      </c>
      <c r="C20" s="41">
        <v>0.6</v>
      </c>
      <c r="D20" s="41">
        <f>C20</f>
        <v>0.6</v>
      </c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4" s="44" customFormat="1" ht="15.75" x14ac:dyDescent="0.25">
      <c r="A21" s="42" t="s">
        <v>8</v>
      </c>
      <c r="B21" s="43"/>
      <c r="C21" s="43"/>
      <c r="D21" s="43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 s="46" customFormat="1" x14ac:dyDescent="0.25">
      <c r="A22" s="45" t="s">
        <v>9</v>
      </c>
      <c r="B22" s="6">
        <v>0.1</v>
      </c>
      <c r="C22" s="6">
        <f t="shared" ref="C22:D27" si="1">B22</f>
        <v>0.1</v>
      </c>
      <c r="D22" s="6">
        <f t="shared" si="1"/>
        <v>0.1</v>
      </c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s="46" customFormat="1" x14ac:dyDescent="0.25">
      <c r="A23" s="45" t="s">
        <v>10</v>
      </c>
      <c r="B23" s="6">
        <v>0.1</v>
      </c>
      <c r="C23" s="6">
        <f t="shared" si="1"/>
        <v>0.1</v>
      </c>
      <c r="D23" s="6">
        <f t="shared" si="1"/>
        <v>0.1</v>
      </c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s="46" customFormat="1" x14ac:dyDescent="0.25">
      <c r="A24" s="45" t="s">
        <v>11</v>
      </c>
      <c r="B24" s="6">
        <v>0.1</v>
      </c>
      <c r="C24" s="6">
        <f t="shared" si="1"/>
        <v>0.1</v>
      </c>
      <c r="D24" s="6">
        <f t="shared" si="1"/>
        <v>0.1</v>
      </c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s="46" customFormat="1" x14ac:dyDescent="0.25">
      <c r="A25" s="45" t="s">
        <v>12</v>
      </c>
      <c r="B25" s="6">
        <v>0.05</v>
      </c>
      <c r="C25" s="6">
        <f t="shared" si="1"/>
        <v>0.05</v>
      </c>
      <c r="D25" s="6">
        <f t="shared" si="1"/>
        <v>0.05</v>
      </c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s="46" customFormat="1" x14ac:dyDescent="0.25">
      <c r="A26" s="45" t="s">
        <v>13</v>
      </c>
      <c r="B26" s="6">
        <v>0.1</v>
      </c>
      <c r="C26" s="6">
        <f t="shared" si="1"/>
        <v>0.1</v>
      </c>
      <c r="D26" s="6">
        <f t="shared" si="1"/>
        <v>0.1</v>
      </c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s="49" customFormat="1" ht="15.75" thickBot="1" x14ac:dyDescent="0.3">
      <c r="A27" s="47" t="s">
        <v>14</v>
      </c>
      <c r="B27" s="48">
        <v>0.55000000000000004</v>
      </c>
      <c r="C27" s="48">
        <f t="shared" si="1"/>
        <v>0.55000000000000004</v>
      </c>
      <c r="D27" s="48">
        <f t="shared" si="1"/>
        <v>0.55000000000000004</v>
      </c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</sheetData>
  <mergeCells count="4">
    <mergeCell ref="D2:D8"/>
    <mergeCell ref="C2:C8"/>
    <mergeCell ref="A7:A8"/>
    <mergeCell ref="B2:B8"/>
  </mergeCells>
  <dataValidations count="7">
    <dataValidation type="list" allowBlank="1" showInputMessage="1" showErrorMessage="1" sqref="B19">
      <formula1>INDIRECT($B$18)</formula1>
    </dataValidation>
    <dataValidation type="list" allowBlank="1" showInputMessage="1" showErrorMessage="1" sqref="B17">
      <formula1>INDIRECT($B$16)</formula1>
    </dataValidation>
    <dataValidation type="list" allowBlank="1" showInputMessage="1" showErrorMessage="1" sqref="B15">
      <formula1>INDIRECT($B$14)</formula1>
    </dataValidation>
    <dataValidation type="list" allowBlank="1" showInputMessage="1" showErrorMessage="1" sqref="B14 B16 B18">
      <formula1>ListeMatv2</formula1>
    </dataValidation>
    <dataValidation type="list" allowBlank="1" showInputMessage="1" showErrorMessage="1" sqref="C15:D15">
      <formula1>INDIRECT(C$14)</formula1>
    </dataValidation>
    <dataValidation type="list" allowBlank="1" showInputMessage="1" showErrorMessage="1" sqref="C19:D19">
      <formula1>INDIRECT(C$18)</formula1>
    </dataValidation>
    <dataValidation type="list" allowBlank="1" showInputMessage="1" showErrorMessage="1" sqref="C17:D17">
      <formula1>INDIRECT(C$16)</formula1>
    </dataValidation>
  </dataValidations>
  <pageMargins left="0.7" right="0.7" top="0.75" bottom="0.75" header="0.3" footer="0.3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Tronçon">
                <anchor moveWithCells="1">
                  <from>
                    <xdr:col>0</xdr:col>
                    <xdr:colOff>152400</xdr:colOff>
                    <xdr:row>27</xdr:row>
                    <xdr:rowOff>76200</xdr:rowOff>
                  </from>
                  <to>
                    <xdr:col>0</xdr:col>
                    <xdr:colOff>1524000</xdr:colOff>
                    <xdr:row>30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lleCana">
                <anchor moveWithCells="1">
                  <from>
                    <xdr:col>0</xdr:col>
                    <xdr:colOff>1762125</xdr:colOff>
                    <xdr:row>27</xdr:row>
                    <xdr:rowOff>76200</xdr:rowOff>
                  </from>
                  <to>
                    <xdr:col>0</xdr:col>
                    <xdr:colOff>3152775</xdr:colOff>
                    <xdr:row>30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DnCANA!$A$4:$A$8</xm:f>
          </x14:formula1>
          <xm:sqref>C18:D18 C16:D16 C14:D14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P253"/>
  <sheetViews>
    <sheetView view="pageBreakPreview" zoomScale="85" zoomScaleNormal="40" zoomScaleSheetLayoutView="85" workbookViewId="0">
      <selection activeCell="A6" sqref="A6:C6"/>
    </sheetView>
  </sheetViews>
  <sheetFormatPr baseColWidth="10" defaultColWidth="9.140625" defaultRowHeight="15" x14ac:dyDescent="0.25"/>
  <cols>
    <col min="1" max="1" width="51.7109375" customWidth="1"/>
    <col min="2" max="2" width="10.7109375" customWidth="1"/>
    <col min="3" max="3" width="11.7109375" customWidth="1"/>
    <col min="4" max="6" width="14.28515625" customWidth="1"/>
  </cols>
  <sheetData>
    <row r="1" spans="1:22 1836:1836" s="17" customFormat="1" ht="27.75" x14ac:dyDescent="0.25">
      <c r="A1" s="182" t="s">
        <v>47</v>
      </c>
      <c r="B1" s="183"/>
      <c r="C1" s="18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 1836:1836" ht="24" customHeight="1" thickBot="1" x14ac:dyDescent="0.3">
      <c r="A2" s="193"/>
      <c r="B2" s="194"/>
      <c r="C2" s="195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</row>
    <row r="3" spans="1:22 1836:1836" ht="15.75" customHeight="1" x14ac:dyDescent="0.25">
      <c r="A3" s="185" t="s">
        <v>48</v>
      </c>
      <c r="B3" s="186"/>
      <c r="C3" s="186"/>
      <c r="D3" s="198" t="str">
        <f>Recap!B2</f>
        <v>Troncon 1</v>
      </c>
      <c r="E3" s="179" t="s">
        <v>106</v>
      </c>
      <c r="F3" s="179" t="s">
        <v>106</v>
      </c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 1836:1836" ht="15.75" customHeight="1" x14ac:dyDescent="0.25">
      <c r="A4" s="196"/>
      <c r="B4" s="197"/>
      <c r="C4" s="197"/>
      <c r="D4" s="199"/>
      <c r="E4" s="180"/>
      <c r="F4" s="180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</row>
    <row r="5" spans="1:22 1836:1836" x14ac:dyDescent="0.25">
      <c r="A5" s="185" t="s">
        <v>49</v>
      </c>
      <c r="B5" s="186"/>
      <c r="C5" s="186"/>
      <c r="D5" s="199"/>
      <c r="E5" s="180"/>
      <c r="F5" s="180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</row>
    <row r="6" spans="1:22 1836:1836" ht="13.5" customHeight="1" x14ac:dyDescent="0.25">
      <c r="A6" s="187"/>
      <c r="B6" s="188"/>
      <c r="C6" s="188"/>
      <c r="D6" s="199"/>
      <c r="E6" s="180"/>
      <c r="F6" s="180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</row>
    <row r="7" spans="1:22 1836:1836" ht="13.5" customHeight="1" x14ac:dyDescent="0.25">
      <c r="A7" s="189" t="s">
        <v>86</v>
      </c>
      <c r="B7" s="190"/>
      <c r="C7" s="190"/>
      <c r="D7" s="199"/>
      <c r="E7" s="180"/>
      <c r="F7" s="180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</row>
    <row r="8" spans="1:22 1836:1836" ht="21" customHeight="1" x14ac:dyDescent="0.25">
      <c r="A8" s="187" t="s">
        <v>50</v>
      </c>
      <c r="B8" s="188"/>
      <c r="C8" s="188"/>
      <c r="D8" s="199"/>
      <c r="E8" s="180"/>
      <c r="F8" s="180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</row>
    <row r="9" spans="1:22 1836:1836" ht="16.5" customHeight="1" thickBot="1" x14ac:dyDescent="0.3">
      <c r="A9" s="191"/>
      <c r="B9" s="192"/>
      <c r="C9" s="192"/>
      <c r="D9" s="199"/>
      <c r="E9" s="180"/>
      <c r="F9" s="180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</row>
    <row r="10" spans="1:22 1836:1836" ht="29.25" customHeight="1" thickBot="1" x14ac:dyDescent="0.3">
      <c r="A10" s="100"/>
      <c r="B10" s="80" t="s">
        <v>1</v>
      </c>
      <c r="C10" s="81" t="s">
        <v>85</v>
      </c>
      <c r="D10" s="199"/>
      <c r="E10" s="181"/>
      <c r="F10" s="181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</row>
    <row r="11" spans="1:22 1836:1836" ht="15.75" customHeight="1" x14ac:dyDescent="0.25">
      <c r="A11" s="101" t="s">
        <v>0</v>
      </c>
      <c r="B11" s="112"/>
      <c r="C11" s="113"/>
      <c r="D11" s="114" t="str">
        <f>Recap!B9</f>
        <v>R1</v>
      </c>
      <c r="E11" s="115" t="str">
        <f>D12</f>
        <v>R2</v>
      </c>
      <c r="F11" s="115">
        <f>E12</f>
        <v>0</v>
      </c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</row>
    <row r="12" spans="1:22 1836:1836" ht="15.75" x14ac:dyDescent="0.25">
      <c r="A12" s="102" t="s">
        <v>2</v>
      </c>
      <c r="B12" s="116"/>
      <c r="C12" s="116"/>
      <c r="D12" s="84" t="str">
        <f>Recap!B10</f>
        <v>R2</v>
      </c>
      <c r="E12" s="205"/>
      <c r="F12" s="205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BRP12" s="46"/>
    </row>
    <row r="13" spans="1:22 1836:1836" ht="15" customHeight="1" x14ac:dyDescent="0.25">
      <c r="A13" s="117" t="s">
        <v>3</v>
      </c>
      <c r="B13" s="118"/>
      <c r="C13" s="83"/>
      <c r="D13" s="86">
        <f>Recap!B11</f>
        <v>1.56</v>
      </c>
      <c r="E13" s="86">
        <f>D14</f>
        <v>1.68</v>
      </c>
      <c r="F13" s="86">
        <f>E14</f>
        <v>0</v>
      </c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</row>
    <row r="14" spans="1:22 1836:1836" x14ac:dyDescent="0.25">
      <c r="A14" s="103" t="s">
        <v>4</v>
      </c>
      <c r="B14" s="120"/>
      <c r="C14" s="121"/>
      <c r="D14" s="172">
        <f>Recap!B12</f>
        <v>1.68</v>
      </c>
      <c r="E14" s="204"/>
      <c r="F14" s="204">
        <f>Recap!D12</f>
        <v>0</v>
      </c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</row>
    <row r="15" spans="1:22 1836:1836" x14ac:dyDescent="0.25">
      <c r="A15" s="117" t="s">
        <v>5</v>
      </c>
      <c r="B15" s="118"/>
      <c r="C15" s="83"/>
      <c r="D15" s="122">
        <f>IF(D13+'Données de fonctionnement '!$C$2='Données de fonctionnement '!$C$2,D13,D13+'Données de fonctionnement '!$C$2)</f>
        <v>1.6600000000000001</v>
      </c>
      <c r="E15" s="123">
        <f>IF(E13+'Données de fonctionnement '!$C$2='Données de fonctionnement '!$C$2,E13,E13+'Données de fonctionnement '!$C$2)</f>
        <v>1.78</v>
      </c>
      <c r="F15" s="123">
        <f>IF(F13+'Données de fonctionnement '!$C$2='Données de fonctionnement '!$C$2,F13,F13+'Données de fonctionnement '!$C$2)</f>
        <v>0</v>
      </c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</row>
    <row r="16" spans="1:22 1836:1836" x14ac:dyDescent="0.25">
      <c r="A16" s="103" t="s">
        <v>6</v>
      </c>
      <c r="B16" s="120"/>
      <c r="C16" s="120"/>
      <c r="D16" s="89">
        <f>IF(D14+'Données de fonctionnement '!$C$2='Données de fonctionnement '!$C$2,D14,D14+'Données de fonctionnement '!$C$2)</f>
        <v>1.78</v>
      </c>
      <c r="E16" s="90">
        <f>IF(E14+'Données de fonctionnement '!$C$2='Données de fonctionnement '!$C$2,E14,E14+'Données de fonctionnement '!$C$2)</f>
        <v>0</v>
      </c>
      <c r="F16" s="90">
        <f>IF(F14+'Données de fonctionnement '!$C$2='Données de fonctionnement '!$C$2,F14,F14+'Données de fonctionnement '!$C$2)</f>
        <v>0</v>
      </c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</row>
    <row r="17" spans="1:22" ht="16.5" thickBot="1" x14ac:dyDescent="0.3">
      <c r="A17" s="124" t="s">
        <v>7</v>
      </c>
      <c r="B17" s="125">
        <f>AVERAGE(D17:ZX17)</f>
        <v>0.87000000000000011</v>
      </c>
      <c r="C17" s="126"/>
      <c r="D17" s="91">
        <f>AVERAGE(D15:D16)</f>
        <v>1.7200000000000002</v>
      </c>
      <c r="E17" s="91">
        <f>AVERAGE(E15:E16)</f>
        <v>0.89</v>
      </c>
      <c r="F17" s="91">
        <f>AVERAGE(F15:F16)</f>
        <v>0</v>
      </c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</row>
    <row r="18" spans="1:22" x14ac:dyDescent="0.25">
      <c r="A18" s="65"/>
      <c r="B18" s="65"/>
      <c r="C18" s="65"/>
      <c r="D18" s="65"/>
      <c r="E18" s="65"/>
      <c r="F18" s="65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</row>
    <row r="19" spans="1:22" ht="15.75" thickBot="1" x14ac:dyDescent="0.3">
      <c r="A19" s="76"/>
      <c r="B19" s="76"/>
      <c r="C19" s="76"/>
      <c r="D19" s="76"/>
      <c r="E19" s="76"/>
      <c r="F19" s="76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</row>
    <row r="20" spans="1:22" ht="16.5" thickBot="1" x14ac:dyDescent="0.3">
      <c r="A20" s="77" t="s">
        <v>8</v>
      </c>
      <c r="B20" s="78"/>
      <c r="C20" s="78"/>
      <c r="D20" s="78"/>
      <c r="E20" s="78"/>
      <c r="F20" s="78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</row>
    <row r="21" spans="1:22" ht="15" customHeight="1" x14ac:dyDescent="0.25">
      <c r="A21" s="69" t="s">
        <v>9</v>
      </c>
      <c r="B21" s="70"/>
      <c r="C21" s="71"/>
      <c r="D21" s="72">
        <f>Recap!B22</f>
        <v>0.1</v>
      </c>
      <c r="E21" s="206"/>
      <c r="F21" s="206">
        <f>Recap!D22</f>
        <v>0.1</v>
      </c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</row>
    <row r="22" spans="1:22" x14ac:dyDescent="0.25">
      <c r="A22" s="73" t="s">
        <v>10</v>
      </c>
      <c r="B22" s="66"/>
      <c r="C22" s="67"/>
      <c r="D22" s="62">
        <f>Recap!B23</f>
        <v>0.1</v>
      </c>
      <c r="E22" s="207"/>
      <c r="F22" s="207">
        <f>Recap!D23</f>
        <v>0.1</v>
      </c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</row>
    <row r="23" spans="1:22" x14ac:dyDescent="0.25">
      <c r="A23" s="73" t="s">
        <v>11</v>
      </c>
      <c r="B23" s="68"/>
      <c r="C23" s="67"/>
      <c r="D23" s="63">
        <f>Recap!B24</f>
        <v>0.1</v>
      </c>
      <c r="E23" s="208"/>
      <c r="F23" s="208">
        <f>Recap!D24</f>
        <v>0.1</v>
      </c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</row>
    <row r="24" spans="1:22" x14ac:dyDescent="0.25">
      <c r="A24" s="74" t="s">
        <v>12</v>
      </c>
      <c r="B24" s="66"/>
      <c r="C24" s="67"/>
      <c r="D24" s="61">
        <f>Recap!B25</f>
        <v>0.05</v>
      </c>
      <c r="E24" s="209"/>
      <c r="F24" s="209">
        <f>Recap!D25</f>
        <v>0.05</v>
      </c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</row>
    <row r="25" spans="1:22" x14ac:dyDescent="0.25">
      <c r="A25" s="73" t="s">
        <v>13</v>
      </c>
      <c r="B25" s="66"/>
      <c r="C25" s="67"/>
      <c r="D25" s="62">
        <f>Recap!B26</f>
        <v>0.1</v>
      </c>
      <c r="E25" s="207"/>
      <c r="F25" s="207">
        <f>Recap!D26</f>
        <v>0.1</v>
      </c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</row>
    <row r="26" spans="1:22" ht="15.75" thickBot="1" x14ac:dyDescent="0.3">
      <c r="A26" s="93" t="s">
        <v>14</v>
      </c>
      <c r="B26" s="94"/>
      <c r="C26" s="95"/>
      <c r="D26" s="96">
        <f>Recap!B27</f>
        <v>0.55000000000000004</v>
      </c>
      <c r="E26" s="210"/>
      <c r="F26" s="210">
        <f>Recap!D27</f>
        <v>0.55000000000000004</v>
      </c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</row>
    <row r="27" spans="1:22" ht="15.75" thickBot="1" x14ac:dyDescent="0.3">
      <c r="A27" s="75"/>
      <c r="B27" s="76"/>
      <c r="C27" s="76"/>
      <c r="D27" s="76"/>
      <c r="E27" s="76"/>
      <c r="F27" s="76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</row>
    <row r="28" spans="1:22" ht="16.5" thickBot="1" x14ac:dyDescent="0.3">
      <c r="A28" s="97" t="s">
        <v>15</v>
      </c>
      <c r="B28" s="98"/>
      <c r="C28" s="98"/>
      <c r="D28" s="99"/>
      <c r="E28" s="99"/>
      <c r="F28" s="99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</row>
    <row r="29" spans="1:22" ht="15.75" x14ac:dyDescent="0.25">
      <c r="A29" s="133" t="s">
        <v>16</v>
      </c>
      <c r="B29" s="139">
        <f>SUM(D29:ZX29)</f>
        <v>328</v>
      </c>
      <c r="C29" s="136"/>
      <c r="D29" s="131">
        <f>Recap!B13</f>
        <v>150</v>
      </c>
      <c r="E29" s="211">
        <f>Recap!C13</f>
        <v>178</v>
      </c>
      <c r="F29" s="211">
        <f>Recap!D13</f>
        <v>0</v>
      </c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</row>
    <row r="30" spans="1:22" ht="15" customHeight="1" x14ac:dyDescent="0.25">
      <c r="A30" s="134" t="s">
        <v>51</v>
      </c>
      <c r="B30" s="140"/>
      <c r="C30" s="137"/>
      <c r="D30" s="130">
        <f>INDEX(chiffres,MATCH(Recap!B15,DN,0),MATCH(Recap!B14,mois,0))</f>
        <v>408</v>
      </c>
      <c r="E30" s="128">
        <f>INDEX(chiffres,MATCH(Recap!C15,DN,0),MATCH(Recap!C14,mois,0))</f>
        <v>408</v>
      </c>
      <c r="F30" s="128">
        <f>INDEX(chiffres,MATCH(Recap!D15,DN,0),MATCH(Recap!D14,mois,0))</f>
        <v>408</v>
      </c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</row>
    <row r="31" spans="1:22" ht="15" customHeight="1" x14ac:dyDescent="0.25">
      <c r="A31" s="134" t="s">
        <v>52</v>
      </c>
      <c r="B31" s="140"/>
      <c r="C31" s="137"/>
      <c r="D31" s="130">
        <f>INDEX(chiffres,MATCH(Recap!B17,DN,0),MATCH(Recap!B16,mois,0))</f>
        <v>408</v>
      </c>
      <c r="E31" s="128">
        <f>INDEX(chiffres,MATCH(Recap!C17,DN,0),MATCH(Recap!C16,mois,0))</f>
        <v>408</v>
      </c>
      <c r="F31" s="128">
        <f>INDEX(chiffres,MATCH(Recap!D17,DN,0),MATCH(Recap!D16,mois,0))</f>
        <v>408</v>
      </c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</row>
    <row r="32" spans="1:22" ht="15" customHeight="1" thickBot="1" x14ac:dyDescent="0.3">
      <c r="A32" s="135" t="s">
        <v>53</v>
      </c>
      <c r="B32" s="141"/>
      <c r="C32" s="138"/>
      <c r="D32" s="132">
        <f>INDEX(chiffres,MATCH(Recap!B19,DN,0),MATCH(Recap!B18,mois,0))</f>
        <v>508</v>
      </c>
      <c r="E32" s="129">
        <f>INDEX(chiffres,MATCH(Recap!C19,DN,0),MATCH(Recap!C18,mois,0))</f>
        <v>508</v>
      </c>
      <c r="F32" s="129">
        <f>INDEX(chiffres,MATCH(Recap!D19,DN,0),MATCH(Recap!D18,mois,0))</f>
        <v>508</v>
      </c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</row>
    <row r="33" spans="1:22" ht="15.75" thickBot="1" x14ac:dyDescent="0.3">
      <c r="A33" s="65"/>
      <c r="B33" s="65"/>
      <c r="C33" s="65"/>
      <c r="D33" s="65"/>
      <c r="E33" s="65"/>
      <c r="F33" s="65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</row>
    <row r="34" spans="1:22" ht="16.5" thickBot="1" x14ac:dyDescent="0.3">
      <c r="A34" s="104" t="s">
        <v>17</v>
      </c>
      <c r="B34" s="105"/>
      <c r="C34" s="105"/>
      <c r="D34" s="106"/>
      <c r="E34" s="106"/>
      <c r="F34" s="106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</row>
    <row r="35" spans="1:22" ht="15.75" x14ac:dyDescent="0.25">
      <c r="A35" s="147" t="s">
        <v>18</v>
      </c>
      <c r="B35" s="144">
        <f>AVERAGE(D35:ZX35)</f>
        <v>3.1240000000000001</v>
      </c>
      <c r="C35" s="143"/>
      <c r="D35" s="142">
        <f>D30*0.001+0.3*2+IF(D31=0,0,D31*0.001+0.3*2)+IF(D32=0,0,D32*0.001+0.3*2)</f>
        <v>3.1240000000000001</v>
      </c>
      <c r="E35" s="142">
        <f>E30*0.001+0.3*2+IF(E31=0,0,E31*0.001+0.3*2)+IF(E32=0,0,E32*0.001+0.3*2)</f>
        <v>3.1240000000000001</v>
      </c>
      <c r="F35" s="142">
        <f>F30*0.001+0.3*2+IF(F31=0,0,F31*0.001+0.3*2)+IF(F32=0,0,F32*0.001+0.3*2)</f>
        <v>3.1240000000000001</v>
      </c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</row>
    <row r="36" spans="1:22" ht="15.75" x14ac:dyDescent="0.25">
      <c r="A36" s="119" t="s">
        <v>98</v>
      </c>
      <c r="B36" s="145">
        <f>SUM(D36:ZX36)</f>
        <v>1300.8960800000002</v>
      </c>
      <c r="C36" s="120"/>
      <c r="D36" s="90">
        <f>D17*D35*D29</f>
        <v>805.99200000000019</v>
      </c>
      <c r="E36" s="90">
        <f t="shared" ref="E36:F36" si="0">E17*E35*E29</f>
        <v>494.90407999999996</v>
      </c>
      <c r="F36" s="90">
        <f t="shared" si="0"/>
        <v>0</v>
      </c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</row>
    <row r="37" spans="1:22" ht="15.75" x14ac:dyDescent="0.25">
      <c r="A37" s="119" t="s">
        <v>99</v>
      </c>
      <c r="B37" s="145">
        <f>SUM(D37:ZX37)</f>
        <v>211.50000000000003</v>
      </c>
      <c r="C37" s="120"/>
      <c r="D37" s="90">
        <f>D21*'Données de fonctionnement '!$C$23*6*D29</f>
        <v>211.50000000000003</v>
      </c>
      <c r="E37" s="90">
        <f>E21*'Données de fonctionnement '!$C$22*6*E29</f>
        <v>0</v>
      </c>
      <c r="F37" s="90">
        <f>F21*'Données de fonctionnement '!$C$22*6*F29</f>
        <v>0</v>
      </c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</row>
    <row r="38" spans="1:22" ht="15.75" x14ac:dyDescent="0.25">
      <c r="A38" s="148" t="s">
        <v>100</v>
      </c>
      <c r="B38" s="146">
        <f>SUM(D38:ZX38)</f>
        <v>705.00000000000011</v>
      </c>
      <c r="C38" s="82"/>
      <c r="D38" s="87">
        <f>D37/'Données de fonctionnement '!$C$22</f>
        <v>705.00000000000011</v>
      </c>
      <c r="E38" s="87">
        <f>E37/'Données de fonctionnement '!$C$22</f>
        <v>0</v>
      </c>
      <c r="F38" s="87">
        <f>F37/'Données de fonctionnement '!$C$22</f>
        <v>0</v>
      </c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</row>
    <row r="39" spans="1:22" ht="15.75" thickBot="1" x14ac:dyDescent="0.3">
      <c r="A39" s="65"/>
      <c r="B39" s="65"/>
      <c r="C39" s="65"/>
      <c r="D39" s="65"/>
      <c r="E39" s="65"/>
      <c r="F39" s="65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</row>
    <row r="40" spans="1:22" ht="16.5" thickBot="1" x14ac:dyDescent="0.3">
      <c r="A40" s="107" t="s">
        <v>22</v>
      </c>
      <c r="B40" s="108"/>
      <c r="C40" s="108"/>
      <c r="D40" s="99"/>
      <c r="E40" s="99"/>
      <c r="F40" s="99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</row>
    <row r="41" spans="1:22" ht="15.75" x14ac:dyDescent="0.25">
      <c r="A41" s="149" t="s">
        <v>23</v>
      </c>
      <c r="B41" s="139">
        <f>SUM(D41:ZX41)</f>
        <v>152.24580229348777</v>
      </c>
      <c r="C41" s="154"/>
      <c r="D41" s="156">
        <f>PI()*(((D30)/1000)^2/4)*D29+PI()*(((D31)/1000)^2/4)*D29+PI()*(((D32)/1000)^2/4)*D29</f>
        <v>69.624604707387704</v>
      </c>
      <c r="E41" s="156">
        <f>PI()*(((E30)/1000)^2/4)*E29+PI()*(((E31)/1000)^2/4)*E29+PI()*(((E32)/1000)^2/4)*E29</f>
        <v>82.621197586100081</v>
      </c>
      <c r="F41" s="156">
        <f>PI()*(((F30)/1000)^2/4)*F29+PI()*(((F31)/1000)^2/4)*F29+PI()*(((F32)/1000)^2/4)*F29</f>
        <v>0</v>
      </c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</row>
    <row r="42" spans="1:22" ht="15.75" x14ac:dyDescent="0.25">
      <c r="A42" s="150" t="s">
        <v>101</v>
      </c>
      <c r="B42" s="152">
        <f>SUM(D42:ZX42)</f>
        <v>28.116000000000003</v>
      </c>
      <c r="C42" s="140"/>
      <c r="D42" s="89">
        <f>D29*D35*'Données de fonctionnement '!$C$21*(D22+D25)</f>
        <v>28.116000000000003</v>
      </c>
      <c r="E42" s="89">
        <f>E29*E35*'Données de fonctionnement '!$C$21*(E22+E25)</f>
        <v>0</v>
      </c>
      <c r="F42" s="89">
        <f>F29*F35*'Données de fonctionnement '!$C$21*(F22+F25)</f>
        <v>0</v>
      </c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</row>
    <row r="43" spans="1:22" ht="15.75" x14ac:dyDescent="0.25">
      <c r="A43" s="150" t="s">
        <v>102</v>
      </c>
      <c r="B43" s="152">
        <f>SUM(D43:ZX43)</f>
        <v>455.34174400000006</v>
      </c>
      <c r="C43" s="140"/>
      <c r="D43" s="89">
        <f>IF((1-D26)*(D29*D35*D17-D44-D29*PI()*((D30)/1000)^2/4-D42)&lt;0,0,(1-D26)*(D29*D35*D17-D44-D29*PI()*((D30)/1000)^2/4-D42))</f>
        <v>242.92224000000004</v>
      </c>
      <c r="E43" s="89">
        <f>IF((1-E26)*(E29*E35*E17-E44-E29*PI()*((E30)/1000)^2/4-E42)&lt;0,0,(1-E26)*(E29*E35*E17-E44-E29*PI()*((E30)/1000)^2/4-E42))</f>
        <v>212.41950400000002</v>
      </c>
      <c r="F43" s="89">
        <f>IF((1-F26)*(F29*F35*F17-F44-F29*PI()*((F30)/1000)^2/4-F42)&lt;0,0,(1-F26)*(F29*F35*F17-F44-F29*PI()*((F30)/1000)^2/4-F42))</f>
        <v>0</v>
      </c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</row>
    <row r="44" spans="1:22" ht="15.75" x14ac:dyDescent="0.25">
      <c r="A44" s="150" t="s">
        <v>103</v>
      </c>
      <c r="B44" s="152">
        <f>SUM(D44:ZX44)</f>
        <v>477.65048548205198</v>
      </c>
      <c r="C44" s="140"/>
      <c r="D44" s="89">
        <f>((D30)/1000+'Données de fonctionnement '!$C$3)*D35*D29-PI()*((D30)/1000)^2/4*D29</f>
        <v>218.4377220192311</v>
      </c>
      <c r="E44" s="89">
        <f>((E30)/1000+'Données de fonctionnement '!$C$3)*E35*E29-PI()*((E30)/1000)^2/4*E29</f>
        <v>259.21276346282087</v>
      </c>
      <c r="F44" s="89">
        <f>((F30)/1000+'Données de fonctionnement '!$C$3)*F35*F29-PI()*((F30)/1000)^2/4*F29</f>
        <v>0</v>
      </c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</row>
    <row r="45" spans="1:22" ht="15.75" x14ac:dyDescent="0.25">
      <c r="A45" s="150" t="s">
        <v>27</v>
      </c>
      <c r="B45" s="152">
        <f>SUM(D45:ZX45)</f>
        <v>1003.99112</v>
      </c>
      <c r="C45" s="140"/>
      <c r="D45" s="89">
        <f>D36-D46</f>
        <v>509.08704000000006</v>
      </c>
      <c r="E45" s="89">
        <f>E36-E46</f>
        <v>494.90407999999996</v>
      </c>
      <c r="F45" s="89">
        <f>F36-F46</f>
        <v>0</v>
      </c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</row>
    <row r="46" spans="1:22" ht="15.75" x14ac:dyDescent="0.25">
      <c r="A46" s="151" t="s">
        <v>104</v>
      </c>
      <c r="B46" s="153">
        <f>SUM(D46:ZX46)</f>
        <v>296.90496000000013</v>
      </c>
      <c r="C46" s="155"/>
      <c r="D46" s="157">
        <f t="shared" ref="D46:F46" si="1">IF(D26*(D17*D35*D29-D44-D42-PI()*((D30)/1000)^2/4*D29)&lt;0,0,(D26*(D17*D35*D29-D44-D42-PI()*((D30)/1000)^2/4*D29)))</f>
        <v>296.90496000000013</v>
      </c>
      <c r="E46" s="157">
        <f t="shared" si="1"/>
        <v>0</v>
      </c>
      <c r="F46" s="157">
        <f t="shared" si="1"/>
        <v>0</v>
      </c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</row>
    <row r="47" spans="1:22" ht="15.75" thickBot="1" x14ac:dyDescent="0.3">
      <c r="A47" s="65"/>
      <c r="B47" s="65"/>
      <c r="C47" s="65"/>
      <c r="D47" s="65"/>
      <c r="E47" s="65"/>
      <c r="F47" s="65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</row>
    <row r="48" spans="1:22" ht="16.5" thickBot="1" x14ac:dyDescent="0.3">
      <c r="A48" s="104" t="s">
        <v>29</v>
      </c>
      <c r="B48" s="105"/>
      <c r="C48" s="105"/>
      <c r="D48" s="106"/>
      <c r="E48" s="106"/>
      <c r="F48" s="106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</row>
    <row r="49" spans="1:22" ht="30" x14ac:dyDescent="0.25">
      <c r="A49" s="147" t="s">
        <v>30</v>
      </c>
      <c r="B49" s="158">
        <f t="shared" ref="B49:B55" si="2">SUM(D49:ZX49)</f>
        <v>30</v>
      </c>
      <c r="C49" s="161"/>
      <c r="D49" s="156">
        <f t="shared" ref="D49:F49" si="3">(D25+D23)*D29</f>
        <v>30</v>
      </c>
      <c r="E49" s="156">
        <f t="shared" si="3"/>
        <v>0</v>
      </c>
      <c r="F49" s="156">
        <f t="shared" si="3"/>
        <v>0</v>
      </c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</row>
    <row r="50" spans="1:22" ht="15.75" x14ac:dyDescent="0.25">
      <c r="A50" s="119" t="s">
        <v>31</v>
      </c>
      <c r="B50" s="159">
        <f t="shared" si="2"/>
        <v>49.860000000000007</v>
      </c>
      <c r="C50" s="162"/>
      <c r="D50" s="89">
        <f>(D23)*(D35+'Données de fonctionnement '!$C$4*2)*D29</f>
        <v>49.860000000000007</v>
      </c>
      <c r="E50" s="89">
        <f>(E23)*(E35+'Données de fonctionnement '!$C$4*2)*E29</f>
        <v>0</v>
      </c>
      <c r="F50" s="89">
        <f>(F23)*(F35+'Données de fonctionnement '!$C$4*2)*F29</f>
        <v>0</v>
      </c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</row>
    <row r="51" spans="1:22" ht="15.75" x14ac:dyDescent="0.25">
      <c r="A51" s="119" t="s">
        <v>32</v>
      </c>
      <c r="B51" s="159">
        <f t="shared" si="2"/>
        <v>117.17100000000002</v>
      </c>
      <c r="C51" s="162"/>
      <c r="D51" s="89">
        <f>D50*'Données de fonctionnement '!$C$23</f>
        <v>117.17100000000002</v>
      </c>
      <c r="E51" s="89">
        <f>E50*'Données de fonctionnement '!$C$23</f>
        <v>0</v>
      </c>
      <c r="F51" s="89">
        <f>F50*'Données de fonctionnement '!$C$23</f>
        <v>0</v>
      </c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</row>
    <row r="52" spans="1:22" ht="15.75" x14ac:dyDescent="0.25">
      <c r="A52" s="119" t="s">
        <v>33</v>
      </c>
      <c r="B52" s="159">
        <f t="shared" si="2"/>
        <v>24.930000000000003</v>
      </c>
      <c r="C52" s="162"/>
      <c r="D52" s="89">
        <f>(D24)*(D35+'Données de fonctionnement '!$C$4*2)*D29</f>
        <v>24.930000000000003</v>
      </c>
      <c r="E52" s="89">
        <f>(E24)*(E35+'Données de fonctionnement '!$C$4*2)*E29</f>
        <v>0</v>
      </c>
      <c r="F52" s="89">
        <f>(F24)*(F35+'Données de fonctionnement '!$C$4*2)*F29</f>
        <v>0</v>
      </c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</row>
    <row r="53" spans="1:22" ht="15.75" x14ac:dyDescent="0.25">
      <c r="A53" s="92" t="s">
        <v>34</v>
      </c>
      <c r="B53" s="159">
        <f t="shared" si="2"/>
        <v>58.58550000000001</v>
      </c>
      <c r="C53" s="162"/>
      <c r="D53" s="89">
        <f>D52*'Données de fonctionnement '!$C$25</f>
        <v>58.58550000000001</v>
      </c>
      <c r="E53" s="89">
        <f>E52*'Données de fonctionnement '!$C$25</f>
        <v>0</v>
      </c>
      <c r="F53" s="89">
        <f>F52*'Données de fonctionnement '!$C$25</f>
        <v>0</v>
      </c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</row>
    <row r="54" spans="1:22" ht="15.75" x14ac:dyDescent="0.25">
      <c r="A54" s="119" t="s">
        <v>35</v>
      </c>
      <c r="B54" s="159">
        <f t="shared" si="2"/>
        <v>49.860000000000007</v>
      </c>
      <c r="C54" s="162"/>
      <c r="D54" s="89">
        <f>D25*(D35+'Données de fonctionnement '!$C$4*2)*D29</f>
        <v>49.860000000000007</v>
      </c>
      <c r="E54" s="89">
        <f>E25*(E35+'Données de fonctionnement '!$C$4*2)*E29</f>
        <v>0</v>
      </c>
      <c r="F54" s="89">
        <f>F25*(F35+'Données de fonctionnement '!$C$4*2)*F29</f>
        <v>0</v>
      </c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</row>
    <row r="55" spans="1:22" ht="15.75" x14ac:dyDescent="0.25">
      <c r="A55" s="148" t="s">
        <v>36</v>
      </c>
      <c r="B55" s="160">
        <f t="shared" si="2"/>
        <v>70.302600000000012</v>
      </c>
      <c r="C55" s="163"/>
      <c r="D55" s="157">
        <f>D54*'Données de fonctionnement '!$C$24*Recap!B20</f>
        <v>70.302600000000012</v>
      </c>
      <c r="E55" s="157">
        <f>E54*'Données de fonctionnement '!$C$24</f>
        <v>0</v>
      </c>
      <c r="F55" s="157">
        <f>F54*'Données de fonctionnement '!$C$24</f>
        <v>0</v>
      </c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</row>
    <row r="56" spans="1:22" ht="15.75" thickBot="1" x14ac:dyDescent="0.3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</row>
    <row r="57" spans="1:22" ht="16.5" thickBot="1" x14ac:dyDescent="0.3">
      <c r="A57" s="109" t="s">
        <v>54</v>
      </c>
      <c r="B57" s="110"/>
      <c r="C57" s="110"/>
      <c r="D57" s="110"/>
      <c r="E57" s="110"/>
      <c r="F57" s="110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</row>
    <row r="58" spans="1:22" ht="16.5" thickBot="1" x14ac:dyDescent="0.3">
      <c r="A58" s="166" t="s">
        <v>58</v>
      </c>
      <c r="B58" s="167">
        <f>SUM(D58:ZX58)</f>
        <v>30</v>
      </c>
      <c r="C58" s="164"/>
      <c r="D58" s="165">
        <f>D29*(D25+D23)</f>
        <v>30</v>
      </c>
      <c r="E58" s="165">
        <f>E29*(E25+E23)</f>
        <v>0</v>
      </c>
      <c r="F58" s="165">
        <f>F29*(F25+F23)</f>
        <v>0</v>
      </c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</row>
    <row r="59" spans="1:22" ht="15.75" thickBot="1" x14ac:dyDescent="0.3">
      <c r="A59" s="65"/>
      <c r="B59" s="65"/>
      <c r="C59" s="65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</row>
    <row r="60" spans="1:22" ht="16.5" thickBot="1" x14ac:dyDescent="0.3">
      <c r="A60" s="111" t="s">
        <v>55</v>
      </c>
      <c r="B60" s="79"/>
      <c r="C60" s="65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</row>
    <row r="61" spans="1:22" x14ac:dyDescent="0.25">
      <c r="A61" s="168" t="s">
        <v>59</v>
      </c>
      <c r="B61" s="169">
        <f>B46/(B46+B44+B43+B42)</f>
        <v>0.23601100726316035</v>
      </c>
      <c r="C61" s="65" t="s">
        <v>96</v>
      </c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</row>
    <row r="62" spans="1:22" ht="15.75" thickBot="1" x14ac:dyDescent="0.3">
      <c r="A62" s="170" t="s">
        <v>60</v>
      </c>
      <c r="B62" s="171">
        <f>B36/B29</f>
        <v>3.9661465853658542</v>
      </c>
      <c r="C62" s="65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</row>
    <row r="63" spans="1:22" x14ac:dyDescent="0.25">
      <c r="A63" s="65"/>
      <c r="B63" s="65"/>
      <c r="C63" s="65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</row>
    <row r="64" spans="1:22" s="8" customFormat="1" ht="74.25" customHeight="1" x14ac:dyDescent="0.25">
      <c r="A64" s="64" t="s">
        <v>97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</row>
    <row r="65" spans="1:22" s="8" customFormat="1" ht="12.75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</row>
    <row r="66" spans="1:22" s="8" customFormat="1" ht="12.75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</row>
    <row r="67" spans="1:22" s="8" customFormat="1" ht="12.75" x14ac:dyDescent="0.25"/>
    <row r="68" spans="1:22" ht="18" x14ac:dyDescent="0.25">
      <c r="A68" s="10"/>
      <c r="B68" s="10"/>
      <c r="C68" s="10"/>
      <c r="D68" s="11"/>
    </row>
    <row r="69" spans="1:22" ht="18" x14ac:dyDescent="0.25">
      <c r="A69" s="10"/>
      <c r="B69" s="10"/>
      <c r="C69" s="10"/>
      <c r="D69" s="11"/>
    </row>
    <row r="70" spans="1:22" ht="18" x14ac:dyDescent="0.25">
      <c r="A70" s="10"/>
      <c r="B70" s="10"/>
      <c r="C70" s="10"/>
      <c r="D70" s="11"/>
    </row>
    <row r="71" spans="1:22" ht="18" x14ac:dyDescent="0.25">
      <c r="A71" s="10"/>
      <c r="B71" s="10"/>
      <c r="C71" s="10"/>
      <c r="D71" s="11"/>
    </row>
    <row r="72" spans="1:22" ht="18" x14ac:dyDescent="0.25">
      <c r="A72" s="10"/>
      <c r="B72" s="10"/>
      <c r="C72" s="10"/>
      <c r="D72" s="11"/>
    </row>
    <row r="73" spans="1:22" ht="18" x14ac:dyDescent="0.25">
      <c r="A73" s="10"/>
      <c r="B73" s="10"/>
      <c r="C73" s="10"/>
      <c r="D73" s="11"/>
    </row>
    <row r="74" spans="1:22" ht="18" x14ac:dyDescent="0.25">
      <c r="A74" s="10"/>
      <c r="B74" s="10"/>
      <c r="C74" s="10"/>
      <c r="D74" s="11"/>
    </row>
    <row r="75" spans="1:22" ht="18" x14ac:dyDescent="0.25">
      <c r="A75" s="10"/>
      <c r="B75" s="10"/>
      <c r="C75" s="10"/>
      <c r="D75" s="11"/>
    </row>
    <row r="76" spans="1:22" ht="18" x14ac:dyDescent="0.25">
      <c r="A76" s="10"/>
      <c r="B76" s="10"/>
      <c r="C76" s="10"/>
      <c r="D76" s="11"/>
    </row>
    <row r="77" spans="1:22" x14ac:dyDescent="0.25">
      <c r="A77" s="10"/>
      <c r="B77" s="10"/>
      <c r="C77" s="10"/>
    </row>
    <row r="78" spans="1:22" x14ac:dyDescent="0.25">
      <c r="A78" s="10"/>
      <c r="B78" s="10"/>
      <c r="C78" s="10"/>
    </row>
    <row r="79" spans="1:22" x14ac:dyDescent="0.25">
      <c r="A79" s="10"/>
      <c r="B79" s="10"/>
      <c r="C79" s="10"/>
    </row>
    <row r="80" spans="1:22" x14ac:dyDescent="0.25">
      <c r="A80" s="10"/>
      <c r="B80" s="10"/>
      <c r="C80" s="10"/>
    </row>
    <row r="81" spans="1:3" x14ac:dyDescent="0.25">
      <c r="A81" s="10"/>
      <c r="B81" s="10"/>
      <c r="C81" s="10"/>
    </row>
    <row r="82" spans="1:3" x14ac:dyDescent="0.25">
      <c r="A82" s="10"/>
      <c r="B82" s="10"/>
      <c r="C82" s="10"/>
    </row>
    <row r="83" spans="1:3" x14ac:dyDescent="0.25">
      <c r="A83" s="10"/>
      <c r="B83" s="10"/>
      <c r="C83" s="10"/>
    </row>
    <row r="84" spans="1:3" x14ac:dyDescent="0.25">
      <c r="A84" s="9"/>
      <c r="B84" s="9"/>
      <c r="C84" s="9"/>
    </row>
    <row r="85" spans="1:3" x14ac:dyDescent="0.25">
      <c r="A85" s="10"/>
      <c r="B85" s="10"/>
      <c r="C85" s="10"/>
    </row>
    <row r="86" spans="1:3" x14ac:dyDescent="0.25">
      <c r="A86" s="9"/>
      <c r="B86" s="9"/>
      <c r="C86" s="9"/>
    </row>
    <row r="87" spans="1:3" x14ac:dyDescent="0.25">
      <c r="A87" s="9"/>
      <c r="B87" s="9"/>
      <c r="C87" s="9"/>
    </row>
    <row r="88" spans="1:3" x14ac:dyDescent="0.25">
      <c r="A88" s="9"/>
      <c r="B88" s="9"/>
      <c r="C88" s="9"/>
    </row>
    <row r="89" spans="1:3" x14ac:dyDescent="0.25">
      <c r="A89" s="9"/>
      <c r="B89" s="9"/>
      <c r="C89" s="9"/>
    </row>
    <row r="90" spans="1:3" x14ac:dyDescent="0.25">
      <c r="A90" s="9"/>
      <c r="B90" s="9"/>
      <c r="C90" s="9"/>
    </row>
    <row r="91" spans="1:3" x14ac:dyDescent="0.25">
      <c r="A91" s="9"/>
      <c r="B91" s="9"/>
      <c r="C91" s="9"/>
    </row>
    <row r="92" spans="1:3" x14ac:dyDescent="0.25">
      <c r="A92" s="9"/>
      <c r="B92" s="9"/>
      <c r="C92" s="9"/>
    </row>
    <row r="93" spans="1:3" x14ac:dyDescent="0.25">
      <c r="A93" s="9"/>
      <c r="B93" s="9"/>
      <c r="C93" s="9"/>
    </row>
    <row r="94" spans="1:3" x14ac:dyDescent="0.25">
      <c r="A94" s="9"/>
      <c r="B94" s="9"/>
      <c r="C94" s="9"/>
    </row>
    <row r="95" spans="1:3" x14ac:dyDescent="0.25">
      <c r="A95" s="9"/>
      <c r="B95" s="9"/>
      <c r="C95" s="9"/>
    </row>
    <row r="96" spans="1:3" x14ac:dyDescent="0.25">
      <c r="A96" s="9"/>
      <c r="B96" s="9"/>
      <c r="C96" s="9"/>
    </row>
    <row r="97" spans="1:3" x14ac:dyDescent="0.25">
      <c r="A97" s="9"/>
      <c r="B97" s="9"/>
      <c r="C97" s="9"/>
    </row>
    <row r="98" spans="1:3" x14ac:dyDescent="0.25">
      <c r="A98" s="9"/>
      <c r="B98" s="9"/>
      <c r="C98" s="9"/>
    </row>
    <row r="99" spans="1:3" x14ac:dyDescent="0.25">
      <c r="A99" s="9"/>
      <c r="B99" s="9"/>
      <c r="C99" s="9"/>
    </row>
    <row r="100" spans="1:3" x14ac:dyDescent="0.25">
      <c r="A100" s="9"/>
      <c r="B100" s="9"/>
      <c r="C100" s="9"/>
    </row>
    <row r="101" spans="1:3" x14ac:dyDescent="0.25">
      <c r="A101" s="9"/>
      <c r="B101" s="9"/>
      <c r="C101" s="9"/>
    </row>
    <row r="102" spans="1:3" x14ac:dyDescent="0.25">
      <c r="A102" s="9"/>
      <c r="B102" s="9"/>
      <c r="C102" s="9"/>
    </row>
    <row r="103" spans="1:3" x14ac:dyDescent="0.25">
      <c r="A103" s="9"/>
      <c r="B103" s="9"/>
      <c r="C103" s="9"/>
    </row>
    <row r="104" spans="1:3" x14ac:dyDescent="0.25">
      <c r="A104" s="9"/>
      <c r="B104" s="9"/>
      <c r="C104" s="9"/>
    </row>
    <row r="105" spans="1:3" x14ac:dyDescent="0.25">
      <c r="A105" s="9"/>
      <c r="B105" s="9"/>
      <c r="C105" s="9"/>
    </row>
    <row r="106" spans="1:3" x14ac:dyDescent="0.25">
      <c r="A106" s="9"/>
      <c r="B106" s="9"/>
      <c r="C106" s="9"/>
    </row>
    <row r="107" spans="1:3" x14ac:dyDescent="0.25">
      <c r="A107" s="9"/>
      <c r="B107" s="9"/>
      <c r="C107" s="9"/>
    </row>
    <row r="108" spans="1:3" x14ac:dyDescent="0.25">
      <c r="A108" s="9"/>
      <c r="B108" s="9"/>
      <c r="C108" s="9"/>
    </row>
    <row r="109" spans="1:3" x14ac:dyDescent="0.25">
      <c r="A109" s="9"/>
      <c r="B109" s="9"/>
      <c r="C109" s="9"/>
    </row>
    <row r="110" spans="1:3" x14ac:dyDescent="0.25">
      <c r="A110" s="9"/>
      <c r="B110" s="9"/>
      <c r="C110" s="9"/>
    </row>
    <row r="111" spans="1:3" x14ac:dyDescent="0.25">
      <c r="A111" s="9"/>
      <c r="B111" s="9"/>
      <c r="C111" s="9"/>
    </row>
    <row r="112" spans="1:3" x14ac:dyDescent="0.25">
      <c r="A112" s="9"/>
      <c r="B112" s="9"/>
      <c r="C112" s="9"/>
    </row>
    <row r="113" spans="1:3" x14ac:dyDescent="0.25">
      <c r="A113" s="9"/>
      <c r="B113" s="9"/>
      <c r="C113" s="9"/>
    </row>
    <row r="114" spans="1:3" x14ac:dyDescent="0.25">
      <c r="A114" s="9"/>
      <c r="B114" s="9"/>
      <c r="C114" s="9"/>
    </row>
    <row r="115" spans="1:3" x14ac:dyDescent="0.25">
      <c r="A115" s="9"/>
      <c r="B115" s="9"/>
      <c r="C115" s="9"/>
    </row>
    <row r="116" spans="1:3" x14ac:dyDescent="0.25">
      <c r="A116" s="9"/>
      <c r="B116" s="9"/>
      <c r="C116" s="9"/>
    </row>
    <row r="117" spans="1:3" x14ac:dyDescent="0.25">
      <c r="A117" s="9"/>
      <c r="B117" s="9"/>
      <c r="C117" s="9"/>
    </row>
    <row r="118" spans="1:3" x14ac:dyDescent="0.25">
      <c r="A118" s="9"/>
      <c r="B118" s="9"/>
      <c r="C118" s="9"/>
    </row>
    <row r="119" spans="1:3" x14ac:dyDescent="0.25">
      <c r="A119" s="9"/>
      <c r="B119" s="9"/>
      <c r="C119" s="9"/>
    </row>
    <row r="120" spans="1:3" x14ac:dyDescent="0.25">
      <c r="A120" s="9"/>
      <c r="B120" s="9"/>
      <c r="C120" s="9"/>
    </row>
    <row r="121" spans="1:3" x14ac:dyDescent="0.25">
      <c r="A121" s="9"/>
      <c r="B121" s="9"/>
      <c r="C121" s="9"/>
    </row>
    <row r="122" spans="1:3" x14ac:dyDescent="0.25">
      <c r="A122" s="9"/>
      <c r="B122" s="9"/>
      <c r="C122" s="9"/>
    </row>
    <row r="123" spans="1:3" x14ac:dyDescent="0.25">
      <c r="A123" s="9"/>
      <c r="B123" s="9"/>
      <c r="C123" s="9"/>
    </row>
    <row r="124" spans="1:3" x14ac:dyDescent="0.25">
      <c r="A124" s="9"/>
      <c r="B124" s="9"/>
      <c r="C124" s="9"/>
    </row>
    <row r="125" spans="1:3" x14ac:dyDescent="0.25">
      <c r="A125" s="9"/>
      <c r="B125" s="9"/>
      <c r="C125" s="9"/>
    </row>
    <row r="126" spans="1:3" x14ac:dyDescent="0.25">
      <c r="A126" s="9"/>
      <c r="B126" s="9"/>
      <c r="C126" s="9"/>
    </row>
    <row r="127" spans="1:3" x14ac:dyDescent="0.25">
      <c r="A127" s="9"/>
      <c r="B127" s="9"/>
      <c r="C127" s="9"/>
    </row>
    <row r="128" spans="1:3" x14ac:dyDescent="0.25">
      <c r="A128" s="9"/>
      <c r="B128" s="9"/>
      <c r="C128" s="9"/>
    </row>
    <row r="129" spans="1:3" x14ac:dyDescent="0.25">
      <c r="A129" s="9"/>
      <c r="B129" s="9"/>
      <c r="C129" s="9"/>
    </row>
    <row r="130" spans="1:3" x14ac:dyDescent="0.25">
      <c r="A130" s="9"/>
      <c r="B130" s="9"/>
      <c r="C130" s="9"/>
    </row>
    <row r="131" spans="1:3" x14ac:dyDescent="0.25">
      <c r="A131" s="9"/>
      <c r="B131" s="9"/>
      <c r="C131" s="9"/>
    </row>
    <row r="132" spans="1:3" x14ac:dyDescent="0.25">
      <c r="A132" s="9"/>
      <c r="B132" s="9"/>
      <c r="C132" s="9"/>
    </row>
    <row r="133" spans="1:3" x14ac:dyDescent="0.25">
      <c r="A133" s="9"/>
      <c r="B133" s="9"/>
      <c r="C133" s="9"/>
    </row>
    <row r="134" spans="1:3" x14ac:dyDescent="0.25">
      <c r="A134" s="9"/>
      <c r="B134" s="9"/>
      <c r="C134" s="9"/>
    </row>
    <row r="135" spans="1:3" x14ac:dyDescent="0.25">
      <c r="A135" s="9"/>
      <c r="B135" s="9"/>
      <c r="C135" s="9"/>
    </row>
    <row r="136" spans="1:3" x14ac:dyDescent="0.25">
      <c r="A136" s="9"/>
      <c r="B136" s="9"/>
      <c r="C136" s="9"/>
    </row>
    <row r="137" spans="1:3" x14ac:dyDescent="0.25">
      <c r="A137" s="9"/>
      <c r="B137" s="9"/>
      <c r="C137" s="9"/>
    </row>
    <row r="138" spans="1:3" x14ac:dyDescent="0.25">
      <c r="A138" s="9"/>
      <c r="B138" s="9"/>
      <c r="C138" s="9"/>
    </row>
    <row r="139" spans="1:3" x14ac:dyDescent="0.25">
      <c r="A139" s="9"/>
      <c r="B139" s="9"/>
      <c r="C139" s="9"/>
    </row>
    <row r="140" spans="1:3" x14ac:dyDescent="0.25">
      <c r="A140" s="9"/>
      <c r="B140" s="9"/>
      <c r="C140" s="9"/>
    </row>
    <row r="141" spans="1:3" x14ac:dyDescent="0.25">
      <c r="A141" s="9"/>
      <c r="B141" s="9"/>
      <c r="C141" s="9"/>
    </row>
    <row r="142" spans="1:3" x14ac:dyDescent="0.25">
      <c r="A142" s="9"/>
      <c r="B142" s="9"/>
      <c r="C142" s="9"/>
    </row>
    <row r="143" spans="1:3" x14ac:dyDescent="0.25">
      <c r="A143" s="9"/>
      <c r="B143" s="9"/>
      <c r="C143" s="9"/>
    </row>
    <row r="144" spans="1:3" x14ac:dyDescent="0.25">
      <c r="A144" s="9"/>
      <c r="B144" s="9"/>
      <c r="C144" s="9"/>
    </row>
    <row r="145" spans="1:3" x14ac:dyDescent="0.25">
      <c r="A145" s="9"/>
      <c r="B145" s="9"/>
      <c r="C145" s="9"/>
    </row>
    <row r="146" spans="1:3" x14ac:dyDescent="0.25">
      <c r="A146" s="9"/>
      <c r="B146" s="9"/>
      <c r="C146" s="9"/>
    </row>
    <row r="147" spans="1:3" x14ac:dyDescent="0.25">
      <c r="A147" s="9"/>
      <c r="B147" s="9"/>
      <c r="C147" s="9"/>
    </row>
    <row r="148" spans="1:3" x14ac:dyDescent="0.25">
      <c r="A148" s="9"/>
      <c r="B148" s="9"/>
      <c r="C148" s="9"/>
    </row>
    <row r="149" spans="1:3" x14ac:dyDescent="0.25">
      <c r="A149" s="9"/>
      <c r="B149" s="9"/>
      <c r="C149" s="9"/>
    </row>
    <row r="150" spans="1:3" x14ac:dyDescent="0.25">
      <c r="A150" s="9"/>
      <c r="B150" s="9"/>
      <c r="C150" s="9"/>
    </row>
    <row r="151" spans="1:3" x14ac:dyDescent="0.25">
      <c r="A151" s="9"/>
      <c r="B151" s="9"/>
      <c r="C151" s="9"/>
    </row>
    <row r="152" spans="1:3" x14ac:dyDescent="0.25">
      <c r="A152" s="9"/>
      <c r="B152" s="9"/>
      <c r="C152" s="9"/>
    </row>
    <row r="153" spans="1:3" x14ac:dyDescent="0.25">
      <c r="A153" s="9"/>
      <c r="B153" s="9"/>
      <c r="C153" s="9"/>
    </row>
    <row r="154" spans="1:3" x14ac:dyDescent="0.25">
      <c r="A154" s="9"/>
      <c r="B154" s="9"/>
      <c r="C154" s="9"/>
    </row>
    <row r="155" spans="1:3" x14ac:dyDescent="0.25">
      <c r="A155" s="9"/>
      <c r="B155" s="9"/>
      <c r="C155" s="9"/>
    </row>
    <row r="156" spans="1:3" x14ac:dyDescent="0.25">
      <c r="A156" s="9"/>
      <c r="B156" s="9"/>
      <c r="C156" s="9"/>
    </row>
    <row r="157" spans="1:3" x14ac:dyDescent="0.25">
      <c r="A157" s="9"/>
      <c r="B157" s="9"/>
      <c r="C157" s="9"/>
    </row>
    <row r="158" spans="1:3" x14ac:dyDescent="0.25">
      <c r="A158" s="9"/>
      <c r="B158" s="9"/>
      <c r="C158" s="9"/>
    </row>
    <row r="159" spans="1:3" x14ac:dyDescent="0.25">
      <c r="A159" s="9"/>
      <c r="B159" s="9"/>
      <c r="C159" s="9"/>
    </row>
    <row r="160" spans="1:3" x14ac:dyDescent="0.25">
      <c r="A160" s="9"/>
      <c r="B160" s="9"/>
      <c r="C160" s="9"/>
    </row>
    <row r="161" spans="1:3" x14ac:dyDescent="0.25">
      <c r="A161" s="9"/>
      <c r="B161" s="9"/>
      <c r="C161" s="9"/>
    </row>
    <row r="162" spans="1:3" x14ac:dyDescent="0.25">
      <c r="A162" s="9"/>
      <c r="B162" s="9"/>
      <c r="C162" s="9"/>
    </row>
    <row r="163" spans="1:3" x14ac:dyDescent="0.25">
      <c r="A163" s="9"/>
      <c r="B163" s="9"/>
      <c r="C163" s="9"/>
    </row>
    <row r="164" spans="1:3" x14ac:dyDescent="0.25">
      <c r="A164" s="9"/>
      <c r="B164" s="9"/>
      <c r="C164" s="9"/>
    </row>
    <row r="165" spans="1:3" x14ac:dyDescent="0.25">
      <c r="A165" s="9"/>
      <c r="B165" s="9"/>
      <c r="C165" s="9"/>
    </row>
    <row r="166" spans="1:3" x14ac:dyDescent="0.25">
      <c r="A166" s="9"/>
      <c r="B166" s="9"/>
      <c r="C166" s="9"/>
    </row>
    <row r="167" spans="1:3" x14ac:dyDescent="0.25">
      <c r="A167" s="9"/>
      <c r="B167" s="9"/>
      <c r="C167" s="9"/>
    </row>
    <row r="168" spans="1:3" x14ac:dyDescent="0.25">
      <c r="A168" s="9"/>
      <c r="B168" s="9"/>
      <c r="C168" s="9"/>
    </row>
    <row r="169" spans="1:3" x14ac:dyDescent="0.25">
      <c r="A169" s="9"/>
      <c r="B169" s="9"/>
      <c r="C169" s="9"/>
    </row>
    <row r="170" spans="1:3" x14ac:dyDescent="0.25">
      <c r="A170" s="9"/>
      <c r="B170" s="9"/>
      <c r="C170" s="9"/>
    </row>
    <row r="171" spans="1:3" x14ac:dyDescent="0.25">
      <c r="A171" s="9"/>
      <c r="B171" s="9"/>
      <c r="C171" s="9"/>
    </row>
    <row r="172" spans="1:3" x14ac:dyDescent="0.25">
      <c r="A172" s="9"/>
      <c r="B172" s="9"/>
      <c r="C172" s="9"/>
    </row>
    <row r="173" spans="1:3" x14ac:dyDescent="0.25">
      <c r="A173" s="9"/>
      <c r="B173" s="9"/>
      <c r="C173" s="9"/>
    </row>
    <row r="174" spans="1:3" x14ac:dyDescent="0.25">
      <c r="A174" s="9"/>
      <c r="B174" s="9"/>
      <c r="C174" s="9"/>
    </row>
    <row r="175" spans="1:3" x14ac:dyDescent="0.25">
      <c r="A175" s="9"/>
      <c r="B175" s="9"/>
      <c r="C175" s="9"/>
    </row>
    <row r="176" spans="1:3" x14ac:dyDescent="0.25">
      <c r="A176" s="9"/>
      <c r="B176" s="9"/>
      <c r="C176" s="9"/>
    </row>
    <row r="177" spans="1:3" x14ac:dyDescent="0.25">
      <c r="A177" s="9"/>
      <c r="B177" s="9"/>
      <c r="C177" s="9"/>
    </row>
    <row r="178" spans="1:3" x14ac:dyDescent="0.25">
      <c r="A178" s="9"/>
      <c r="B178" s="9"/>
      <c r="C178" s="9"/>
    </row>
    <row r="179" spans="1:3" x14ac:dyDescent="0.25">
      <c r="A179" s="9"/>
      <c r="B179" s="9"/>
      <c r="C179" s="9"/>
    </row>
    <row r="180" spans="1:3" x14ac:dyDescent="0.25">
      <c r="A180" s="9"/>
      <c r="B180" s="9"/>
      <c r="C180" s="9"/>
    </row>
    <row r="181" spans="1:3" x14ac:dyDescent="0.25">
      <c r="A181" s="9"/>
      <c r="B181" s="9"/>
      <c r="C181" s="9"/>
    </row>
    <row r="182" spans="1:3" x14ac:dyDescent="0.25">
      <c r="A182" s="9"/>
      <c r="B182" s="9"/>
      <c r="C182" s="9"/>
    </row>
    <row r="183" spans="1:3" x14ac:dyDescent="0.25">
      <c r="A183" s="9"/>
      <c r="B183" s="9"/>
      <c r="C183" s="9"/>
    </row>
    <row r="184" spans="1:3" x14ac:dyDescent="0.25">
      <c r="A184" s="9"/>
      <c r="B184" s="9"/>
      <c r="C184" s="9"/>
    </row>
    <row r="185" spans="1:3" x14ac:dyDescent="0.25">
      <c r="A185" s="9"/>
      <c r="B185" s="9"/>
      <c r="C185" s="9"/>
    </row>
    <row r="186" spans="1:3" x14ac:dyDescent="0.25">
      <c r="A186" s="9"/>
      <c r="B186" s="9"/>
      <c r="C186" s="9"/>
    </row>
    <row r="187" spans="1:3" x14ac:dyDescent="0.25">
      <c r="A187" s="9"/>
      <c r="B187" s="9"/>
      <c r="C187" s="9"/>
    </row>
    <row r="188" spans="1:3" x14ac:dyDescent="0.25">
      <c r="A188" s="9"/>
      <c r="B188" s="9"/>
      <c r="C188" s="9"/>
    </row>
    <row r="189" spans="1:3" x14ac:dyDescent="0.25">
      <c r="A189" s="9"/>
      <c r="B189" s="9"/>
      <c r="C189" s="9"/>
    </row>
    <row r="190" spans="1:3" x14ac:dyDescent="0.25">
      <c r="A190" s="9"/>
      <c r="B190" s="9"/>
      <c r="C190" s="9"/>
    </row>
    <row r="191" spans="1:3" x14ac:dyDescent="0.25">
      <c r="A191" s="9"/>
      <c r="B191" s="9"/>
      <c r="C191" s="9"/>
    </row>
    <row r="192" spans="1:3" x14ac:dyDescent="0.25">
      <c r="A192" s="9"/>
      <c r="B192" s="9"/>
      <c r="C192" s="9"/>
    </row>
    <row r="193" spans="1:3" x14ac:dyDescent="0.25">
      <c r="A193" s="9"/>
      <c r="B193" s="9"/>
      <c r="C193" s="9"/>
    </row>
    <row r="194" spans="1:3" x14ac:dyDescent="0.25">
      <c r="A194" s="9"/>
      <c r="B194" s="9"/>
      <c r="C194" s="9"/>
    </row>
    <row r="195" spans="1:3" x14ac:dyDescent="0.25">
      <c r="A195" s="9"/>
      <c r="B195" s="9"/>
      <c r="C195" s="9"/>
    </row>
    <row r="196" spans="1:3" x14ac:dyDescent="0.25">
      <c r="A196" s="9"/>
      <c r="B196" s="9"/>
      <c r="C196" s="9"/>
    </row>
    <row r="197" spans="1:3" x14ac:dyDescent="0.25">
      <c r="A197" s="9"/>
      <c r="B197" s="9"/>
      <c r="C197" s="9"/>
    </row>
    <row r="198" spans="1:3" x14ac:dyDescent="0.25">
      <c r="A198" s="9"/>
      <c r="B198" s="9"/>
      <c r="C198" s="9"/>
    </row>
    <row r="199" spans="1:3" x14ac:dyDescent="0.25">
      <c r="A199" s="9"/>
      <c r="B199" s="9"/>
      <c r="C199" s="9"/>
    </row>
    <row r="200" spans="1:3" x14ac:dyDescent="0.25">
      <c r="A200" s="9"/>
      <c r="B200" s="9"/>
      <c r="C200" s="9"/>
    </row>
    <row r="201" spans="1:3" x14ac:dyDescent="0.25">
      <c r="A201" s="9"/>
      <c r="B201" s="9"/>
      <c r="C201" s="9"/>
    </row>
    <row r="202" spans="1:3" x14ac:dyDescent="0.25">
      <c r="A202" s="9"/>
      <c r="B202" s="9"/>
      <c r="C202" s="9"/>
    </row>
    <row r="203" spans="1:3" x14ac:dyDescent="0.25">
      <c r="A203" s="9"/>
      <c r="B203" s="9"/>
      <c r="C203" s="9"/>
    </row>
    <row r="204" spans="1:3" x14ac:dyDescent="0.25">
      <c r="A204" s="9"/>
      <c r="B204" s="9"/>
      <c r="C204" s="9"/>
    </row>
    <row r="205" spans="1:3" x14ac:dyDescent="0.25">
      <c r="A205" s="9"/>
      <c r="B205" s="9"/>
      <c r="C205" s="9"/>
    </row>
    <row r="206" spans="1:3" x14ac:dyDescent="0.25">
      <c r="A206" s="9"/>
      <c r="B206" s="9"/>
      <c r="C206" s="9"/>
    </row>
    <row r="207" spans="1:3" x14ac:dyDescent="0.25">
      <c r="A207" s="9"/>
      <c r="B207" s="9"/>
      <c r="C207" s="9"/>
    </row>
    <row r="208" spans="1:3" x14ac:dyDescent="0.25">
      <c r="A208" s="9"/>
      <c r="B208" s="9"/>
      <c r="C208" s="9"/>
    </row>
    <row r="209" spans="1:3" x14ac:dyDescent="0.25">
      <c r="A209" s="9"/>
      <c r="B209" s="9"/>
      <c r="C209" s="9"/>
    </row>
    <row r="210" spans="1:3" x14ac:dyDescent="0.25">
      <c r="A210" s="9"/>
      <c r="B210" s="9"/>
      <c r="C210" s="9"/>
    </row>
    <row r="211" spans="1:3" x14ac:dyDescent="0.25">
      <c r="A211" s="9"/>
      <c r="B211" s="9"/>
      <c r="C211" s="9"/>
    </row>
    <row r="212" spans="1:3" x14ac:dyDescent="0.25">
      <c r="A212" s="9"/>
      <c r="B212" s="9"/>
      <c r="C212" s="9"/>
    </row>
    <row r="213" spans="1:3" x14ac:dyDescent="0.25">
      <c r="A213" s="9"/>
      <c r="B213" s="9"/>
      <c r="C213" s="9"/>
    </row>
    <row r="214" spans="1:3" x14ac:dyDescent="0.25">
      <c r="A214" s="9"/>
      <c r="B214" s="9"/>
      <c r="C214" s="9"/>
    </row>
    <row r="215" spans="1:3" x14ac:dyDescent="0.25">
      <c r="A215" s="9"/>
      <c r="B215" s="9"/>
      <c r="C215" s="9"/>
    </row>
    <row r="216" spans="1:3" x14ac:dyDescent="0.25">
      <c r="A216" s="9"/>
      <c r="B216" s="9"/>
      <c r="C216" s="9"/>
    </row>
    <row r="217" spans="1:3" x14ac:dyDescent="0.25">
      <c r="A217" s="9"/>
      <c r="B217" s="9"/>
      <c r="C217" s="9"/>
    </row>
    <row r="218" spans="1:3" x14ac:dyDescent="0.25">
      <c r="A218" s="9"/>
      <c r="B218" s="9"/>
      <c r="C218" s="9"/>
    </row>
    <row r="219" spans="1:3" x14ac:dyDescent="0.25">
      <c r="A219" s="9"/>
      <c r="B219" s="9"/>
      <c r="C219" s="9"/>
    </row>
    <row r="220" spans="1:3" x14ac:dyDescent="0.25">
      <c r="A220" s="9"/>
      <c r="B220" s="9"/>
      <c r="C220" s="9"/>
    </row>
    <row r="221" spans="1:3" x14ac:dyDescent="0.25">
      <c r="A221" s="9"/>
      <c r="B221" s="9"/>
      <c r="C221" s="9"/>
    </row>
    <row r="222" spans="1:3" x14ac:dyDescent="0.25">
      <c r="A222" s="9"/>
      <c r="B222" s="9"/>
      <c r="C222" s="9"/>
    </row>
    <row r="223" spans="1:3" x14ac:dyDescent="0.25">
      <c r="A223" s="9"/>
      <c r="B223" s="9"/>
      <c r="C223" s="9"/>
    </row>
    <row r="224" spans="1:3" x14ac:dyDescent="0.25">
      <c r="A224" s="9"/>
      <c r="B224" s="9"/>
      <c r="C224" s="9"/>
    </row>
    <row r="225" spans="1:3" x14ac:dyDescent="0.25">
      <c r="A225" s="9"/>
      <c r="B225" s="9"/>
      <c r="C225" s="9"/>
    </row>
    <row r="226" spans="1:3" x14ac:dyDescent="0.25">
      <c r="A226" s="9"/>
      <c r="B226" s="9"/>
      <c r="C226" s="9"/>
    </row>
    <row r="227" spans="1:3" x14ac:dyDescent="0.25">
      <c r="A227" s="9"/>
      <c r="B227" s="9"/>
      <c r="C227" s="9"/>
    </row>
    <row r="228" spans="1:3" x14ac:dyDescent="0.25">
      <c r="A228" s="9"/>
      <c r="B228" s="9"/>
      <c r="C228" s="9"/>
    </row>
    <row r="229" spans="1:3" x14ac:dyDescent="0.25">
      <c r="A229" s="9"/>
      <c r="B229" s="9"/>
      <c r="C229" s="9"/>
    </row>
    <row r="230" spans="1:3" x14ac:dyDescent="0.25">
      <c r="A230" s="9"/>
      <c r="B230" s="9"/>
      <c r="C230" s="9"/>
    </row>
    <row r="231" spans="1:3" x14ac:dyDescent="0.25">
      <c r="A231" s="9"/>
      <c r="B231" s="9"/>
      <c r="C231" s="9"/>
    </row>
    <row r="232" spans="1:3" x14ac:dyDescent="0.25">
      <c r="A232" s="9"/>
      <c r="B232" s="9"/>
      <c r="C232" s="9"/>
    </row>
    <row r="233" spans="1:3" x14ac:dyDescent="0.25">
      <c r="A233" s="9"/>
      <c r="B233" s="9"/>
      <c r="C233" s="9"/>
    </row>
    <row r="234" spans="1:3" x14ac:dyDescent="0.25">
      <c r="A234" s="9"/>
      <c r="B234" s="9"/>
      <c r="C234" s="9"/>
    </row>
    <row r="235" spans="1:3" x14ac:dyDescent="0.25">
      <c r="A235" s="9"/>
      <c r="B235" s="9"/>
      <c r="C235" s="9"/>
    </row>
    <row r="236" spans="1:3" x14ac:dyDescent="0.25">
      <c r="A236" s="9"/>
      <c r="B236" s="9"/>
      <c r="C236" s="9"/>
    </row>
    <row r="237" spans="1:3" x14ac:dyDescent="0.25">
      <c r="A237" s="9"/>
      <c r="B237" s="9"/>
      <c r="C237" s="9"/>
    </row>
    <row r="238" spans="1:3" x14ac:dyDescent="0.25">
      <c r="A238" s="9"/>
      <c r="B238" s="9"/>
      <c r="C238" s="9"/>
    </row>
    <row r="239" spans="1:3" x14ac:dyDescent="0.25">
      <c r="A239" s="9"/>
      <c r="B239" s="9"/>
      <c r="C239" s="9"/>
    </row>
    <row r="240" spans="1:3" x14ac:dyDescent="0.25">
      <c r="A240" s="9"/>
      <c r="B240" s="9"/>
      <c r="C240" s="9"/>
    </row>
    <row r="241" spans="1:3" x14ac:dyDescent="0.25">
      <c r="A241" s="9"/>
      <c r="B241" s="9"/>
      <c r="C241" s="9"/>
    </row>
    <row r="242" spans="1:3" x14ac:dyDescent="0.25">
      <c r="A242" s="9"/>
      <c r="B242" s="9"/>
      <c r="C242" s="9"/>
    </row>
    <row r="243" spans="1:3" x14ac:dyDescent="0.25">
      <c r="A243" s="9"/>
      <c r="B243" s="9"/>
      <c r="C243" s="9"/>
    </row>
    <row r="244" spans="1:3" x14ac:dyDescent="0.25">
      <c r="A244" s="9"/>
      <c r="B244" s="9"/>
      <c r="C244" s="9"/>
    </row>
    <row r="245" spans="1:3" x14ac:dyDescent="0.25">
      <c r="A245" s="9"/>
      <c r="B245" s="9"/>
      <c r="C245" s="9"/>
    </row>
    <row r="246" spans="1:3" x14ac:dyDescent="0.25">
      <c r="A246" s="9"/>
      <c r="B246" s="9"/>
      <c r="C246" s="9"/>
    </row>
    <row r="247" spans="1:3" x14ac:dyDescent="0.25">
      <c r="A247" s="9"/>
      <c r="B247" s="9"/>
      <c r="C247" s="9"/>
    </row>
    <row r="248" spans="1:3" x14ac:dyDescent="0.25">
      <c r="A248" s="9"/>
      <c r="B248" s="9"/>
      <c r="C248" s="9"/>
    </row>
    <row r="249" spans="1:3" x14ac:dyDescent="0.25">
      <c r="A249" s="9"/>
      <c r="B249" s="9"/>
      <c r="C249" s="9"/>
    </row>
    <row r="250" spans="1:3" x14ac:dyDescent="0.25">
      <c r="A250" s="9"/>
      <c r="B250" s="9"/>
      <c r="C250" s="9"/>
    </row>
    <row r="251" spans="1:3" x14ac:dyDescent="0.25">
      <c r="A251" s="9"/>
      <c r="B251" s="9"/>
      <c r="C251" s="9"/>
    </row>
    <row r="252" spans="1:3" x14ac:dyDescent="0.25">
      <c r="A252" s="9"/>
      <c r="B252" s="9"/>
      <c r="C252" s="9"/>
    </row>
    <row r="253" spans="1:3" x14ac:dyDescent="0.25">
      <c r="A253" s="9"/>
      <c r="B253" s="9"/>
      <c r="C253" s="9"/>
    </row>
  </sheetData>
  <mergeCells count="12">
    <mergeCell ref="F3:F10"/>
    <mergeCell ref="E3:E10"/>
    <mergeCell ref="A1:C1"/>
    <mergeCell ref="A3:C3"/>
    <mergeCell ref="A8:C8"/>
    <mergeCell ref="A7:C7"/>
    <mergeCell ref="A6:C6"/>
    <mergeCell ref="A9:C9"/>
    <mergeCell ref="A2:C2"/>
    <mergeCell ref="A4:C4"/>
    <mergeCell ref="A5:C5"/>
    <mergeCell ref="D3:D10"/>
  </mergeCells>
  <pageMargins left="0.7" right="0.7" top="0.75" bottom="0.75" header="0.3" footer="0.3"/>
  <pageSetup paperSize="9" scale="1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AW253"/>
  <sheetViews>
    <sheetView view="pageBreakPreview" topLeftCell="AF1" zoomScale="70" zoomScaleNormal="70" zoomScaleSheetLayoutView="70" workbookViewId="0">
      <selection activeCell="AR14" sqref="AR14"/>
    </sheetView>
  </sheetViews>
  <sheetFormatPr baseColWidth="10" defaultRowHeight="15" x14ac:dyDescent="0.25"/>
  <cols>
    <col min="2" max="2" width="40.85546875" customWidth="1"/>
    <col min="3" max="3" width="50.140625" customWidth="1"/>
    <col min="6" max="6" width="16.7109375" customWidth="1"/>
    <col min="7" max="41" width="11.42578125" customWidth="1"/>
    <col min="42" max="42" width="51.7109375" customWidth="1"/>
    <col min="43" max="44" width="14.28515625" customWidth="1"/>
    <col min="45" max="62" width="11.42578125" customWidth="1"/>
    <col min="63" max="63" width="9.5703125" customWidth="1"/>
  </cols>
  <sheetData>
    <row r="1" spans="2:49" ht="15.75" x14ac:dyDescent="0.25">
      <c r="B1" s="12" t="s">
        <v>37</v>
      </c>
      <c r="AH1" t="s">
        <v>77</v>
      </c>
      <c r="AJ1" s="23"/>
      <c r="AL1" t="s">
        <v>78</v>
      </c>
      <c r="AN1" s="23"/>
      <c r="AP1" t="s">
        <v>93</v>
      </c>
      <c r="AQ1" s="64"/>
      <c r="AR1" s="64"/>
      <c r="AT1" t="s">
        <v>94</v>
      </c>
      <c r="AW1" s="64"/>
    </row>
    <row r="2" spans="2:49" ht="15" customHeight="1" thickBot="1" x14ac:dyDescent="0.3">
      <c r="B2" s="13" t="s">
        <v>38</v>
      </c>
      <c r="C2" s="14">
        <v>0.1</v>
      </c>
      <c r="AJ2" s="174" t="s">
        <v>76</v>
      </c>
      <c r="AN2" s="174" t="s">
        <v>79</v>
      </c>
      <c r="AQ2" s="64"/>
      <c r="AR2" s="64"/>
      <c r="AW2" s="64"/>
    </row>
    <row r="3" spans="2:49" ht="15.75" customHeight="1" x14ac:dyDescent="0.25">
      <c r="B3" s="13" t="s">
        <v>39</v>
      </c>
      <c r="C3" s="14">
        <v>0.1</v>
      </c>
      <c r="AJ3" s="175"/>
      <c r="AN3" s="175"/>
      <c r="AQ3" s="179" t="str">
        <f>Recap!B2</f>
        <v>Troncon 1</v>
      </c>
      <c r="AR3" s="179" t="s">
        <v>106</v>
      </c>
      <c r="AW3" s="179" t="str">
        <f>Recap!$B2</f>
        <v>Troncon 1</v>
      </c>
    </row>
    <row r="4" spans="2:49" x14ac:dyDescent="0.25">
      <c r="B4" s="13" t="s">
        <v>40</v>
      </c>
      <c r="C4" s="14">
        <v>0.1</v>
      </c>
      <c r="AJ4" s="175"/>
      <c r="AN4" s="175"/>
      <c r="AQ4" s="180"/>
      <c r="AR4" s="180"/>
      <c r="AW4" s="180"/>
    </row>
    <row r="5" spans="2:49" x14ac:dyDescent="0.25">
      <c r="B5" s="21"/>
      <c r="C5" s="21"/>
      <c r="AJ5" s="175"/>
      <c r="AN5" s="175"/>
      <c r="AQ5" s="180"/>
      <c r="AR5" s="180"/>
      <c r="AW5" s="180"/>
    </row>
    <row r="6" spans="2:49" ht="15.75" x14ac:dyDescent="0.25">
      <c r="B6" s="12" t="s">
        <v>63</v>
      </c>
      <c r="C6" s="21"/>
      <c r="AJ6" s="175"/>
      <c r="AN6" s="175"/>
      <c r="AQ6" s="180"/>
      <c r="AR6" s="180"/>
      <c r="AW6" s="180"/>
    </row>
    <row r="7" spans="2:49" x14ac:dyDescent="0.25">
      <c r="B7" s="13" t="s">
        <v>84</v>
      </c>
      <c r="C7" s="14">
        <v>2</v>
      </c>
      <c r="AJ7" s="175"/>
      <c r="AN7" s="175"/>
      <c r="AQ7" s="180"/>
      <c r="AR7" s="180"/>
      <c r="AW7" s="180"/>
    </row>
    <row r="8" spans="2:49" x14ac:dyDescent="0.25">
      <c r="B8" s="13" t="s">
        <v>83</v>
      </c>
      <c r="C8" s="14">
        <v>2</v>
      </c>
      <c r="AJ8" s="176"/>
      <c r="AN8" s="176"/>
      <c r="AQ8" s="180"/>
      <c r="AR8" s="180"/>
      <c r="AW8" s="180"/>
    </row>
    <row r="9" spans="2:49" ht="15.75" x14ac:dyDescent="0.25">
      <c r="B9" s="13" t="s">
        <v>82</v>
      </c>
      <c r="C9" s="14">
        <v>2</v>
      </c>
      <c r="AJ9" s="3">
        <f>AI10</f>
        <v>0</v>
      </c>
      <c r="AN9" s="3"/>
      <c r="AQ9" s="180"/>
      <c r="AR9" s="180"/>
      <c r="AW9" s="180"/>
    </row>
    <row r="10" spans="2:49" ht="16.5" thickBot="1" x14ac:dyDescent="0.3">
      <c r="B10" s="13" t="s">
        <v>81</v>
      </c>
      <c r="C10" s="14">
        <v>2</v>
      </c>
      <c r="AJ10" s="3"/>
      <c r="AN10" s="3"/>
      <c r="AP10" s="31"/>
      <c r="AQ10" s="181"/>
      <c r="AR10" s="181"/>
      <c r="AW10" s="181"/>
    </row>
    <row r="11" spans="2:49" ht="15.75" x14ac:dyDescent="0.25">
      <c r="B11" s="13" t="s">
        <v>80</v>
      </c>
      <c r="C11" s="14">
        <v>2</v>
      </c>
      <c r="AJ11" s="5">
        <f>AI12</f>
        <v>0</v>
      </c>
      <c r="AN11" s="5"/>
      <c r="AP11" s="32" t="s">
        <v>0</v>
      </c>
      <c r="AQ11" s="115" t="s">
        <v>88</v>
      </c>
      <c r="AR11" s="115" t="str">
        <f>AQ12</f>
        <v>R2</v>
      </c>
      <c r="AW11" s="115">
        <f>AV12</f>
        <v>0</v>
      </c>
    </row>
    <row r="12" spans="2:49" ht="15.75" x14ac:dyDescent="0.25">
      <c r="B12" s="13"/>
      <c r="C12" s="14"/>
      <c r="AJ12" s="5"/>
      <c r="AN12" s="5"/>
      <c r="AP12" s="32" t="s">
        <v>2</v>
      </c>
      <c r="AQ12" s="85" t="s">
        <v>89</v>
      </c>
      <c r="AR12" s="85"/>
      <c r="AW12" s="85">
        <f>Recap!AU10</f>
        <v>0</v>
      </c>
    </row>
    <row r="13" spans="2:49" x14ac:dyDescent="0.25">
      <c r="B13" s="21"/>
      <c r="C13" s="21"/>
      <c r="AJ13" s="7"/>
      <c r="AN13" s="7"/>
      <c r="AP13" s="33" t="s">
        <v>3</v>
      </c>
      <c r="AQ13" s="86">
        <v>1</v>
      </c>
      <c r="AR13" s="86">
        <f>AQ14</f>
        <v>1.5</v>
      </c>
      <c r="AW13" s="86">
        <f>AV14</f>
        <v>0</v>
      </c>
    </row>
    <row r="14" spans="2:49" x14ac:dyDescent="0.25">
      <c r="B14" s="21"/>
      <c r="C14" s="21"/>
      <c r="AI14" s="60" t="str">
        <f>Recap!B14</f>
        <v>Béton</v>
      </c>
      <c r="AJ14" s="7" t="str">
        <f t="shared" ref="AJ14:AJ19" si="0">AI14</f>
        <v>Béton</v>
      </c>
      <c r="AN14" s="7" t="s">
        <v>70</v>
      </c>
      <c r="AP14" s="33" t="s">
        <v>4</v>
      </c>
      <c r="AQ14" s="88">
        <v>1.5</v>
      </c>
      <c r="AR14" s="88">
        <f>Recap!AP12</f>
        <v>0</v>
      </c>
      <c r="AW14" s="88">
        <f>Recap!AU12</f>
        <v>0</v>
      </c>
    </row>
    <row r="15" spans="2:49" x14ac:dyDescent="0.25">
      <c r="B15" s="21"/>
      <c r="C15" s="21"/>
      <c r="AJ15" s="7">
        <f t="shared" si="0"/>
        <v>0</v>
      </c>
      <c r="AN15" s="7"/>
      <c r="AP15" s="33" t="s">
        <v>5</v>
      </c>
      <c r="AQ15" s="123">
        <f>IF(AQ13+'Données de fonctionnement '!$C$2='Données de fonctionnement '!$C$2,AQ13,AQ13+'Données de fonctionnement '!$C$2)</f>
        <v>1.1000000000000001</v>
      </c>
      <c r="AR15" s="123">
        <f>IF(AR13+'Données de fonctionnement '!$C$2='Données de fonctionnement '!$C$2,AR13,AR13+'Données de fonctionnement '!$C$2)</f>
        <v>1.6</v>
      </c>
      <c r="AW15" s="123">
        <f>IF(AW13+'Données de fonctionnement '!$C$2='Données de fonctionnement '!$C$2,AW13,AW13+'Données de fonctionnement '!$C$2)</f>
        <v>0</v>
      </c>
    </row>
    <row r="16" spans="2:49" x14ac:dyDescent="0.25">
      <c r="B16" s="21"/>
      <c r="C16" s="21"/>
      <c r="AI16" s="60" t="str">
        <f>Recap!B16</f>
        <v>Béton</v>
      </c>
      <c r="AJ16" s="7" t="str">
        <f t="shared" si="0"/>
        <v>Béton</v>
      </c>
      <c r="AN16" s="7" t="s">
        <v>75</v>
      </c>
      <c r="AP16" s="33" t="s">
        <v>6</v>
      </c>
      <c r="AQ16" s="90">
        <f>IF(AQ14+'Données de fonctionnement '!$C$2='Données de fonctionnement '!$C$2,AQ14,AQ14+'Données de fonctionnement '!$C$2)</f>
        <v>1.6</v>
      </c>
      <c r="AR16" s="90">
        <f>IF(AR14+'Données de fonctionnement '!$C$2='Données de fonctionnement '!$C$2,AR14,AR14+'Données de fonctionnement '!$C$2)</f>
        <v>0</v>
      </c>
      <c r="AW16" s="90">
        <f>IF(AW14+'Données de fonctionnement '!$C$2='Données de fonctionnement '!$C$2,AW14,AW14+'Données de fonctionnement '!$C$2)</f>
        <v>0</v>
      </c>
    </row>
    <row r="17" spans="2:49" ht="15.75" thickBot="1" x14ac:dyDescent="0.3">
      <c r="B17" s="21"/>
      <c r="C17" s="21"/>
      <c r="AJ17" s="7">
        <f t="shared" si="0"/>
        <v>0</v>
      </c>
      <c r="AN17" s="7"/>
      <c r="AP17" s="33" t="s">
        <v>7</v>
      </c>
      <c r="AQ17" s="91">
        <f>AVERAGE(AQ15:AQ16)</f>
        <v>1.35</v>
      </c>
      <c r="AR17" s="91">
        <f>AVERAGE(AR15:AR16)</f>
        <v>0.8</v>
      </c>
      <c r="AW17" s="91">
        <f>AVERAGE(AW15:AW16)</f>
        <v>0</v>
      </c>
    </row>
    <row r="18" spans="2:49" x14ac:dyDescent="0.25">
      <c r="B18" s="21"/>
      <c r="C18" s="21"/>
      <c r="AI18" s="60" t="str">
        <f>Recap!B18</f>
        <v>Béton</v>
      </c>
      <c r="AJ18" s="7" t="str">
        <f t="shared" si="0"/>
        <v>Béton</v>
      </c>
      <c r="AN18" s="7" t="s">
        <v>69</v>
      </c>
      <c r="AP18" s="1"/>
      <c r="AQ18" s="65"/>
      <c r="AR18" s="65"/>
      <c r="AW18" s="65"/>
    </row>
    <row r="19" spans="2:49" ht="15.75" thickBot="1" x14ac:dyDescent="0.3">
      <c r="C19" s="21"/>
      <c r="AJ19" s="7">
        <f t="shared" si="0"/>
        <v>0</v>
      </c>
      <c r="AN19" s="7"/>
      <c r="AP19" s="1"/>
      <c r="AQ19" s="76"/>
      <c r="AR19" s="76"/>
      <c r="AW19" s="76"/>
    </row>
    <row r="20" spans="2:49" ht="16.5" thickBot="1" x14ac:dyDescent="0.3">
      <c r="B20" s="12" t="s">
        <v>41</v>
      </c>
      <c r="C20" s="15"/>
      <c r="AJ20" s="41">
        <f>AI20</f>
        <v>0</v>
      </c>
      <c r="AN20" s="41">
        <f>AM20</f>
        <v>0</v>
      </c>
      <c r="AP20" s="37" t="s">
        <v>8</v>
      </c>
      <c r="AQ20" s="78"/>
      <c r="AR20" s="78"/>
      <c r="AW20" s="78"/>
    </row>
    <row r="21" spans="2:49" x14ac:dyDescent="0.25">
      <c r="B21" s="13" t="s">
        <v>42</v>
      </c>
      <c r="C21" s="14">
        <v>0.3</v>
      </c>
      <c r="AJ21" s="43"/>
      <c r="AN21" s="43"/>
      <c r="AP21" s="38" t="s">
        <v>9</v>
      </c>
      <c r="AQ21" s="72">
        <f>Recap!AO22</f>
        <v>0</v>
      </c>
      <c r="AR21" s="72">
        <f>Recap!AP22</f>
        <v>0</v>
      </c>
      <c r="AW21" s="72">
        <f>Recap!AU22</f>
        <v>0</v>
      </c>
    </row>
    <row r="22" spans="2:49" x14ac:dyDescent="0.25">
      <c r="B22" s="13" t="s">
        <v>43</v>
      </c>
      <c r="C22" s="14">
        <v>0.3</v>
      </c>
      <c r="AJ22" s="6">
        <f t="shared" ref="AJ22:AJ27" si="1">AI22</f>
        <v>0</v>
      </c>
      <c r="AN22" s="6">
        <v>0</v>
      </c>
      <c r="AP22" s="38" t="s">
        <v>10</v>
      </c>
      <c r="AQ22" s="62">
        <f>Recap!AO23</f>
        <v>0</v>
      </c>
      <c r="AR22" s="62">
        <f>Recap!AP23</f>
        <v>0</v>
      </c>
      <c r="AW22" s="62">
        <f>Recap!AU23</f>
        <v>0</v>
      </c>
    </row>
    <row r="23" spans="2:49" x14ac:dyDescent="0.25">
      <c r="B23" s="13" t="s">
        <v>44</v>
      </c>
      <c r="C23" s="14">
        <v>2.35</v>
      </c>
      <c r="AJ23" s="6">
        <f t="shared" si="1"/>
        <v>0</v>
      </c>
      <c r="AN23" s="6">
        <v>0</v>
      </c>
      <c r="AP23" s="38" t="s">
        <v>11</v>
      </c>
      <c r="AQ23" s="63">
        <f>Recap!AO24</f>
        <v>0</v>
      </c>
      <c r="AR23" s="63">
        <f>Recap!AP24</f>
        <v>0</v>
      </c>
      <c r="AW23" s="63">
        <f>Recap!AU24</f>
        <v>0</v>
      </c>
    </row>
    <row r="24" spans="2:49" x14ac:dyDescent="0.25">
      <c r="B24" s="13" t="s">
        <v>45</v>
      </c>
      <c r="C24" s="14">
        <v>2.35</v>
      </c>
      <c r="AJ24" s="6">
        <f t="shared" si="1"/>
        <v>0</v>
      </c>
      <c r="AN24" s="6">
        <v>0</v>
      </c>
      <c r="AP24" s="38" t="s">
        <v>12</v>
      </c>
      <c r="AQ24" s="61">
        <f>Recap!AO25</f>
        <v>0</v>
      </c>
      <c r="AR24" s="61">
        <f>Recap!AP25</f>
        <v>0</v>
      </c>
      <c r="AW24" s="61">
        <f>Recap!AU25</f>
        <v>0</v>
      </c>
    </row>
    <row r="25" spans="2:49" x14ac:dyDescent="0.25">
      <c r="B25" s="13" t="s">
        <v>46</v>
      </c>
      <c r="C25" s="14">
        <v>2.35</v>
      </c>
      <c r="AJ25" s="6">
        <f t="shared" si="1"/>
        <v>0</v>
      </c>
      <c r="AN25" s="6">
        <v>0</v>
      </c>
      <c r="AP25" s="38" t="s">
        <v>13</v>
      </c>
      <c r="AQ25" s="62">
        <f>Recap!AO26</f>
        <v>0</v>
      </c>
      <c r="AR25" s="62">
        <f>Recap!AP26</f>
        <v>0</v>
      </c>
      <c r="AW25" s="62">
        <f>Recap!AU26</f>
        <v>0</v>
      </c>
    </row>
    <row r="26" spans="2:49" ht="15.75" thickBot="1" x14ac:dyDescent="0.3">
      <c r="AJ26" s="6">
        <f t="shared" si="1"/>
        <v>0</v>
      </c>
      <c r="AN26" s="6">
        <v>0</v>
      </c>
      <c r="AP26" s="38" t="s">
        <v>14</v>
      </c>
      <c r="AQ26" s="96">
        <f>Recap!AO27</f>
        <v>0</v>
      </c>
      <c r="AR26" s="96">
        <f>Recap!AP27</f>
        <v>0</v>
      </c>
      <c r="AW26" s="96">
        <f>Recap!AU27</f>
        <v>0</v>
      </c>
    </row>
    <row r="27" spans="2:49" ht="15.75" thickBot="1" x14ac:dyDescent="0.3">
      <c r="AJ27" s="48">
        <f t="shared" si="1"/>
        <v>0</v>
      </c>
      <c r="AN27" s="48">
        <v>0</v>
      </c>
      <c r="AP27" s="1"/>
      <c r="AQ27" s="76"/>
      <c r="AR27" s="76"/>
      <c r="AW27" s="76"/>
    </row>
    <row r="28" spans="2:49" ht="16.5" thickBot="1" x14ac:dyDescent="0.3">
      <c r="AJ28" s="8"/>
      <c r="AN28" s="8"/>
      <c r="AP28" s="29" t="s">
        <v>15</v>
      </c>
      <c r="AQ28" s="99"/>
      <c r="AR28" s="99"/>
      <c r="AW28" s="99"/>
    </row>
    <row r="29" spans="2:49" x14ac:dyDescent="0.25">
      <c r="B29" s="1" t="s">
        <v>57</v>
      </c>
      <c r="AP29" s="30" t="s">
        <v>16</v>
      </c>
      <c r="AQ29" s="127">
        <f>Recap!AO13</f>
        <v>0</v>
      </c>
      <c r="AR29" s="127">
        <f>Recap!AP13</f>
        <v>0</v>
      </c>
      <c r="AW29" s="127">
        <f>Recap!AU13</f>
        <v>0</v>
      </c>
    </row>
    <row r="30" spans="2:49" x14ac:dyDescent="0.25">
      <c r="B30" s="1" t="s">
        <v>56</v>
      </c>
      <c r="AP30" s="30" t="s">
        <v>51</v>
      </c>
      <c r="AQ30" s="128" t="e">
        <f>INDEX(chiffres,MATCH(Recap!AO15,DN,0),MATCH(Recap!AO14,mois,0))</f>
        <v>#N/A</v>
      </c>
      <c r="AR30" s="128" t="e">
        <f>INDEX(chiffres,MATCH(Recap!AP15,DN,0),MATCH(Recap!AP14,mois,0))</f>
        <v>#N/A</v>
      </c>
      <c r="AW30" s="128" t="e">
        <f>INDEX(chiffres,MATCH(Recap!AU15,DN,0),MATCH(Recap!AU14,mois,0))</f>
        <v>#N/A</v>
      </c>
    </row>
    <row r="31" spans="2:49" ht="15" customHeight="1" x14ac:dyDescent="0.25">
      <c r="AP31" s="30" t="s">
        <v>52</v>
      </c>
      <c r="AQ31" s="128" t="e">
        <f>INDEX(chiffres,MATCH(Recap!AO17,DN,0),MATCH(Recap!AO16,mois,0))</f>
        <v>#N/A</v>
      </c>
      <c r="AR31" s="128" t="e">
        <f>INDEX(chiffres,MATCH(Recap!AP17,DN,0),MATCH(Recap!AP16,mois,0))</f>
        <v>#N/A</v>
      </c>
      <c r="AW31" s="128" t="e">
        <f>INDEX(chiffres,MATCH(Recap!AU17,DN,0),MATCH(Recap!AU16,mois,0))</f>
        <v>#N/A</v>
      </c>
    </row>
    <row r="32" spans="2:49" ht="15.75" thickBot="1" x14ac:dyDescent="0.3">
      <c r="AP32" s="30" t="s">
        <v>53</v>
      </c>
      <c r="AQ32" s="129" t="e">
        <f>INDEX(chiffres,MATCH(Recap!AO19,DN,0),MATCH(Recap!AO18,mois,0))</f>
        <v>#N/A</v>
      </c>
      <c r="AR32" s="129" t="e">
        <f>INDEX(chiffres,MATCH(Recap!AP19,DN,0),MATCH(Recap!AP18,mois,0))</f>
        <v>#N/A</v>
      </c>
      <c r="AW32" s="129" t="e">
        <f>INDEX(chiffres,MATCH(Recap!AU19,DN,0),MATCH(Recap!AU18,mois,0))</f>
        <v>#N/A</v>
      </c>
    </row>
    <row r="33" spans="2:49" ht="18.75" thickBot="1" x14ac:dyDescent="0.3">
      <c r="B33" s="10"/>
      <c r="C33" s="10"/>
      <c r="D33" s="11"/>
      <c r="E33" s="11"/>
      <c r="F33" s="11"/>
      <c r="AP33" s="1"/>
      <c r="AQ33" s="65"/>
      <c r="AR33" s="65"/>
      <c r="AW33" s="65"/>
    </row>
    <row r="34" spans="2:49" ht="18.75" thickBot="1" x14ac:dyDescent="0.3">
      <c r="B34" s="10"/>
      <c r="C34" s="10"/>
      <c r="D34" s="11"/>
      <c r="E34" s="11"/>
      <c r="F34" s="11"/>
      <c r="AP34" s="39" t="s">
        <v>17</v>
      </c>
      <c r="AQ34" s="106"/>
      <c r="AR34" s="106"/>
      <c r="AW34" s="106"/>
    </row>
    <row r="35" spans="2:49" ht="18" x14ac:dyDescent="0.25">
      <c r="B35" s="10"/>
      <c r="C35" s="10"/>
      <c r="D35" s="11"/>
      <c r="E35" s="11"/>
      <c r="F35" s="11"/>
      <c r="AP35" s="40" t="s">
        <v>18</v>
      </c>
      <c r="AQ35" s="142" t="e">
        <f>AQ30*0.001+0.3*2+IF(AQ31=0,0,AQ31*0.001+0.3*2)+IF(AQ32=0,0,AQ32*0.001+0.3*2)</f>
        <v>#N/A</v>
      </c>
      <c r="AR35" s="142" t="e">
        <f>AR30*0.001+0.3*2+IF(AR31=0,0,AR31*0.001+0.3*2)+IF(AR32=0,0,AR32*0.001+0.3*2)</f>
        <v>#N/A</v>
      </c>
      <c r="AW35" s="142" t="e">
        <f>AW30*0.001+0.3*2+IF(AW31=0,0,AW31*0.001+0.3*2)+IF(AW32=0,0,AW32*0.001+0.3*2)</f>
        <v>#N/A</v>
      </c>
    </row>
    <row r="36" spans="2:49" ht="18" x14ac:dyDescent="0.25">
      <c r="B36" s="10"/>
      <c r="C36" s="10"/>
      <c r="D36" s="11"/>
      <c r="E36" s="11"/>
      <c r="F36" s="11"/>
      <c r="AP36" s="40" t="s">
        <v>19</v>
      </c>
      <c r="AQ36" s="90" t="e">
        <f t="shared" ref="AQ36:AR36" si="2">AQ17*AQ35*AQ29</f>
        <v>#N/A</v>
      </c>
      <c r="AR36" s="90" t="e">
        <f t="shared" si="2"/>
        <v>#N/A</v>
      </c>
      <c r="AW36" s="90" t="e">
        <f t="shared" ref="AW36" si="3">AW17*AW35*AW29</f>
        <v>#N/A</v>
      </c>
    </row>
    <row r="37" spans="2:49" x14ac:dyDescent="0.25">
      <c r="B37" s="10"/>
      <c r="C37" s="10"/>
      <c r="AP37" s="40" t="s">
        <v>20</v>
      </c>
      <c r="AQ37" s="90">
        <f>AQ21*'Données de fonctionnement '!$C$22*6*AQ29</f>
        <v>0</v>
      </c>
      <c r="AR37" s="90">
        <f>AR21*'Données de fonctionnement '!$C$22*6*AR29</f>
        <v>0</v>
      </c>
      <c r="AW37" s="90">
        <f>AW21*'Données de fonctionnement '!$C$22*6*AW29</f>
        <v>0</v>
      </c>
    </row>
    <row r="38" spans="2:49" x14ac:dyDescent="0.25">
      <c r="AP38" s="40" t="s">
        <v>21</v>
      </c>
      <c r="AQ38" s="87">
        <f>AQ37/'Données de fonctionnement '!$C$22</f>
        <v>0</v>
      </c>
      <c r="AR38" s="87">
        <f>AR37/'Données de fonctionnement '!$C$22</f>
        <v>0</v>
      </c>
      <c r="AW38" s="87">
        <f>AW37/'Données de fonctionnement '!$C$22</f>
        <v>0</v>
      </c>
    </row>
    <row r="39" spans="2:49" ht="15.75" thickBot="1" x14ac:dyDescent="0.3">
      <c r="AP39" s="1"/>
      <c r="AQ39" s="65"/>
      <c r="AR39" s="65"/>
      <c r="AW39" s="65"/>
    </row>
    <row r="40" spans="2:49" ht="16.5" thickBot="1" x14ac:dyDescent="0.3">
      <c r="AP40" s="34" t="s">
        <v>22</v>
      </c>
      <c r="AQ40" s="99"/>
      <c r="AR40" s="99"/>
      <c r="AW40" s="99"/>
    </row>
    <row r="41" spans="2:49" x14ac:dyDescent="0.25">
      <c r="AP41" s="35" t="s">
        <v>23</v>
      </c>
      <c r="AQ41" s="156" t="e">
        <f>PI()*(((AQ30)/1000)^2/4)*AQ29+PI()*(((AQ31)/1000)^2/4)*AQ29+PI()*(((AQ32)/1000)^2/4)*AQ29</f>
        <v>#N/A</v>
      </c>
      <c r="AR41" s="156" t="e">
        <f>PI()*(((AR30)/1000)^2/4)*AR29+PI()*(((AR31)/1000)^2/4)*AR29+PI()*(((AR32)/1000)^2/4)*AR29</f>
        <v>#N/A</v>
      </c>
      <c r="AW41" s="156" t="e">
        <f>PI()*(((AW30)/1000)^2/4)*AW29+PI()*(((AW31)/1000)^2/4)*AW29+PI()*(((AW32)/1000)^2/4)*AW29</f>
        <v>#N/A</v>
      </c>
    </row>
    <row r="42" spans="2:49" x14ac:dyDescent="0.25">
      <c r="AP42" s="35" t="s">
        <v>24</v>
      </c>
      <c r="AQ42" s="89" t="e">
        <f>AQ29*AQ35*'Données de fonctionnement '!$C$21*(AQ22+AQ25)</f>
        <v>#N/A</v>
      </c>
      <c r="AR42" s="89" t="e">
        <f>AR29*AR35*'Données de fonctionnement '!$C$21*(AR22+AR25)</f>
        <v>#N/A</v>
      </c>
      <c r="AW42" s="89" t="e">
        <f>AW29*AW35*'Données de fonctionnement '!$C$21*(AW22+AW25)</f>
        <v>#N/A</v>
      </c>
    </row>
    <row r="43" spans="2:49" x14ac:dyDescent="0.25">
      <c r="AP43" s="35" t="s">
        <v>25</v>
      </c>
      <c r="AQ43" s="89" t="e">
        <f>IF((1-AQ26)*(AQ29*AQ35*AQ17-AQ44-AQ29*PI()*((AQ30)/1000)^2/4-AQ42)&lt;0,0,(1-AQ26)*(AQ29*AQ35*AQ17-AQ44-AQ29*PI()*((AQ30)/1000)^2/4-AQ42))</f>
        <v>#N/A</v>
      </c>
      <c r="AR43" s="89" t="e">
        <f>IF((1-AR26)*(AR29*AR35*AR17-AR44-AR29*PI()*((AR30)/1000)^2/4-AR42)&lt;0,0,(1-AR26)*(AR29*AR35*AR17-AR44-AR29*PI()*((AR30)/1000)^2/4-AR42))</f>
        <v>#N/A</v>
      </c>
      <c r="AW43" s="89" t="e">
        <f>IF((1-AW26)*(AW29*AW35*AW17-AW44-AW29*PI()*((AW30)/1000)^2/4-AW42)&lt;0,0,(1-AW26)*(AW29*AW35*AW17-AW44-AW29*PI()*((AW30)/1000)^2/4-AW42))</f>
        <v>#N/A</v>
      </c>
    </row>
    <row r="44" spans="2:49" x14ac:dyDescent="0.25">
      <c r="AP44" s="35" t="s">
        <v>26</v>
      </c>
      <c r="AQ44" s="89" t="e">
        <f>((AQ30)/1000+'Données de fonctionnement '!$C$3)*AQ35*AQ29-PI()*((AQ30)/1000)^2/4*AQ29</f>
        <v>#N/A</v>
      </c>
      <c r="AR44" s="89" t="e">
        <f>((AR30)/1000+'Données de fonctionnement '!$C$3)*AR35*AR29-PI()*((AR30)/1000)^2/4*AR29</f>
        <v>#N/A</v>
      </c>
      <c r="AW44" s="89" t="e">
        <f>((AW30)/1000+'Données de fonctionnement '!$C$3)*AW35*AW29-PI()*((AW30)/1000)^2/4*AW29</f>
        <v>#N/A</v>
      </c>
    </row>
    <row r="45" spans="2:49" x14ac:dyDescent="0.25">
      <c r="AP45" s="35" t="s">
        <v>27</v>
      </c>
      <c r="AQ45" s="89" t="e">
        <f>AQ36-AQ46</f>
        <v>#N/A</v>
      </c>
      <c r="AR45" s="89" t="e">
        <f>AR36-AR46</f>
        <v>#N/A</v>
      </c>
      <c r="AW45" s="89" t="e">
        <f>AW36-AW46</f>
        <v>#N/A</v>
      </c>
    </row>
    <row r="46" spans="2:49" x14ac:dyDescent="0.25">
      <c r="AP46" s="35" t="s">
        <v>28</v>
      </c>
      <c r="AQ46" s="157" t="e">
        <f t="shared" ref="AQ46:AR46" si="4">IF(AQ26*(AQ17*AQ35*AQ29-AQ44-AQ42-PI()*((AQ30)/1000)^2/4*AQ29)&lt;0,0,(AQ26*(AQ17*AQ35*AQ29-AQ44-AQ42-PI()*((AQ30)/1000)^2/4*AQ29)))</f>
        <v>#N/A</v>
      </c>
      <c r="AR46" s="157" t="e">
        <f t="shared" si="4"/>
        <v>#N/A</v>
      </c>
      <c r="AW46" s="157" t="e">
        <f t="shared" ref="AW46" si="5">IF(AW26*(AW17*AW35*AW29-AW44-AW42-PI()*((AW30)/1000)^2/4*AW29)&lt;0,0,(AW26*(AW17*AW35*AW29-AW44-AW42-PI()*((AW30)/1000)^2/4*AW29)))</f>
        <v>#N/A</v>
      </c>
    </row>
    <row r="47" spans="2:49" ht="15.75" thickBot="1" x14ac:dyDescent="0.3">
      <c r="AP47" s="1"/>
      <c r="AQ47" s="65"/>
      <c r="AR47" s="65"/>
      <c r="AW47" s="65"/>
    </row>
    <row r="48" spans="2:49" ht="16.5" thickBot="1" x14ac:dyDescent="0.3">
      <c r="AP48" s="39" t="s">
        <v>29</v>
      </c>
      <c r="AQ48" s="106"/>
      <c r="AR48" s="106"/>
      <c r="AW48" s="106"/>
    </row>
    <row r="49" spans="42:49" ht="30" x14ac:dyDescent="0.25">
      <c r="AP49" s="40" t="s">
        <v>30</v>
      </c>
      <c r="AQ49" s="156">
        <f t="shared" ref="AQ49:AR49" si="6">(AQ25+AQ23)*AQ29</f>
        <v>0</v>
      </c>
      <c r="AR49" s="156">
        <f t="shared" si="6"/>
        <v>0</v>
      </c>
      <c r="AW49" s="156">
        <f t="shared" ref="AW49" si="7">(AW25+AW23)*AW29</f>
        <v>0</v>
      </c>
    </row>
    <row r="50" spans="42:49" x14ac:dyDescent="0.25">
      <c r="AP50" s="40" t="s">
        <v>31</v>
      </c>
      <c r="AQ50" s="89" t="e">
        <f>(AQ23)*(AQ35+'Données de fonctionnement '!$C$4*2)*AQ29</f>
        <v>#N/A</v>
      </c>
      <c r="AR50" s="89" t="e">
        <f>(AR23)*(AR35+'Données de fonctionnement '!$C$4*2)*AR29</f>
        <v>#N/A</v>
      </c>
      <c r="AW50" s="89" t="e">
        <f>(AW23)*(AW35+'Données de fonctionnement '!$C$4*2)*AW29</f>
        <v>#N/A</v>
      </c>
    </row>
    <row r="51" spans="42:49" x14ac:dyDescent="0.25">
      <c r="AP51" s="40" t="s">
        <v>32</v>
      </c>
      <c r="AQ51" s="89" t="e">
        <f>AQ50*'Données de fonctionnement '!$C$23</f>
        <v>#N/A</v>
      </c>
      <c r="AR51" s="89" t="e">
        <f>AR50*'Données de fonctionnement '!$C$23</f>
        <v>#N/A</v>
      </c>
      <c r="AW51" s="89" t="e">
        <f>AW50*'Données de fonctionnement '!$C$23</f>
        <v>#N/A</v>
      </c>
    </row>
    <row r="52" spans="42:49" x14ac:dyDescent="0.25">
      <c r="AP52" s="40" t="s">
        <v>33</v>
      </c>
      <c r="AQ52" s="89" t="e">
        <f>(AQ24)*(AQ35+'Données de fonctionnement '!$C$4*2)*AQ29</f>
        <v>#N/A</v>
      </c>
      <c r="AR52" s="89" t="e">
        <f>(AR24)*(AR35+'Données de fonctionnement '!$C$4*2)*AR29</f>
        <v>#N/A</v>
      </c>
      <c r="AW52" s="89" t="e">
        <f>(AW24)*(AW35+'Données de fonctionnement '!$C$4*2)*AW29</f>
        <v>#N/A</v>
      </c>
    </row>
    <row r="53" spans="42:49" x14ac:dyDescent="0.25">
      <c r="AP53" s="40" t="s">
        <v>34</v>
      </c>
      <c r="AQ53" s="89" t="e">
        <f>AQ52*'Données de fonctionnement '!$C$25</f>
        <v>#N/A</v>
      </c>
      <c r="AR53" s="89" t="e">
        <f>AR52*'Données de fonctionnement '!$C$25</f>
        <v>#N/A</v>
      </c>
      <c r="AW53" s="89" t="e">
        <f>AW52*'Données de fonctionnement '!$C$25</f>
        <v>#N/A</v>
      </c>
    </row>
    <row r="54" spans="42:49" x14ac:dyDescent="0.25">
      <c r="AP54" s="40" t="s">
        <v>35</v>
      </c>
      <c r="AQ54" s="89" t="e">
        <f>AQ25*(AQ35+'Données de fonctionnement '!$C$4*2)*AQ29</f>
        <v>#N/A</v>
      </c>
      <c r="AR54" s="89" t="e">
        <f>AR25*(AR35+'Données de fonctionnement '!$C$4*2)*AR29</f>
        <v>#N/A</v>
      </c>
      <c r="AW54" s="89" t="e">
        <f>AW25*(AW35+'Données de fonctionnement '!$C$4*2)*AW29</f>
        <v>#N/A</v>
      </c>
    </row>
    <row r="55" spans="42:49" x14ac:dyDescent="0.25">
      <c r="AP55" s="40" t="s">
        <v>36</v>
      </c>
      <c r="AQ55" s="157" t="e">
        <f>AQ54*'Données de fonctionnement '!$C$24</f>
        <v>#N/A</v>
      </c>
      <c r="AR55" s="157" t="e">
        <f>AR54*'Données de fonctionnement '!$C$24</f>
        <v>#N/A</v>
      </c>
      <c r="AW55" s="157" t="e">
        <f>AW54*'Données de fonctionnement '!$C$24</f>
        <v>#N/A</v>
      </c>
    </row>
    <row r="56" spans="42:49" ht="15.75" thickBot="1" x14ac:dyDescent="0.3">
      <c r="AP56" s="8"/>
      <c r="AQ56" s="64"/>
      <c r="AR56" s="64"/>
      <c r="AW56" s="64"/>
    </row>
    <row r="57" spans="42:49" ht="16.5" thickBot="1" x14ac:dyDescent="0.3">
      <c r="AP57" s="36" t="s">
        <v>54</v>
      </c>
      <c r="AQ57" s="110"/>
      <c r="AR57" s="110"/>
      <c r="AW57" s="110"/>
    </row>
    <row r="58" spans="42:49" ht="15.75" thickBot="1" x14ac:dyDescent="0.3">
      <c r="AP58" s="35" t="s">
        <v>58</v>
      </c>
      <c r="AQ58" s="165">
        <f>AQ29*(AQ25+AQ23)</f>
        <v>0</v>
      </c>
      <c r="AR58" s="165">
        <f>AR29*(AR25+AR23)</f>
        <v>0</v>
      </c>
      <c r="AW58" s="165">
        <f>AW29*(AW25+AW23)</f>
        <v>0</v>
      </c>
    </row>
    <row r="59" spans="42:49" x14ac:dyDescent="0.25">
      <c r="AP59" s="1"/>
      <c r="AQ59" s="64"/>
      <c r="AR59" s="64"/>
      <c r="AW59" s="64"/>
    </row>
    <row r="60" spans="42:49" ht="15.75" x14ac:dyDescent="0.25">
      <c r="AP60" s="39" t="s">
        <v>55</v>
      </c>
      <c r="AQ60" s="64"/>
      <c r="AR60" s="64"/>
      <c r="AW60" s="64"/>
    </row>
    <row r="61" spans="42:49" x14ac:dyDescent="0.25">
      <c r="AP61" s="40" t="s">
        <v>59</v>
      </c>
      <c r="AQ61" s="64"/>
      <c r="AR61" s="64"/>
      <c r="AW61" s="64"/>
    </row>
    <row r="62" spans="42:49" x14ac:dyDescent="0.25">
      <c r="AP62" s="40" t="s">
        <v>60</v>
      </c>
      <c r="AQ62" s="64"/>
      <c r="AR62" s="64"/>
      <c r="AW62" s="64"/>
    </row>
    <row r="63" spans="42:49" x14ac:dyDescent="0.25">
      <c r="AP63" s="1"/>
      <c r="AQ63" s="64"/>
      <c r="AR63" s="64"/>
      <c r="AW63" s="64"/>
    </row>
    <row r="64" spans="42:49" x14ac:dyDescent="0.25">
      <c r="AP64" s="8"/>
      <c r="AQ64" s="8"/>
      <c r="AR64" s="8"/>
      <c r="AW64" s="8"/>
    </row>
    <row r="65" spans="42:44" x14ac:dyDescent="0.25">
      <c r="AP65" s="8"/>
      <c r="AQ65" s="8"/>
      <c r="AR65" s="8"/>
    </row>
    <row r="66" spans="42:44" x14ac:dyDescent="0.25">
      <c r="AP66" s="8"/>
      <c r="AQ66" s="8"/>
      <c r="AR66" s="8"/>
    </row>
    <row r="67" spans="42:44" x14ac:dyDescent="0.25">
      <c r="AP67" s="8"/>
      <c r="AQ67" s="8"/>
      <c r="AR67" s="8"/>
    </row>
    <row r="68" spans="42:44" ht="18" x14ac:dyDescent="0.25">
      <c r="AP68" s="10"/>
      <c r="AQ68" s="11"/>
      <c r="AR68" s="11"/>
    </row>
    <row r="69" spans="42:44" ht="18" x14ac:dyDescent="0.25">
      <c r="AP69" s="10"/>
      <c r="AQ69" s="11"/>
      <c r="AR69" s="11"/>
    </row>
    <row r="70" spans="42:44" ht="18" x14ac:dyDescent="0.25">
      <c r="AP70" s="10"/>
      <c r="AQ70" s="11"/>
      <c r="AR70" s="11"/>
    </row>
    <row r="71" spans="42:44" ht="18" x14ac:dyDescent="0.25">
      <c r="AP71" s="10"/>
      <c r="AQ71" s="11"/>
      <c r="AR71" s="11"/>
    </row>
    <row r="72" spans="42:44" ht="18" x14ac:dyDescent="0.25">
      <c r="AP72" s="10"/>
      <c r="AQ72" s="11"/>
      <c r="AR72" s="11"/>
    </row>
    <row r="73" spans="42:44" ht="18" x14ac:dyDescent="0.25">
      <c r="AP73" s="10"/>
      <c r="AQ73" s="11"/>
      <c r="AR73" s="11"/>
    </row>
    <row r="74" spans="42:44" ht="18" x14ac:dyDescent="0.25">
      <c r="AP74" s="10"/>
      <c r="AQ74" s="11"/>
      <c r="AR74" s="11"/>
    </row>
    <row r="75" spans="42:44" ht="18" x14ac:dyDescent="0.25">
      <c r="AP75" s="10"/>
      <c r="AQ75" s="11"/>
      <c r="AR75" s="11"/>
    </row>
    <row r="76" spans="42:44" ht="18" x14ac:dyDescent="0.25">
      <c r="AP76" s="10"/>
      <c r="AQ76" s="11"/>
      <c r="AR76" s="11"/>
    </row>
    <row r="77" spans="42:44" x14ac:dyDescent="0.25">
      <c r="AP77" s="10"/>
    </row>
    <row r="78" spans="42:44" x14ac:dyDescent="0.25">
      <c r="AP78" s="10"/>
    </row>
    <row r="79" spans="42:44" x14ac:dyDescent="0.25">
      <c r="AP79" s="10"/>
    </row>
    <row r="80" spans="42:44" x14ac:dyDescent="0.25">
      <c r="AP80" s="10"/>
    </row>
    <row r="81" spans="42:42" x14ac:dyDescent="0.25">
      <c r="AP81" s="10"/>
    </row>
    <row r="82" spans="42:42" x14ac:dyDescent="0.25">
      <c r="AP82" s="10"/>
    </row>
    <row r="83" spans="42:42" x14ac:dyDescent="0.25">
      <c r="AP83" s="10"/>
    </row>
    <row r="84" spans="42:42" x14ac:dyDescent="0.25">
      <c r="AP84" s="9"/>
    </row>
    <row r="85" spans="42:42" x14ac:dyDescent="0.25">
      <c r="AP85" s="10"/>
    </row>
    <row r="86" spans="42:42" x14ac:dyDescent="0.25">
      <c r="AP86" s="9"/>
    </row>
    <row r="87" spans="42:42" x14ac:dyDescent="0.25">
      <c r="AP87" s="9"/>
    </row>
    <row r="88" spans="42:42" x14ac:dyDescent="0.25">
      <c r="AP88" s="9"/>
    </row>
    <row r="89" spans="42:42" x14ac:dyDescent="0.25">
      <c r="AP89" s="9"/>
    </row>
    <row r="90" spans="42:42" x14ac:dyDescent="0.25">
      <c r="AP90" s="9"/>
    </row>
    <row r="91" spans="42:42" x14ac:dyDescent="0.25">
      <c r="AP91" s="9"/>
    </row>
    <row r="92" spans="42:42" x14ac:dyDescent="0.25">
      <c r="AP92" s="9"/>
    </row>
    <row r="93" spans="42:42" x14ac:dyDescent="0.25">
      <c r="AP93" s="9"/>
    </row>
    <row r="94" spans="42:42" x14ac:dyDescent="0.25">
      <c r="AP94" s="9"/>
    </row>
    <row r="95" spans="42:42" x14ac:dyDescent="0.25">
      <c r="AP95" s="9"/>
    </row>
    <row r="96" spans="42:42" x14ac:dyDescent="0.25">
      <c r="AP96" s="9"/>
    </row>
    <row r="97" spans="42:42" x14ac:dyDescent="0.25">
      <c r="AP97" s="9"/>
    </row>
    <row r="98" spans="42:42" x14ac:dyDescent="0.25">
      <c r="AP98" s="9"/>
    </row>
    <row r="99" spans="42:42" x14ac:dyDescent="0.25">
      <c r="AP99" s="9"/>
    </row>
    <row r="100" spans="42:42" x14ac:dyDescent="0.25">
      <c r="AP100" s="9"/>
    </row>
    <row r="101" spans="42:42" x14ac:dyDescent="0.25">
      <c r="AP101" s="9"/>
    </row>
    <row r="102" spans="42:42" x14ac:dyDescent="0.25">
      <c r="AP102" s="9"/>
    </row>
    <row r="103" spans="42:42" x14ac:dyDescent="0.25">
      <c r="AP103" s="9"/>
    </row>
    <row r="104" spans="42:42" x14ac:dyDescent="0.25">
      <c r="AP104" s="9"/>
    </row>
    <row r="105" spans="42:42" x14ac:dyDescent="0.25">
      <c r="AP105" s="9"/>
    </row>
    <row r="106" spans="42:42" x14ac:dyDescent="0.25">
      <c r="AP106" s="9"/>
    </row>
    <row r="107" spans="42:42" x14ac:dyDescent="0.25">
      <c r="AP107" s="9"/>
    </row>
    <row r="108" spans="42:42" x14ac:dyDescent="0.25">
      <c r="AP108" s="9"/>
    </row>
    <row r="109" spans="42:42" x14ac:dyDescent="0.25">
      <c r="AP109" s="9"/>
    </row>
    <row r="110" spans="42:42" x14ac:dyDescent="0.25">
      <c r="AP110" s="9"/>
    </row>
    <row r="111" spans="42:42" x14ac:dyDescent="0.25">
      <c r="AP111" s="9"/>
    </row>
    <row r="112" spans="42:42" x14ac:dyDescent="0.25">
      <c r="AP112" s="9"/>
    </row>
    <row r="113" spans="42:42" x14ac:dyDescent="0.25">
      <c r="AP113" s="9"/>
    </row>
    <row r="114" spans="42:42" x14ac:dyDescent="0.25">
      <c r="AP114" s="9"/>
    </row>
    <row r="115" spans="42:42" x14ac:dyDescent="0.25">
      <c r="AP115" s="9"/>
    </row>
    <row r="116" spans="42:42" x14ac:dyDescent="0.25">
      <c r="AP116" s="9"/>
    </row>
    <row r="117" spans="42:42" x14ac:dyDescent="0.25">
      <c r="AP117" s="9"/>
    </row>
    <row r="118" spans="42:42" x14ac:dyDescent="0.25">
      <c r="AP118" s="9"/>
    </row>
    <row r="119" spans="42:42" x14ac:dyDescent="0.25">
      <c r="AP119" s="9"/>
    </row>
    <row r="120" spans="42:42" x14ac:dyDescent="0.25">
      <c r="AP120" s="9"/>
    </row>
    <row r="121" spans="42:42" x14ac:dyDescent="0.25">
      <c r="AP121" s="9"/>
    </row>
    <row r="122" spans="42:42" x14ac:dyDescent="0.25">
      <c r="AP122" s="9"/>
    </row>
    <row r="123" spans="42:42" x14ac:dyDescent="0.25">
      <c r="AP123" s="9"/>
    </row>
    <row r="124" spans="42:42" x14ac:dyDescent="0.25">
      <c r="AP124" s="9"/>
    </row>
    <row r="125" spans="42:42" x14ac:dyDescent="0.25">
      <c r="AP125" s="9"/>
    </row>
    <row r="126" spans="42:42" x14ac:dyDescent="0.25">
      <c r="AP126" s="9"/>
    </row>
    <row r="127" spans="42:42" x14ac:dyDescent="0.25">
      <c r="AP127" s="9"/>
    </row>
    <row r="128" spans="42:42" x14ac:dyDescent="0.25">
      <c r="AP128" s="9"/>
    </row>
    <row r="129" spans="42:42" x14ac:dyDescent="0.25">
      <c r="AP129" s="9"/>
    </row>
    <row r="130" spans="42:42" x14ac:dyDescent="0.25">
      <c r="AP130" s="9"/>
    </row>
    <row r="131" spans="42:42" x14ac:dyDescent="0.25">
      <c r="AP131" s="9"/>
    </row>
    <row r="132" spans="42:42" x14ac:dyDescent="0.25">
      <c r="AP132" s="9"/>
    </row>
    <row r="133" spans="42:42" x14ac:dyDescent="0.25">
      <c r="AP133" s="9"/>
    </row>
    <row r="134" spans="42:42" x14ac:dyDescent="0.25">
      <c r="AP134" s="9"/>
    </row>
    <row r="135" spans="42:42" x14ac:dyDescent="0.25">
      <c r="AP135" s="9"/>
    </row>
    <row r="136" spans="42:42" x14ac:dyDescent="0.25">
      <c r="AP136" s="9"/>
    </row>
    <row r="137" spans="42:42" x14ac:dyDescent="0.25">
      <c r="AP137" s="9"/>
    </row>
    <row r="138" spans="42:42" x14ac:dyDescent="0.25">
      <c r="AP138" s="9"/>
    </row>
    <row r="139" spans="42:42" x14ac:dyDescent="0.25">
      <c r="AP139" s="9"/>
    </row>
    <row r="140" spans="42:42" x14ac:dyDescent="0.25">
      <c r="AP140" s="9"/>
    </row>
    <row r="141" spans="42:42" x14ac:dyDescent="0.25">
      <c r="AP141" s="9"/>
    </row>
    <row r="142" spans="42:42" x14ac:dyDescent="0.25">
      <c r="AP142" s="9"/>
    </row>
    <row r="143" spans="42:42" x14ac:dyDescent="0.25">
      <c r="AP143" s="9"/>
    </row>
    <row r="144" spans="42:42" x14ac:dyDescent="0.25">
      <c r="AP144" s="9"/>
    </row>
    <row r="145" spans="42:42" x14ac:dyDescent="0.25">
      <c r="AP145" s="9"/>
    </row>
    <row r="146" spans="42:42" x14ac:dyDescent="0.25">
      <c r="AP146" s="9"/>
    </row>
    <row r="147" spans="42:42" x14ac:dyDescent="0.25">
      <c r="AP147" s="9"/>
    </row>
    <row r="148" spans="42:42" x14ac:dyDescent="0.25">
      <c r="AP148" s="9"/>
    </row>
    <row r="149" spans="42:42" x14ac:dyDescent="0.25">
      <c r="AP149" s="9"/>
    </row>
    <row r="150" spans="42:42" x14ac:dyDescent="0.25">
      <c r="AP150" s="9"/>
    </row>
    <row r="151" spans="42:42" x14ac:dyDescent="0.25">
      <c r="AP151" s="9"/>
    </row>
    <row r="152" spans="42:42" x14ac:dyDescent="0.25">
      <c r="AP152" s="9"/>
    </row>
    <row r="153" spans="42:42" x14ac:dyDescent="0.25">
      <c r="AP153" s="9"/>
    </row>
    <row r="154" spans="42:42" x14ac:dyDescent="0.25">
      <c r="AP154" s="9"/>
    </row>
    <row r="155" spans="42:42" x14ac:dyDescent="0.25">
      <c r="AP155" s="9"/>
    </row>
    <row r="156" spans="42:42" x14ac:dyDescent="0.25">
      <c r="AP156" s="9"/>
    </row>
    <row r="157" spans="42:42" x14ac:dyDescent="0.25">
      <c r="AP157" s="9"/>
    </row>
    <row r="158" spans="42:42" x14ac:dyDescent="0.25">
      <c r="AP158" s="9"/>
    </row>
    <row r="159" spans="42:42" x14ac:dyDescent="0.25">
      <c r="AP159" s="9"/>
    </row>
    <row r="160" spans="42:42" x14ac:dyDescent="0.25">
      <c r="AP160" s="9"/>
    </row>
    <row r="161" spans="42:42" x14ac:dyDescent="0.25">
      <c r="AP161" s="9"/>
    </row>
    <row r="162" spans="42:42" x14ac:dyDescent="0.25">
      <c r="AP162" s="9"/>
    </row>
    <row r="163" spans="42:42" x14ac:dyDescent="0.25">
      <c r="AP163" s="9"/>
    </row>
    <row r="164" spans="42:42" x14ac:dyDescent="0.25">
      <c r="AP164" s="9"/>
    </row>
    <row r="165" spans="42:42" x14ac:dyDescent="0.25">
      <c r="AP165" s="9"/>
    </row>
    <row r="166" spans="42:42" x14ac:dyDescent="0.25">
      <c r="AP166" s="9"/>
    </row>
    <row r="167" spans="42:42" x14ac:dyDescent="0.25">
      <c r="AP167" s="9"/>
    </row>
    <row r="168" spans="42:42" x14ac:dyDescent="0.25">
      <c r="AP168" s="9"/>
    </row>
    <row r="169" spans="42:42" x14ac:dyDescent="0.25">
      <c r="AP169" s="9"/>
    </row>
    <row r="170" spans="42:42" x14ac:dyDescent="0.25">
      <c r="AP170" s="9"/>
    </row>
    <row r="171" spans="42:42" x14ac:dyDescent="0.25">
      <c r="AP171" s="9"/>
    </row>
    <row r="172" spans="42:42" x14ac:dyDescent="0.25">
      <c r="AP172" s="9"/>
    </row>
    <row r="173" spans="42:42" x14ac:dyDescent="0.25">
      <c r="AP173" s="9"/>
    </row>
    <row r="174" spans="42:42" x14ac:dyDescent="0.25">
      <c r="AP174" s="9"/>
    </row>
    <row r="175" spans="42:42" x14ac:dyDescent="0.25">
      <c r="AP175" s="9"/>
    </row>
    <row r="176" spans="42:42" x14ac:dyDescent="0.25">
      <c r="AP176" s="9"/>
    </row>
    <row r="177" spans="42:42" x14ac:dyDescent="0.25">
      <c r="AP177" s="9"/>
    </row>
    <row r="178" spans="42:42" x14ac:dyDescent="0.25">
      <c r="AP178" s="9"/>
    </row>
    <row r="179" spans="42:42" x14ac:dyDescent="0.25">
      <c r="AP179" s="9"/>
    </row>
    <row r="180" spans="42:42" x14ac:dyDescent="0.25">
      <c r="AP180" s="9"/>
    </row>
    <row r="181" spans="42:42" x14ac:dyDescent="0.25">
      <c r="AP181" s="9"/>
    </row>
    <row r="182" spans="42:42" x14ac:dyDescent="0.25">
      <c r="AP182" s="9"/>
    </row>
    <row r="183" spans="42:42" x14ac:dyDescent="0.25">
      <c r="AP183" s="9"/>
    </row>
    <row r="184" spans="42:42" x14ac:dyDescent="0.25">
      <c r="AP184" s="9"/>
    </row>
    <row r="185" spans="42:42" x14ac:dyDescent="0.25">
      <c r="AP185" s="9"/>
    </row>
    <row r="186" spans="42:42" x14ac:dyDescent="0.25">
      <c r="AP186" s="9"/>
    </row>
    <row r="187" spans="42:42" x14ac:dyDescent="0.25">
      <c r="AP187" s="9"/>
    </row>
    <row r="188" spans="42:42" x14ac:dyDescent="0.25">
      <c r="AP188" s="9"/>
    </row>
    <row r="189" spans="42:42" x14ac:dyDescent="0.25">
      <c r="AP189" s="9"/>
    </row>
    <row r="190" spans="42:42" x14ac:dyDescent="0.25">
      <c r="AP190" s="9"/>
    </row>
    <row r="191" spans="42:42" x14ac:dyDescent="0.25">
      <c r="AP191" s="9"/>
    </row>
    <row r="192" spans="42:42" x14ac:dyDescent="0.25">
      <c r="AP192" s="9"/>
    </row>
    <row r="193" spans="42:42" x14ac:dyDescent="0.25">
      <c r="AP193" s="9"/>
    </row>
    <row r="194" spans="42:42" x14ac:dyDescent="0.25">
      <c r="AP194" s="9"/>
    </row>
    <row r="195" spans="42:42" x14ac:dyDescent="0.25">
      <c r="AP195" s="9"/>
    </row>
    <row r="196" spans="42:42" x14ac:dyDescent="0.25">
      <c r="AP196" s="9"/>
    </row>
    <row r="197" spans="42:42" x14ac:dyDescent="0.25">
      <c r="AP197" s="9"/>
    </row>
    <row r="198" spans="42:42" x14ac:dyDescent="0.25">
      <c r="AP198" s="9"/>
    </row>
    <row r="199" spans="42:42" x14ac:dyDescent="0.25">
      <c r="AP199" s="9"/>
    </row>
    <row r="200" spans="42:42" x14ac:dyDescent="0.25">
      <c r="AP200" s="9"/>
    </row>
    <row r="201" spans="42:42" x14ac:dyDescent="0.25">
      <c r="AP201" s="9"/>
    </row>
    <row r="202" spans="42:42" x14ac:dyDescent="0.25">
      <c r="AP202" s="9"/>
    </row>
    <row r="203" spans="42:42" x14ac:dyDescent="0.25">
      <c r="AP203" s="9"/>
    </row>
    <row r="204" spans="42:42" x14ac:dyDescent="0.25">
      <c r="AP204" s="9"/>
    </row>
    <row r="205" spans="42:42" x14ac:dyDescent="0.25">
      <c r="AP205" s="9"/>
    </row>
    <row r="206" spans="42:42" x14ac:dyDescent="0.25">
      <c r="AP206" s="9"/>
    </row>
    <row r="207" spans="42:42" x14ac:dyDescent="0.25">
      <c r="AP207" s="9"/>
    </row>
    <row r="208" spans="42:42" x14ac:dyDescent="0.25">
      <c r="AP208" s="9"/>
    </row>
    <row r="209" spans="42:42" x14ac:dyDescent="0.25">
      <c r="AP209" s="9"/>
    </row>
    <row r="210" spans="42:42" x14ac:dyDescent="0.25">
      <c r="AP210" s="9"/>
    </row>
    <row r="211" spans="42:42" x14ac:dyDescent="0.25">
      <c r="AP211" s="9"/>
    </row>
    <row r="212" spans="42:42" x14ac:dyDescent="0.25">
      <c r="AP212" s="9"/>
    </row>
    <row r="213" spans="42:42" x14ac:dyDescent="0.25">
      <c r="AP213" s="9"/>
    </row>
    <row r="214" spans="42:42" x14ac:dyDescent="0.25">
      <c r="AP214" s="9"/>
    </row>
    <row r="215" spans="42:42" x14ac:dyDescent="0.25">
      <c r="AP215" s="9"/>
    </row>
    <row r="216" spans="42:42" x14ac:dyDescent="0.25">
      <c r="AP216" s="9"/>
    </row>
    <row r="217" spans="42:42" x14ac:dyDescent="0.25">
      <c r="AP217" s="9"/>
    </row>
    <row r="218" spans="42:42" x14ac:dyDescent="0.25">
      <c r="AP218" s="9"/>
    </row>
    <row r="219" spans="42:42" x14ac:dyDescent="0.25">
      <c r="AP219" s="9"/>
    </row>
    <row r="220" spans="42:42" x14ac:dyDescent="0.25">
      <c r="AP220" s="9"/>
    </row>
    <row r="221" spans="42:42" x14ac:dyDescent="0.25">
      <c r="AP221" s="9"/>
    </row>
    <row r="222" spans="42:42" x14ac:dyDescent="0.25">
      <c r="AP222" s="9"/>
    </row>
    <row r="223" spans="42:42" x14ac:dyDescent="0.25">
      <c r="AP223" s="9"/>
    </row>
    <row r="224" spans="42:42" x14ac:dyDescent="0.25">
      <c r="AP224" s="9"/>
    </row>
    <row r="225" spans="42:42" x14ac:dyDescent="0.25">
      <c r="AP225" s="9"/>
    </row>
    <row r="226" spans="42:42" x14ac:dyDescent="0.25">
      <c r="AP226" s="9"/>
    </row>
    <row r="227" spans="42:42" x14ac:dyDescent="0.25">
      <c r="AP227" s="9"/>
    </row>
    <row r="228" spans="42:42" x14ac:dyDescent="0.25">
      <c r="AP228" s="9"/>
    </row>
    <row r="229" spans="42:42" x14ac:dyDescent="0.25">
      <c r="AP229" s="9"/>
    </row>
    <row r="230" spans="42:42" x14ac:dyDescent="0.25">
      <c r="AP230" s="9"/>
    </row>
    <row r="231" spans="42:42" x14ac:dyDescent="0.25">
      <c r="AP231" s="9"/>
    </row>
    <row r="232" spans="42:42" x14ac:dyDescent="0.25">
      <c r="AP232" s="9"/>
    </row>
    <row r="233" spans="42:42" x14ac:dyDescent="0.25">
      <c r="AP233" s="9"/>
    </row>
    <row r="234" spans="42:42" x14ac:dyDescent="0.25">
      <c r="AP234" s="9"/>
    </row>
    <row r="235" spans="42:42" x14ac:dyDescent="0.25">
      <c r="AP235" s="9"/>
    </row>
    <row r="236" spans="42:42" x14ac:dyDescent="0.25">
      <c r="AP236" s="9"/>
    </row>
    <row r="237" spans="42:42" x14ac:dyDescent="0.25">
      <c r="AP237" s="9"/>
    </row>
    <row r="238" spans="42:42" x14ac:dyDescent="0.25">
      <c r="AP238" s="9"/>
    </row>
    <row r="239" spans="42:42" x14ac:dyDescent="0.25">
      <c r="AP239" s="9"/>
    </row>
    <row r="240" spans="42:42" x14ac:dyDescent="0.25">
      <c r="AP240" s="9"/>
    </row>
    <row r="241" spans="42:42" x14ac:dyDescent="0.25">
      <c r="AP241" s="9"/>
    </row>
    <row r="242" spans="42:42" x14ac:dyDescent="0.25">
      <c r="AP242" s="9"/>
    </row>
    <row r="243" spans="42:42" x14ac:dyDescent="0.25">
      <c r="AP243" s="9"/>
    </row>
    <row r="244" spans="42:42" x14ac:dyDescent="0.25">
      <c r="AP244" s="9"/>
    </row>
    <row r="245" spans="42:42" x14ac:dyDescent="0.25">
      <c r="AP245" s="9"/>
    </row>
    <row r="246" spans="42:42" x14ac:dyDescent="0.25">
      <c r="AP246" s="9"/>
    </row>
    <row r="247" spans="42:42" x14ac:dyDescent="0.25">
      <c r="AP247" s="9"/>
    </row>
    <row r="248" spans="42:42" x14ac:dyDescent="0.25">
      <c r="AP248" s="9"/>
    </row>
    <row r="249" spans="42:42" x14ac:dyDescent="0.25">
      <c r="AP249" s="9"/>
    </row>
    <row r="250" spans="42:42" x14ac:dyDescent="0.25">
      <c r="AP250" s="9"/>
    </row>
    <row r="251" spans="42:42" x14ac:dyDescent="0.25">
      <c r="AP251" s="9"/>
    </row>
    <row r="252" spans="42:42" x14ac:dyDescent="0.25">
      <c r="AP252" s="9"/>
    </row>
    <row r="253" spans="42:42" x14ac:dyDescent="0.25">
      <c r="AP253" s="9"/>
    </row>
  </sheetData>
  <mergeCells count="5">
    <mergeCell ref="AJ2:AJ8"/>
    <mergeCell ref="AN2:AN8"/>
    <mergeCell ref="AQ3:AQ10"/>
    <mergeCell ref="AR3:AR10"/>
    <mergeCell ref="AW3:AW10"/>
  </mergeCells>
  <dataValidations count="6">
    <dataValidation type="list" allowBlank="1" showInputMessage="1" showErrorMessage="1" sqref="AJ17">
      <formula1>INDIRECT(AJ$16)</formula1>
    </dataValidation>
    <dataValidation type="list" allowBlank="1" showInputMessage="1" showErrorMessage="1" sqref="AJ19">
      <formula1>INDIRECT(AJ$18)</formula1>
    </dataValidation>
    <dataValidation type="list" allowBlank="1" showInputMessage="1" showErrorMessage="1" sqref="AJ15">
      <formula1>INDIRECT(AJ$14)</formula1>
    </dataValidation>
    <dataValidation type="list" allowBlank="1" showInputMessage="1" showErrorMessage="1" sqref="AN15">
      <formula1>INDIRECT(AN$14)</formula1>
    </dataValidation>
    <dataValidation type="list" allowBlank="1" showInputMessage="1" showErrorMessage="1" sqref="AN17">
      <formula1>INDIRECT(AN$16)</formula1>
    </dataValidation>
    <dataValidation type="list" allowBlank="1" showInputMessage="1" showErrorMessage="1" sqref="AN19">
      <formula1>INDIRECT(AN$18)</formula1>
    </dataValidation>
  </dataValidations>
  <pageMargins left="0.7" right="0.7" top="0.75" bottom="0.75" header="0.3" footer="0.3"/>
  <pageSetup paperSize="9" scale="22" orientation="portrait" r:id="rId1"/>
  <colBreaks count="1" manualBreakCount="1">
    <brk id="26" max="69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DnCANA!$A$4:$A$8</xm:f>
          </x14:formula1>
          <xm:sqref>AJ18 AJ16 AJ14 AN18 AN16 AN14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D101"/>
  <sheetViews>
    <sheetView zoomScale="85" zoomScaleNormal="85" workbookViewId="0">
      <selection activeCell="A9" sqref="A9"/>
    </sheetView>
  </sheetViews>
  <sheetFormatPr baseColWidth="10" defaultRowHeight="15" x14ac:dyDescent="0.25"/>
  <cols>
    <col min="1" max="1" width="16.7109375" customWidth="1"/>
    <col min="2" max="2" width="1.140625" customWidth="1"/>
    <col min="3" max="3" width="40.85546875" customWidth="1"/>
    <col min="4" max="4" width="50.140625" customWidth="1"/>
    <col min="5" max="5" width="15.85546875" customWidth="1"/>
    <col min="6" max="6" width="23.42578125" customWidth="1"/>
    <col min="9" max="9" width="16.140625" customWidth="1"/>
    <col min="10" max="10" width="11.42578125" hidden="1" customWidth="1"/>
    <col min="11" max="11" width="23.42578125" customWidth="1"/>
    <col min="16" max="16" width="23" customWidth="1"/>
    <col min="19" max="19" width="16.7109375" customWidth="1"/>
    <col min="21" max="21" width="23.7109375" customWidth="1"/>
    <col min="24" max="24" width="24.28515625" customWidth="1"/>
    <col min="25" max="25" width="24.42578125" customWidth="1"/>
  </cols>
  <sheetData>
    <row r="2" spans="1:25" x14ac:dyDescent="0.25">
      <c r="C2" s="200" t="s">
        <v>61</v>
      </c>
    </row>
    <row r="3" spans="1:25" x14ac:dyDescent="0.25">
      <c r="A3" t="s">
        <v>74</v>
      </c>
      <c r="C3" s="201"/>
      <c r="D3" s="26" t="s">
        <v>66</v>
      </c>
      <c r="E3" s="27" t="s">
        <v>65</v>
      </c>
      <c r="F3" s="27" t="s">
        <v>67</v>
      </c>
      <c r="I3" s="26" t="s">
        <v>66</v>
      </c>
      <c r="J3" s="27" t="s">
        <v>65</v>
      </c>
      <c r="K3" s="27" t="s">
        <v>67</v>
      </c>
      <c r="N3" s="26" t="s">
        <v>66</v>
      </c>
      <c r="O3" s="27" t="s">
        <v>65</v>
      </c>
      <c r="P3" s="27" t="s">
        <v>67</v>
      </c>
      <c r="S3" s="26" t="s">
        <v>66</v>
      </c>
      <c r="T3" s="27" t="s">
        <v>65</v>
      </c>
      <c r="U3" s="27" t="s">
        <v>67</v>
      </c>
      <c r="X3" s="26" t="s">
        <v>66</v>
      </c>
      <c r="Y3" s="27" t="s">
        <v>67</v>
      </c>
    </row>
    <row r="4" spans="1:25" x14ac:dyDescent="0.25">
      <c r="A4" t="s">
        <v>64</v>
      </c>
      <c r="C4" s="13" t="s">
        <v>64</v>
      </c>
      <c r="D4" s="24">
        <v>300</v>
      </c>
      <c r="E4" s="25">
        <v>54</v>
      </c>
      <c r="F4" s="25">
        <f t="shared" ref="F4:F16" si="0">D4+E4+E4</f>
        <v>408</v>
      </c>
      <c r="H4" s="13" t="s">
        <v>69</v>
      </c>
      <c r="I4" s="24">
        <v>60</v>
      </c>
      <c r="J4" s="14"/>
      <c r="K4" s="14">
        <v>77</v>
      </c>
      <c r="M4" s="13" t="s">
        <v>70</v>
      </c>
      <c r="N4" s="24">
        <v>110</v>
      </c>
      <c r="O4" s="14">
        <f>(3.4+3.8+4.2+5)/4</f>
        <v>4.0999999999999996</v>
      </c>
      <c r="P4" s="25">
        <f t="shared" ref="P4:P11" si="1">N4+O4+O4</f>
        <v>118.19999999999999</v>
      </c>
      <c r="R4" s="13" t="s">
        <v>75</v>
      </c>
      <c r="S4" s="24">
        <v>20</v>
      </c>
      <c r="T4" s="14">
        <v>3</v>
      </c>
      <c r="U4" s="25">
        <f t="shared" ref="U4:U29" si="2">S4+T4+T4</f>
        <v>26</v>
      </c>
      <c r="W4" s="13" t="s">
        <v>62</v>
      </c>
      <c r="X4" s="24">
        <v>110</v>
      </c>
      <c r="Y4" s="14">
        <v>110</v>
      </c>
    </row>
    <row r="5" spans="1:25" x14ac:dyDescent="0.25">
      <c r="A5" t="s">
        <v>70</v>
      </c>
      <c r="C5" s="13" t="s">
        <v>64</v>
      </c>
      <c r="D5" s="24">
        <v>400</v>
      </c>
      <c r="E5" s="14">
        <v>54</v>
      </c>
      <c r="F5" s="25">
        <f t="shared" si="0"/>
        <v>508</v>
      </c>
      <c r="H5" s="13" t="s">
        <v>69</v>
      </c>
      <c r="I5" s="24">
        <v>80</v>
      </c>
      <c r="J5" s="14"/>
      <c r="K5" s="14">
        <v>98</v>
      </c>
      <c r="M5" s="13" t="s">
        <v>70</v>
      </c>
      <c r="N5" s="24">
        <v>125</v>
      </c>
      <c r="O5" s="14">
        <f>(3.9+4.3+4.8+5.7)/4</f>
        <v>4.6749999999999998</v>
      </c>
      <c r="P5" s="25">
        <f t="shared" si="1"/>
        <v>134.35000000000002</v>
      </c>
      <c r="R5" s="13" t="s">
        <v>75</v>
      </c>
      <c r="S5" s="24">
        <v>25</v>
      </c>
      <c r="T5" s="14">
        <v>3</v>
      </c>
      <c r="U5" s="25">
        <f t="shared" si="2"/>
        <v>31</v>
      </c>
      <c r="W5" s="13" t="s">
        <v>62</v>
      </c>
      <c r="X5" s="24">
        <v>125</v>
      </c>
      <c r="Y5" s="14">
        <v>125</v>
      </c>
    </row>
    <row r="6" spans="1:25" x14ac:dyDescent="0.25">
      <c r="A6" t="s">
        <v>69</v>
      </c>
      <c r="C6" s="13" t="s">
        <v>64</v>
      </c>
      <c r="D6" s="24">
        <v>500</v>
      </c>
      <c r="E6" s="14">
        <v>64</v>
      </c>
      <c r="F6" s="25">
        <f t="shared" si="0"/>
        <v>628</v>
      </c>
      <c r="H6" s="13" t="s">
        <v>69</v>
      </c>
      <c r="I6" s="24">
        <v>100</v>
      </c>
      <c r="J6" s="14"/>
      <c r="K6" s="14">
        <v>118</v>
      </c>
      <c r="M6" s="13" t="s">
        <v>70</v>
      </c>
      <c r="N6" s="24">
        <v>160</v>
      </c>
      <c r="O6" s="14">
        <f>(4.9+5.5+6.2+7.3)/4</f>
        <v>5.9750000000000005</v>
      </c>
      <c r="P6" s="25">
        <f t="shared" si="1"/>
        <v>171.95</v>
      </c>
      <c r="R6" s="13" t="s">
        <v>75</v>
      </c>
      <c r="S6" s="24">
        <v>32</v>
      </c>
      <c r="T6" s="14">
        <f>(3+3+3.7+4.5+3)/5</f>
        <v>3.44</v>
      </c>
      <c r="U6" s="25">
        <f t="shared" si="2"/>
        <v>38.879999999999995</v>
      </c>
      <c r="W6" s="13" t="s">
        <v>62</v>
      </c>
      <c r="X6" s="24">
        <v>160</v>
      </c>
      <c r="Y6" s="14">
        <v>160</v>
      </c>
    </row>
    <row r="7" spans="1:25" x14ac:dyDescent="0.25">
      <c r="A7" t="s">
        <v>62</v>
      </c>
      <c r="C7" s="13" t="s">
        <v>64</v>
      </c>
      <c r="D7" s="24">
        <v>600</v>
      </c>
      <c r="E7" s="14">
        <v>76</v>
      </c>
      <c r="F7" s="25">
        <f t="shared" si="0"/>
        <v>752</v>
      </c>
      <c r="H7" s="13" t="s">
        <v>69</v>
      </c>
      <c r="I7" s="24">
        <v>125</v>
      </c>
      <c r="J7" s="14"/>
      <c r="K7" s="14">
        <v>144</v>
      </c>
      <c r="M7" s="13" t="s">
        <v>70</v>
      </c>
      <c r="N7" s="24">
        <v>200</v>
      </c>
      <c r="O7" s="14">
        <f>(6.2+6.9+7.7+9.1)/4</f>
        <v>7.4749999999999996</v>
      </c>
      <c r="P7" s="25">
        <f t="shared" si="1"/>
        <v>214.95</v>
      </c>
      <c r="R7" s="13" t="s">
        <v>75</v>
      </c>
      <c r="S7" s="24">
        <v>40</v>
      </c>
      <c r="T7" s="14">
        <f>(3+3+3.7+4.5+5.5)/5</f>
        <v>3.94</v>
      </c>
      <c r="U7" s="25">
        <f t="shared" si="2"/>
        <v>47.879999999999995</v>
      </c>
      <c r="W7" s="13" t="s">
        <v>62</v>
      </c>
      <c r="X7" s="24">
        <v>200</v>
      </c>
      <c r="Y7" s="14">
        <v>200</v>
      </c>
    </row>
    <row r="8" spans="1:25" x14ac:dyDescent="0.25">
      <c r="A8" t="s">
        <v>75</v>
      </c>
      <c r="C8" s="13" t="s">
        <v>64</v>
      </c>
      <c r="D8" s="24">
        <v>800</v>
      </c>
      <c r="E8" s="14">
        <v>85</v>
      </c>
      <c r="F8" s="25">
        <f t="shared" si="0"/>
        <v>970</v>
      </c>
      <c r="H8" s="13" t="s">
        <v>69</v>
      </c>
      <c r="I8" s="24">
        <v>150</v>
      </c>
      <c r="J8" s="14"/>
      <c r="K8" s="14">
        <v>170</v>
      </c>
      <c r="M8" s="13" t="s">
        <v>70</v>
      </c>
      <c r="N8" s="24">
        <v>250</v>
      </c>
      <c r="O8" s="14">
        <f>(7.7+8.6+9.6+11.4)/4</f>
        <v>9.3249999999999993</v>
      </c>
      <c r="P8" s="25">
        <f t="shared" si="1"/>
        <v>268.64999999999998</v>
      </c>
      <c r="R8" s="13" t="s">
        <v>75</v>
      </c>
      <c r="S8" s="24">
        <v>50</v>
      </c>
      <c r="T8" s="14">
        <f>(6.9+3+3.7+4.5+5.5)/5</f>
        <v>4.7200000000000006</v>
      </c>
      <c r="U8" s="25">
        <f t="shared" si="2"/>
        <v>59.44</v>
      </c>
      <c r="W8" s="13" t="s">
        <v>62</v>
      </c>
      <c r="X8" s="24">
        <v>250</v>
      </c>
      <c r="Y8" s="14">
        <v>250</v>
      </c>
    </row>
    <row r="9" spans="1:25" x14ac:dyDescent="0.25">
      <c r="A9" s="173"/>
      <c r="C9" s="13" t="s">
        <v>64</v>
      </c>
      <c r="D9" s="24">
        <v>1000</v>
      </c>
      <c r="E9" s="14">
        <v>110</v>
      </c>
      <c r="F9" s="25">
        <f t="shared" si="0"/>
        <v>1220</v>
      </c>
      <c r="H9" s="13" t="s">
        <v>69</v>
      </c>
      <c r="I9" s="24">
        <v>200</v>
      </c>
      <c r="J9" s="14"/>
      <c r="K9" s="14">
        <v>222</v>
      </c>
      <c r="M9" s="13" t="s">
        <v>70</v>
      </c>
      <c r="N9" s="24">
        <v>315</v>
      </c>
      <c r="O9" s="14">
        <f>(9.7+10.8+12.1+14.4)/4</f>
        <v>11.75</v>
      </c>
      <c r="P9" s="25">
        <f t="shared" si="1"/>
        <v>338.5</v>
      </c>
      <c r="R9" s="13" t="s">
        <v>75</v>
      </c>
      <c r="S9" s="24">
        <v>63</v>
      </c>
      <c r="T9" s="14">
        <f>(3.8+4.7+5.8+7.1+8.6)/5</f>
        <v>6</v>
      </c>
      <c r="U9" s="25">
        <f t="shared" si="2"/>
        <v>75</v>
      </c>
      <c r="W9" s="13" t="s">
        <v>62</v>
      </c>
      <c r="X9" s="24">
        <v>315</v>
      </c>
      <c r="Y9" s="14">
        <v>315</v>
      </c>
    </row>
    <row r="10" spans="1:25" x14ac:dyDescent="0.25">
      <c r="C10" s="13" t="s">
        <v>64</v>
      </c>
      <c r="D10" s="24">
        <v>1200</v>
      </c>
      <c r="E10" s="14">
        <v>130</v>
      </c>
      <c r="F10" s="25">
        <f t="shared" si="0"/>
        <v>1460</v>
      </c>
      <c r="H10" s="13" t="s">
        <v>69</v>
      </c>
      <c r="I10" s="24">
        <v>250</v>
      </c>
      <c r="J10" s="14"/>
      <c r="K10" s="14">
        <v>273</v>
      </c>
      <c r="M10" s="13" t="s">
        <v>70</v>
      </c>
      <c r="N10" s="24">
        <v>400</v>
      </c>
      <c r="O10" s="14">
        <f>(12.3+13.7+15.3+18.2)/4</f>
        <v>14.875</v>
      </c>
      <c r="P10" s="25">
        <f t="shared" si="1"/>
        <v>429.75</v>
      </c>
      <c r="R10" s="13" t="s">
        <v>75</v>
      </c>
      <c r="S10" s="24">
        <v>75</v>
      </c>
      <c r="T10" s="14">
        <f>(4.5+5.6+6.8+8.4+10.3)/5</f>
        <v>7.1199999999999992</v>
      </c>
      <c r="U10" s="25">
        <f t="shared" si="2"/>
        <v>89.240000000000009</v>
      </c>
      <c r="W10" s="13" t="s">
        <v>62</v>
      </c>
      <c r="X10" s="24">
        <v>400</v>
      </c>
      <c r="Y10" s="14">
        <v>400</v>
      </c>
    </row>
    <row r="11" spans="1:25" x14ac:dyDescent="0.25">
      <c r="C11" s="13" t="s">
        <v>64</v>
      </c>
      <c r="D11" s="24">
        <v>1400</v>
      </c>
      <c r="E11" s="14">
        <v>130</v>
      </c>
      <c r="F11" s="25">
        <f t="shared" si="0"/>
        <v>1660</v>
      </c>
      <c r="H11" s="13" t="s">
        <v>69</v>
      </c>
      <c r="I11" s="24">
        <v>300</v>
      </c>
      <c r="J11" s="14"/>
      <c r="K11" s="14">
        <v>325</v>
      </c>
      <c r="M11" s="13" t="s">
        <v>70</v>
      </c>
      <c r="N11" s="24">
        <v>500</v>
      </c>
      <c r="O11" s="14">
        <f>(15.3+17.1+19.1+22.8)/4</f>
        <v>18.575000000000003</v>
      </c>
      <c r="P11" s="25">
        <f t="shared" si="1"/>
        <v>537.15000000000009</v>
      </c>
      <c r="R11" s="13" t="s">
        <v>75</v>
      </c>
      <c r="S11" s="24">
        <v>90</v>
      </c>
      <c r="T11" s="14">
        <f>(5.4+6.7+8.2+10.1+12.3)/5</f>
        <v>8.5400000000000009</v>
      </c>
      <c r="U11" s="25">
        <f t="shared" si="2"/>
        <v>107.08000000000001</v>
      </c>
      <c r="W11" s="13" t="s">
        <v>62</v>
      </c>
      <c r="X11" s="24">
        <v>500</v>
      </c>
      <c r="Y11" s="14">
        <v>500</v>
      </c>
    </row>
    <row r="12" spans="1:25" x14ac:dyDescent="0.25">
      <c r="C12" s="13" t="s">
        <v>64</v>
      </c>
      <c r="D12" s="24">
        <v>1500</v>
      </c>
      <c r="E12" s="14">
        <v>150</v>
      </c>
      <c r="F12" s="25">
        <f t="shared" si="0"/>
        <v>1800</v>
      </c>
      <c r="H12" s="13" t="s">
        <v>69</v>
      </c>
      <c r="I12" s="24">
        <v>350</v>
      </c>
      <c r="J12" s="14"/>
      <c r="K12" s="14">
        <v>377</v>
      </c>
      <c r="R12" s="13" t="s">
        <v>75</v>
      </c>
      <c r="S12" s="24">
        <v>110</v>
      </c>
      <c r="T12" s="14">
        <f>(6.6+8.1+10+12.3+15.1)/5</f>
        <v>10.42</v>
      </c>
      <c r="U12" s="25">
        <f t="shared" si="2"/>
        <v>130.84</v>
      </c>
      <c r="W12" s="13" t="s">
        <v>62</v>
      </c>
      <c r="X12" s="24">
        <v>630</v>
      </c>
      <c r="Y12" s="14">
        <v>630</v>
      </c>
    </row>
    <row r="13" spans="1:25" x14ac:dyDescent="0.25">
      <c r="C13" s="13" t="s">
        <v>64</v>
      </c>
      <c r="D13" s="24">
        <v>1600</v>
      </c>
      <c r="E13" s="14">
        <v>160</v>
      </c>
      <c r="F13" s="25">
        <f t="shared" si="0"/>
        <v>1920</v>
      </c>
      <c r="H13" s="13" t="s">
        <v>69</v>
      </c>
      <c r="I13" s="24">
        <v>400</v>
      </c>
      <c r="J13" s="14"/>
      <c r="K13" s="14">
        <v>428</v>
      </c>
      <c r="R13" s="13" t="s">
        <v>75</v>
      </c>
      <c r="S13" s="24">
        <v>125</v>
      </c>
      <c r="T13" s="14">
        <f>(7.4+9.2+11.4+14+17.1)/5</f>
        <v>11.82</v>
      </c>
      <c r="U13" s="25">
        <f t="shared" si="2"/>
        <v>148.63999999999999</v>
      </c>
    </row>
    <row r="14" spans="1:25" x14ac:dyDescent="0.25">
      <c r="C14" s="13" t="s">
        <v>64</v>
      </c>
      <c r="D14" s="24">
        <v>1800</v>
      </c>
      <c r="E14" s="14">
        <v>170</v>
      </c>
      <c r="F14" s="25">
        <f t="shared" si="0"/>
        <v>2140</v>
      </c>
      <c r="H14" s="13" t="s">
        <v>69</v>
      </c>
      <c r="I14" s="24">
        <v>450</v>
      </c>
      <c r="J14" s="14"/>
      <c r="K14" s="14">
        <v>479</v>
      </c>
      <c r="R14" s="13" t="s">
        <v>75</v>
      </c>
      <c r="S14" s="24">
        <v>140</v>
      </c>
      <c r="T14" s="14">
        <f>(8.3+10.3+12.7+15.7+19.2)/5</f>
        <v>13.24</v>
      </c>
      <c r="U14" s="25">
        <f t="shared" si="2"/>
        <v>166.48000000000002</v>
      </c>
    </row>
    <row r="15" spans="1:25" x14ac:dyDescent="0.25">
      <c r="C15" s="13" t="s">
        <v>64</v>
      </c>
      <c r="D15" s="24">
        <v>2000</v>
      </c>
      <c r="E15" s="14">
        <v>190</v>
      </c>
      <c r="F15" s="25">
        <f t="shared" si="0"/>
        <v>2380</v>
      </c>
      <c r="H15" s="13" t="s">
        <v>69</v>
      </c>
      <c r="I15" s="24">
        <v>500</v>
      </c>
      <c r="J15" s="14"/>
      <c r="K15" s="14">
        <v>531</v>
      </c>
      <c r="R15" s="13" t="s">
        <v>75</v>
      </c>
      <c r="S15" s="24">
        <v>160</v>
      </c>
      <c r="T15" s="14">
        <f>(9.5+11.8+14.6+17.9+21.9)/5</f>
        <v>15.139999999999997</v>
      </c>
      <c r="U15" s="25">
        <f t="shared" si="2"/>
        <v>190.27999999999997</v>
      </c>
    </row>
    <row r="16" spans="1:25" x14ac:dyDescent="0.25">
      <c r="C16" s="13" t="s">
        <v>64</v>
      </c>
      <c r="D16" s="24">
        <v>2200</v>
      </c>
      <c r="E16" s="14">
        <v>230</v>
      </c>
      <c r="F16" s="25">
        <f t="shared" si="0"/>
        <v>2660</v>
      </c>
      <c r="H16" s="13" t="s">
        <v>69</v>
      </c>
      <c r="I16" s="24">
        <v>600</v>
      </c>
      <c r="J16" s="14"/>
      <c r="K16" s="14">
        <v>634</v>
      </c>
      <c r="R16" s="13" t="s">
        <v>75</v>
      </c>
      <c r="S16" s="24">
        <v>180</v>
      </c>
      <c r="T16" s="14">
        <f>(10.7+13.3+16.4+20.1+24.6)/5</f>
        <v>17.02</v>
      </c>
      <c r="U16" s="25">
        <f t="shared" si="2"/>
        <v>214.04000000000002</v>
      </c>
    </row>
    <row r="17" spans="3:21" x14ac:dyDescent="0.25">
      <c r="C17" s="13" t="s">
        <v>64</v>
      </c>
      <c r="D17" s="14"/>
      <c r="E17" s="14"/>
      <c r="F17" s="14"/>
      <c r="H17" s="13" t="s">
        <v>69</v>
      </c>
      <c r="I17" s="24">
        <v>700</v>
      </c>
      <c r="J17" s="14"/>
      <c r="K17" s="14">
        <v>738</v>
      </c>
      <c r="R17" s="13" t="s">
        <v>75</v>
      </c>
      <c r="S17" s="24">
        <v>200</v>
      </c>
      <c r="T17" s="14">
        <f>(11.9+14.7+18.2+22.4+27.4)/5</f>
        <v>18.919999999999998</v>
      </c>
      <c r="U17" s="25">
        <f t="shared" si="2"/>
        <v>237.83999999999997</v>
      </c>
    </row>
    <row r="18" spans="3:21" x14ac:dyDescent="0.25">
      <c r="H18" s="13" t="s">
        <v>69</v>
      </c>
      <c r="I18" s="24">
        <v>800</v>
      </c>
      <c r="J18" s="14"/>
      <c r="K18" s="14">
        <v>842</v>
      </c>
      <c r="R18" s="13" t="s">
        <v>75</v>
      </c>
      <c r="S18" s="24">
        <v>225</v>
      </c>
      <c r="T18" s="14">
        <f>(13.4+16.6+20.5+25.2+30.8)/5</f>
        <v>21.3</v>
      </c>
      <c r="U18" s="25">
        <f t="shared" si="2"/>
        <v>267.60000000000002</v>
      </c>
    </row>
    <row r="19" spans="3:21" x14ac:dyDescent="0.25">
      <c r="H19" s="13" t="s">
        <v>69</v>
      </c>
      <c r="I19" s="24">
        <v>900</v>
      </c>
      <c r="J19" s="14"/>
      <c r="K19" s="14">
        <v>945</v>
      </c>
      <c r="R19" s="13" t="s">
        <v>75</v>
      </c>
      <c r="S19" s="24">
        <v>250</v>
      </c>
      <c r="T19" s="14">
        <f>(14.8+18.4+22.7+27.9+34.2)/5</f>
        <v>23.6</v>
      </c>
      <c r="U19" s="25">
        <f t="shared" si="2"/>
        <v>297.20000000000005</v>
      </c>
    </row>
    <row r="20" spans="3:21" x14ac:dyDescent="0.25">
      <c r="H20" s="13" t="s">
        <v>69</v>
      </c>
      <c r="I20" s="24">
        <v>1000</v>
      </c>
      <c r="J20" s="14"/>
      <c r="K20" s="14">
        <v>1048</v>
      </c>
      <c r="R20" s="13" t="s">
        <v>75</v>
      </c>
      <c r="S20" s="24">
        <v>280</v>
      </c>
      <c r="T20" s="14">
        <f>(16.6+20.6+25.4+31.3+38.3)/5</f>
        <v>26.439999999999998</v>
      </c>
      <c r="U20" s="25">
        <f t="shared" si="2"/>
        <v>332.88</v>
      </c>
    </row>
    <row r="21" spans="3:21" x14ac:dyDescent="0.25">
      <c r="C21" t="s">
        <v>105</v>
      </c>
      <c r="H21" s="13" t="s">
        <v>69</v>
      </c>
      <c r="I21" s="24">
        <v>1100</v>
      </c>
      <c r="J21" s="14"/>
      <c r="K21" s="14">
        <v>1152</v>
      </c>
      <c r="R21" s="13" t="s">
        <v>75</v>
      </c>
      <c r="S21" s="24">
        <v>315</v>
      </c>
      <c r="T21" s="14">
        <f>(16.6+20.6+25.4+31.3+38.3)/5</f>
        <v>26.439999999999998</v>
      </c>
      <c r="U21" s="25">
        <f t="shared" si="2"/>
        <v>367.88</v>
      </c>
    </row>
    <row r="22" spans="3:21" x14ac:dyDescent="0.25">
      <c r="C22">
        <v>0</v>
      </c>
      <c r="H22" s="13" t="s">
        <v>69</v>
      </c>
      <c r="I22" s="24">
        <v>1200</v>
      </c>
      <c r="J22" s="14"/>
      <c r="K22" s="14">
        <v>1255</v>
      </c>
      <c r="R22" s="13" t="s">
        <v>75</v>
      </c>
      <c r="S22" s="24">
        <v>355</v>
      </c>
      <c r="T22" s="14">
        <f>(21.1+26.1+32.2+39.7+48.5)/5</f>
        <v>33.520000000000003</v>
      </c>
      <c r="U22" s="25">
        <f t="shared" si="2"/>
        <v>422.03999999999996</v>
      </c>
    </row>
    <row r="23" spans="3:21" x14ac:dyDescent="0.25">
      <c r="H23" s="13" t="s">
        <v>69</v>
      </c>
      <c r="I23" s="24">
        <v>1400</v>
      </c>
      <c r="J23" s="14"/>
      <c r="K23" s="14">
        <v>1462</v>
      </c>
      <c r="R23" s="13" t="s">
        <v>75</v>
      </c>
      <c r="S23" s="24">
        <v>400</v>
      </c>
      <c r="T23" s="14">
        <f>(23.7+29.7+36.3+44.7+54.7)/5</f>
        <v>37.819999999999993</v>
      </c>
      <c r="U23" s="25">
        <f t="shared" si="2"/>
        <v>475.64</v>
      </c>
    </row>
    <row r="24" spans="3:21" x14ac:dyDescent="0.25">
      <c r="H24" s="13" t="s">
        <v>69</v>
      </c>
      <c r="I24" s="24">
        <v>1500</v>
      </c>
      <c r="J24" s="14"/>
      <c r="K24" s="14">
        <v>1565</v>
      </c>
      <c r="R24" s="13" t="s">
        <v>75</v>
      </c>
      <c r="S24" s="24">
        <v>450</v>
      </c>
      <c r="T24" s="14">
        <f>(26.7+33.1+40.9+50.3+61.5)/5</f>
        <v>42.5</v>
      </c>
      <c r="U24" s="25">
        <f t="shared" si="2"/>
        <v>535</v>
      </c>
    </row>
    <row r="25" spans="3:21" x14ac:dyDescent="0.25">
      <c r="H25" s="13" t="s">
        <v>69</v>
      </c>
      <c r="I25" s="24">
        <v>1600</v>
      </c>
      <c r="J25" s="14"/>
      <c r="K25" s="14">
        <v>1668</v>
      </c>
      <c r="R25" s="13" t="s">
        <v>75</v>
      </c>
      <c r="S25" s="24">
        <v>500</v>
      </c>
      <c r="T25" s="14">
        <f>(29.7+36.8+45.4+55.8)/4</f>
        <v>41.924999999999997</v>
      </c>
      <c r="U25" s="25">
        <f t="shared" si="2"/>
        <v>583.84999999999991</v>
      </c>
    </row>
    <row r="26" spans="3:21" x14ac:dyDescent="0.25">
      <c r="H26" s="13" t="s">
        <v>69</v>
      </c>
      <c r="I26" s="24">
        <v>1800</v>
      </c>
      <c r="J26" s="14"/>
      <c r="K26" s="14">
        <v>1875</v>
      </c>
      <c r="R26" s="13" t="s">
        <v>75</v>
      </c>
      <c r="S26" s="24">
        <v>560</v>
      </c>
      <c r="T26" s="14">
        <f>(33.2+41.2+50.8)/3</f>
        <v>41.733333333333334</v>
      </c>
      <c r="U26" s="25">
        <f t="shared" si="2"/>
        <v>643.4666666666667</v>
      </c>
    </row>
    <row r="27" spans="3:21" x14ac:dyDescent="0.25">
      <c r="H27" s="13" t="s">
        <v>69</v>
      </c>
      <c r="I27" s="24">
        <v>2000</v>
      </c>
      <c r="J27" s="14"/>
      <c r="K27" s="14">
        <v>2082</v>
      </c>
      <c r="R27" s="13" t="s">
        <v>75</v>
      </c>
      <c r="S27" s="24">
        <v>630</v>
      </c>
      <c r="T27" s="14">
        <f>(37.4+46.3+57.2)/3</f>
        <v>46.966666666666661</v>
      </c>
      <c r="U27" s="25">
        <f t="shared" si="2"/>
        <v>723.93333333333339</v>
      </c>
    </row>
    <row r="28" spans="3:21" x14ac:dyDescent="0.25">
      <c r="R28" s="13" t="s">
        <v>75</v>
      </c>
      <c r="S28" s="24">
        <v>710</v>
      </c>
      <c r="T28" s="14">
        <f>(42.1+52.2)/2</f>
        <v>47.150000000000006</v>
      </c>
      <c r="U28" s="25">
        <f t="shared" si="2"/>
        <v>804.3</v>
      </c>
    </row>
    <row r="29" spans="3:21" x14ac:dyDescent="0.25">
      <c r="R29" s="13" t="s">
        <v>75</v>
      </c>
      <c r="S29" s="24">
        <v>800</v>
      </c>
      <c r="T29" s="14">
        <f>(47.4+58.8)/2</f>
        <v>53.099999999999994</v>
      </c>
      <c r="U29" s="25">
        <f t="shared" si="2"/>
        <v>906.2</v>
      </c>
    </row>
    <row r="33" spans="1:10" ht="18" x14ac:dyDescent="0.25">
      <c r="A33" s="11"/>
      <c r="B33" s="11"/>
    </row>
    <row r="34" spans="1:10" ht="18" x14ac:dyDescent="0.25">
      <c r="A34" s="11"/>
      <c r="B34" s="11"/>
    </row>
    <row r="35" spans="1:10" ht="18" x14ac:dyDescent="0.25">
      <c r="A35" s="11"/>
      <c r="B35" s="11"/>
    </row>
    <row r="36" spans="1:10" ht="18" x14ac:dyDescent="0.25">
      <c r="A36" s="11"/>
      <c r="B36" s="11"/>
    </row>
    <row r="39" spans="1:10" x14ac:dyDescent="0.25">
      <c r="J39" t="s">
        <v>67</v>
      </c>
    </row>
    <row r="40" spans="1:10" x14ac:dyDescent="0.25">
      <c r="J40">
        <v>408</v>
      </c>
    </row>
    <row r="41" spans="1:10" x14ac:dyDescent="0.25">
      <c r="J41">
        <v>508</v>
      </c>
    </row>
    <row r="42" spans="1:10" x14ac:dyDescent="0.25">
      <c r="J42">
        <v>628</v>
      </c>
    </row>
    <row r="43" spans="1:10" x14ac:dyDescent="0.25">
      <c r="J43">
        <v>752</v>
      </c>
    </row>
    <row r="44" spans="1:10" x14ac:dyDescent="0.25">
      <c r="J44">
        <v>970</v>
      </c>
    </row>
    <row r="45" spans="1:10" x14ac:dyDescent="0.25">
      <c r="J45">
        <v>1220</v>
      </c>
    </row>
    <row r="46" spans="1:10" x14ac:dyDescent="0.25">
      <c r="J46">
        <v>1460</v>
      </c>
    </row>
    <row r="47" spans="1:10" x14ac:dyDescent="0.25">
      <c r="J47">
        <v>1660</v>
      </c>
    </row>
    <row r="48" spans="1:10" x14ac:dyDescent="0.25">
      <c r="J48">
        <v>1800</v>
      </c>
    </row>
    <row r="49" spans="10:30" x14ac:dyDescent="0.25">
      <c r="J49">
        <v>1920</v>
      </c>
    </row>
    <row r="50" spans="10:30" x14ac:dyDescent="0.25">
      <c r="J50">
        <v>2140</v>
      </c>
    </row>
    <row r="51" spans="10:30" x14ac:dyDescent="0.25">
      <c r="J51">
        <v>2380</v>
      </c>
    </row>
    <row r="52" spans="10:30" ht="15.75" thickBot="1" x14ac:dyDescent="0.3">
      <c r="J52">
        <v>2660</v>
      </c>
    </row>
    <row r="53" spans="10:30" ht="15.75" thickBot="1" x14ac:dyDescent="0.3">
      <c r="Y53" s="59" t="str">
        <f>Recap!B14</f>
        <v>Béton</v>
      </c>
    </row>
    <row r="54" spans="10:30" ht="15.75" thickBot="1" x14ac:dyDescent="0.3">
      <c r="K54" s="50"/>
      <c r="X54" s="59">
        <f>Recap!B15</f>
        <v>300</v>
      </c>
      <c r="Y54" s="58">
        <f>INDEX(chiffres,MATCH(X54,DN,0),MATCH(Y53,mois,0))</f>
        <v>408</v>
      </c>
    </row>
    <row r="55" spans="10:30" ht="15.75" thickBot="1" x14ac:dyDescent="0.3"/>
    <row r="56" spans="10:30" x14ac:dyDescent="0.25">
      <c r="X56" s="54"/>
      <c r="Y56" s="202" t="s">
        <v>90</v>
      </c>
      <c r="Z56" s="51" t="s">
        <v>64</v>
      </c>
      <c r="AA56" t="s">
        <v>69</v>
      </c>
      <c r="AB56" s="51" t="s">
        <v>70</v>
      </c>
      <c r="AC56" t="s">
        <v>75</v>
      </c>
      <c r="AD56" t="s">
        <v>62</v>
      </c>
    </row>
    <row r="57" spans="10:30" ht="15.75" thickBot="1" x14ac:dyDescent="0.3">
      <c r="X57" s="56"/>
      <c r="Y57" s="203"/>
      <c r="Z57" s="52" t="s">
        <v>92</v>
      </c>
      <c r="AA57" s="52" t="s">
        <v>92</v>
      </c>
      <c r="AB57" s="52" t="s">
        <v>92</v>
      </c>
      <c r="AC57" s="53" t="s">
        <v>91</v>
      </c>
      <c r="AD57" s="53" t="s">
        <v>91</v>
      </c>
    </row>
    <row r="58" spans="10:30" x14ac:dyDescent="0.25">
      <c r="X58" s="56"/>
      <c r="Y58" s="55">
        <v>20</v>
      </c>
      <c r="Z58" s="55"/>
      <c r="AA58" s="55"/>
      <c r="AB58" s="55"/>
      <c r="AC58" s="55">
        <v>26</v>
      </c>
      <c r="AD58" s="55"/>
    </row>
    <row r="59" spans="10:30" x14ac:dyDescent="0.25">
      <c r="X59" s="56"/>
      <c r="Y59" s="57">
        <v>25</v>
      </c>
      <c r="Z59" s="57"/>
      <c r="AA59" s="57"/>
      <c r="AB59" s="57"/>
      <c r="AC59" s="57">
        <v>31</v>
      </c>
      <c r="AD59" s="57"/>
    </row>
    <row r="60" spans="10:30" x14ac:dyDescent="0.25">
      <c r="X60" s="56"/>
      <c r="Y60" s="55">
        <v>32</v>
      </c>
      <c r="Z60" s="55"/>
      <c r="AA60" s="55"/>
      <c r="AB60" s="55"/>
      <c r="AC60" s="55">
        <v>38.880000000000003</v>
      </c>
      <c r="AD60" s="55"/>
    </row>
    <row r="61" spans="10:30" x14ac:dyDescent="0.25">
      <c r="X61" s="56"/>
      <c r="Y61" s="57">
        <v>40</v>
      </c>
      <c r="Z61" s="57"/>
      <c r="AA61" s="57"/>
      <c r="AB61" s="57"/>
      <c r="AC61" s="57">
        <v>47.88</v>
      </c>
      <c r="AD61" s="57"/>
    </row>
    <row r="62" spans="10:30" x14ac:dyDescent="0.25">
      <c r="X62" s="56"/>
      <c r="Y62" s="55">
        <v>50</v>
      </c>
      <c r="Z62" s="55"/>
      <c r="AA62" s="55"/>
      <c r="AB62" s="55"/>
      <c r="AC62" s="55">
        <v>59.44</v>
      </c>
      <c r="AD62" s="55"/>
    </row>
    <row r="63" spans="10:30" x14ac:dyDescent="0.25">
      <c r="X63" s="56"/>
      <c r="Y63" s="57">
        <v>60</v>
      </c>
      <c r="Z63" s="57"/>
      <c r="AA63" s="57">
        <v>77</v>
      </c>
      <c r="AB63" s="57"/>
      <c r="AC63" s="57"/>
      <c r="AD63" s="57"/>
    </row>
    <row r="64" spans="10:30" x14ac:dyDescent="0.25">
      <c r="X64" s="56"/>
      <c r="Y64" s="55">
        <v>63</v>
      </c>
      <c r="Z64" s="55"/>
      <c r="AA64" s="55"/>
      <c r="AB64" s="55"/>
      <c r="AC64" s="55">
        <v>75</v>
      </c>
      <c r="AD64" s="55"/>
    </row>
    <row r="65" spans="24:30" x14ac:dyDescent="0.25">
      <c r="X65" s="56"/>
      <c r="Y65" s="57">
        <v>75</v>
      </c>
      <c r="Z65" s="57"/>
      <c r="AA65" s="57"/>
      <c r="AB65" s="57"/>
      <c r="AC65" s="57">
        <v>90</v>
      </c>
      <c r="AD65" s="57"/>
    </row>
    <row r="66" spans="24:30" x14ac:dyDescent="0.25">
      <c r="X66" s="56"/>
      <c r="Y66" s="55">
        <v>80</v>
      </c>
      <c r="Z66" s="55"/>
      <c r="AA66" s="55">
        <v>98</v>
      </c>
      <c r="AB66" s="55"/>
      <c r="AC66" s="55"/>
      <c r="AD66" s="55"/>
    </row>
    <row r="67" spans="24:30" x14ac:dyDescent="0.25">
      <c r="X67" s="56"/>
      <c r="Y67" s="57">
        <v>90</v>
      </c>
      <c r="Z67" s="57"/>
      <c r="AA67" s="57"/>
      <c r="AB67" s="57"/>
      <c r="AC67" s="57">
        <v>108</v>
      </c>
      <c r="AD67" s="57"/>
    </row>
    <row r="68" spans="24:30" x14ac:dyDescent="0.25">
      <c r="X68" s="56"/>
      <c r="Y68" s="55">
        <v>100</v>
      </c>
      <c r="Z68" s="55"/>
      <c r="AA68" s="55">
        <v>118</v>
      </c>
      <c r="AB68" s="55"/>
      <c r="AC68" s="55"/>
      <c r="AD68" s="55"/>
    </row>
    <row r="69" spans="24:30" x14ac:dyDescent="0.25">
      <c r="X69" s="56"/>
      <c r="Y69" s="57">
        <v>110</v>
      </c>
      <c r="Z69" s="57"/>
      <c r="AA69" s="57"/>
      <c r="AB69" s="57">
        <v>118.2</v>
      </c>
      <c r="AC69" s="57">
        <v>130.84</v>
      </c>
      <c r="AD69" s="57">
        <v>110</v>
      </c>
    </row>
    <row r="70" spans="24:30" x14ac:dyDescent="0.25">
      <c r="X70" s="56"/>
      <c r="Y70" s="55">
        <v>125</v>
      </c>
      <c r="Z70" s="55"/>
      <c r="AA70" s="55">
        <v>144</v>
      </c>
      <c r="AB70" s="55">
        <v>134.25</v>
      </c>
      <c r="AC70" s="55">
        <v>148.63999999999999</v>
      </c>
      <c r="AD70" s="55">
        <v>125</v>
      </c>
    </row>
    <row r="71" spans="24:30" x14ac:dyDescent="0.25">
      <c r="X71" s="56"/>
      <c r="Y71" s="57">
        <v>140</v>
      </c>
      <c r="Z71" s="57"/>
      <c r="AA71" s="57"/>
      <c r="AB71" s="57"/>
      <c r="AC71" s="57">
        <v>166.48000000000002</v>
      </c>
      <c r="AD71" s="57"/>
    </row>
    <row r="72" spans="24:30" x14ac:dyDescent="0.25">
      <c r="X72" s="56"/>
      <c r="Y72" s="55">
        <v>150</v>
      </c>
      <c r="Z72" s="55"/>
      <c r="AA72" s="55">
        <f>170</f>
        <v>170</v>
      </c>
      <c r="AB72" s="55"/>
      <c r="AC72" s="55"/>
      <c r="AD72" s="55"/>
    </row>
    <row r="73" spans="24:30" x14ac:dyDescent="0.25">
      <c r="X73" s="56"/>
      <c r="Y73" s="57">
        <v>160</v>
      </c>
      <c r="Z73" s="57"/>
      <c r="AA73" s="57"/>
      <c r="AB73" s="57">
        <v>171.95</v>
      </c>
      <c r="AC73" s="57">
        <v>190.27999999999997</v>
      </c>
      <c r="AD73" s="57">
        <v>160</v>
      </c>
    </row>
    <row r="74" spans="24:30" x14ac:dyDescent="0.25">
      <c r="X74" s="56"/>
      <c r="Y74" s="55">
        <v>180</v>
      </c>
      <c r="Z74" s="55"/>
      <c r="AA74" s="55"/>
      <c r="AB74" s="55"/>
      <c r="AC74" s="55">
        <v>214.04000000000002</v>
      </c>
      <c r="AD74" s="55"/>
    </row>
    <row r="75" spans="24:30" x14ac:dyDescent="0.25">
      <c r="X75" s="56"/>
      <c r="Y75" s="57">
        <v>200</v>
      </c>
      <c r="Z75" s="57"/>
      <c r="AA75" s="57">
        <f>222</f>
        <v>222</v>
      </c>
      <c r="AB75" s="57">
        <v>214.95</v>
      </c>
      <c r="AC75" s="57">
        <v>237.83999999999997</v>
      </c>
      <c r="AD75" s="57">
        <v>200</v>
      </c>
    </row>
    <row r="76" spans="24:30" x14ac:dyDescent="0.25">
      <c r="X76" s="56"/>
      <c r="Y76" s="55">
        <v>225</v>
      </c>
      <c r="Z76" s="55"/>
      <c r="AA76" s="55"/>
      <c r="AB76" s="55"/>
      <c r="AC76" s="55">
        <v>267.60000000000002</v>
      </c>
      <c r="AD76" s="55"/>
    </row>
    <row r="77" spans="24:30" x14ac:dyDescent="0.25">
      <c r="X77" s="56"/>
      <c r="Y77" s="57">
        <v>250</v>
      </c>
      <c r="Z77" s="57"/>
      <c r="AA77" s="57">
        <f>273</f>
        <v>273</v>
      </c>
      <c r="AB77" s="57">
        <v>268.64999999999998</v>
      </c>
      <c r="AC77" s="57">
        <v>297.20000000000005</v>
      </c>
      <c r="AD77" s="57">
        <v>250</v>
      </c>
    </row>
    <row r="78" spans="24:30" x14ac:dyDescent="0.25">
      <c r="X78" s="56"/>
      <c r="Y78" s="55">
        <v>280</v>
      </c>
      <c r="Z78" s="55"/>
      <c r="AA78" s="55"/>
      <c r="AB78" s="55"/>
      <c r="AC78" s="55">
        <v>332.88</v>
      </c>
      <c r="AD78" s="55"/>
    </row>
    <row r="79" spans="24:30" x14ac:dyDescent="0.25">
      <c r="X79" s="56"/>
      <c r="Y79" s="57">
        <v>300</v>
      </c>
      <c r="Z79" s="57">
        <v>408</v>
      </c>
      <c r="AA79" s="57">
        <f>325</f>
        <v>325</v>
      </c>
      <c r="AB79" s="57"/>
      <c r="AC79" s="57"/>
      <c r="AD79" s="57"/>
    </row>
    <row r="80" spans="24:30" x14ac:dyDescent="0.25">
      <c r="X80" s="56"/>
      <c r="Y80" s="55">
        <v>315</v>
      </c>
      <c r="Z80" s="55"/>
      <c r="AA80" s="55"/>
      <c r="AB80" s="55">
        <v>338.5</v>
      </c>
      <c r="AC80" s="55">
        <v>367.88</v>
      </c>
      <c r="AD80" s="55">
        <v>315</v>
      </c>
    </row>
    <row r="81" spans="24:30" x14ac:dyDescent="0.25">
      <c r="X81" s="56"/>
      <c r="Y81" s="57">
        <v>350</v>
      </c>
      <c r="Z81" s="57"/>
      <c r="AA81" s="57">
        <v>377</v>
      </c>
      <c r="AB81" s="57"/>
      <c r="AC81" s="57"/>
      <c r="AD81" s="57"/>
    </row>
    <row r="82" spans="24:30" x14ac:dyDescent="0.25">
      <c r="X82" s="56"/>
      <c r="Y82" s="55">
        <v>355</v>
      </c>
      <c r="Z82" s="55"/>
      <c r="AA82" s="55"/>
      <c r="AB82" s="55"/>
      <c r="AC82" s="55">
        <v>422.03999999999996</v>
      </c>
      <c r="AD82" s="55"/>
    </row>
    <row r="83" spans="24:30" x14ac:dyDescent="0.25">
      <c r="X83" s="56"/>
      <c r="Y83" s="57">
        <v>400</v>
      </c>
      <c r="Z83" s="57">
        <v>508</v>
      </c>
      <c r="AA83" s="57">
        <v>428</v>
      </c>
      <c r="AB83" s="57">
        <v>429.75</v>
      </c>
      <c r="AC83" s="57">
        <v>475.64</v>
      </c>
      <c r="AD83" s="57">
        <v>400</v>
      </c>
    </row>
    <row r="84" spans="24:30" x14ac:dyDescent="0.25">
      <c r="X84" s="56"/>
      <c r="Y84" s="55">
        <v>450</v>
      </c>
      <c r="Z84" s="55"/>
      <c r="AA84" s="55">
        <v>479</v>
      </c>
      <c r="AB84" s="55"/>
      <c r="AC84" s="55">
        <v>535</v>
      </c>
      <c r="AD84" s="55"/>
    </row>
    <row r="85" spans="24:30" x14ac:dyDescent="0.25">
      <c r="X85" s="56"/>
      <c r="Y85" s="57">
        <v>500</v>
      </c>
      <c r="Z85" s="57">
        <v>628</v>
      </c>
      <c r="AA85" s="57">
        <v>531</v>
      </c>
      <c r="AB85" s="57">
        <v>537.15</v>
      </c>
      <c r="AC85" s="57">
        <v>583.84999999999991</v>
      </c>
      <c r="AD85" s="57">
        <v>500</v>
      </c>
    </row>
    <row r="86" spans="24:30" x14ac:dyDescent="0.25">
      <c r="X86" s="56"/>
      <c r="Y86" s="55">
        <v>560</v>
      </c>
      <c r="Z86" s="55"/>
      <c r="AA86" s="55"/>
      <c r="AB86" s="55"/>
      <c r="AC86" s="55">
        <v>643.4666666666667</v>
      </c>
      <c r="AD86" s="55"/>
    </row>
    <row r="87" spans="24:30" x14ac:dyDescent="0.25">
      <c r="X87" s="56"/>
      <c r="Y87" s="57">
        <v>600</v>
      </c>
      <c r="Z87" s="57">
        <v>752</v>
      </c>
      <c r="AA87" s="57">
        <v>634</v>
      </c>
      <c r="AB87" s="57"/>
      <c r="AC87" s="57"/>
      <c r="AD87" s="57"/>
    </row>
    <row r="88" spans="24:30" x14ac:dyDescent="0.25">
      <c r="X88" s="56"/>
      <c r="Y88" s="55">
        <v>630</v>
      </c>
      <c r="Z88" s="55"/>
      <c r="AA88" s="55"/>
      <c r="AB88" s="55"/>
      <c r="AC88" s="55">
        <v>723.93333333333339</v>
      </c>
      <c r="AD88" s="55">
        <v>630</v>
      </c>
    </row>
    <row r="89" spans="24:30" x14ac:dyDescent="0.25">
      <c r="Y89" s="57">
        <v>700</v>
      </c>
      <c r="Z89" s="57"/>
      <c r="AA89" s="57">
        <v>738</v>
      </c>
      <c r="AB89" s="57"/>
      <c r="AC89" s="57"/>
      <c r="AD89" s="57"/>
    </row>
    <row r="90" spans="24:30" x14ac:dyDescent="0.25">
      <c r="Y90" s="55">
        <v>710</v>
      </c>
      <c r="Z90" s="55"/>
      <c r="AA90" s="55"/>
      <c r="AB90" s="55"/>
      <c r="AC90" s="55">
        <v>804.3</v>
      </c>
      <c r="AD90" s="55"/>
    </row>
    <row r="91" spans="24:30" x14ac:dyDescent="0.25">
      <c r="Y91" s="57">
        <v>800</v>
      </c>
      <c r="Z91" s="57">
        <v>970</v>
      </c>
      <c r="AA91" s="57">
        <v>842</v>
      </c>
      <c r="AB91" s="57"/>
      <c r="AC91" s="57">
        <v>906.2</v>
      </c>
      <c r="AD91" s="57"/>
    </row>
    <row r="92" spans="24:30" x14ac:dyDescent="0.25">
      <c r="Y92" s="55">
        <v>900</v>
      </c>
      <c r="Z92" s="55"/>
      <c r="AA92" s="55">
        <v>945</v>
      </c>
      <c r="AB92" s="55"/>
      <c r="AC92" s="55"/>
      <c r="AD92" s="55"/>
    </row>
    <row r="93" spans="24:30" x14ac:dyDescent="0.25">
      <c r="Y93" s="57">
        <v>1000</v>
      </c>
      <c r="Z93" s="57">
        <v>1220</v>
      </c>
      <c r="AA93" s="57">
        <v>1048</v>
      </c>
      <c r="AB93" s="57"/>
      <c r="AC93" s="57"/>
      <c r="AD93" s="57"/>
    </row>
    <row r="94" spans="24:30" x14ac:dyDescent="0.25">
      <c r="Y94" s="55">
        <v>1100</v>
      </c>
      <c r="Z94" s="55"/>
      <c r="AA94" s="55">
        <v>1152</v>
      </c>
      <c r="AB94" s="55"/>
      <c r="AC94" s="55"/>
      <c r="AD94" s="55"/>
    </row>
    <row r="95" spans="24:30" x14ac:dyDescent="0.25">
      <c r="Y95" s="57">
        <v>1200</v>
      </c>
      <c r="Z95" s="57">
        <v>1460</v>
      </c>
      <c r="AA95" s="57">
        <v>1255</v>
      </c>
      <c r="AB95" s="57"/>
      <c r="AC95" s="57"/>
      <c r="AD95" s="57"/>
    </row>
    <row r="96" spans="24:30" x14ac:dyDescent="0.25">
      <c r="Y96" s="55">
        <v>1400</v>
      </c>
      <c r="Z96" s="55">
        <v>1660</v>
      </c>
      <c r="AA96" s="55">
        <v>1462</v>
      </c>
      <c r="AB96" s="55"/>
      <c r="AC96" s="55"/>
      <c r="AD96" s="55"/>
    </row>
    <row r="97" spans="25:30" x14ac:dyDescent="0.25">
      <c r="Y97" s="57">
        <v>1500</v>
      </c>
      <c r="Z97" s="57">
        <v>1800</v>
      </c>
      <c r="AA97" s="57">
        <v>1565</v>
      </c>
      <c r="AB97" s="57"/>
      <c r="AC97" s="57"/>
      <c r="AD97" s="57"/>
    </row>
    <row r="98" spans="25:30" x14ac:dyDescent="0.25">
      <c r="Y98" s="55">
        <v>1600</v>
      </c>
      <c r="Z98" s="55">
        <v>1920</v>
      </c>
      <c r="AA98" s="55">
        <v>1668</v>
      </c>
      <c r="AB98" s="55"/>
      <c r="AC98" s="55"/>
      <c r="AD98" s="55"/>
    </row>
    <row r="99" spans="25:30" x14ac:dyDescent="0.25">
      <c r="Y99" s="57">
        <v>1800</v>
      </c>
      <c r="Z99" s="57">
        <v>2140</v>
      </c>
      <c r="AA99" s="57">
        <v>1875</v>
      </c>
      <c r="AB99" s="57"/>
      <c r="AC99" s="57"/>
      <c r="AD99" s="57"/>
    </row>
    <row r="100" spans="25:30" x14ac:dyDescent="0.25">
      <c r="Y100" s="55">
        <v>2000</v>
      </c>
      <c r="Z100" s="55">
        <v>2380</v>
      </c>
      <c r="AA100" s="55">
        <v>2082</v>
      </c>
      <c r="AB100" s="55"/>
      <c r="AC100" s="55"/>
      <c r="AD100" s="55"/>
    </row>
    <row r="101" spans="25:30" x14ac:dyDescent="0.25">
      <c r="Y101" s="57">
        <v>2200</v>
      </c>
      <c r="Z101" s="57">
        <v>2660</v>
      </c>
      <c r="AA101" s="57"/>
      <c r="AB101" s="57"/>
      <c r="AC101" s="57"/>
      <c r="AD101" s="57"/>
    </row>
  </sheetData>
  <mergeCells count="2">
    <mergeCell ref="C2:C3"/>
    <mergeCell ref="Y56:Y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Recap</vt:lpstr>
      <vt:lpstr>Cubatures</vt:lpstr>
      <vt:lpstr>Données de fonctionnement </vt:lpstr>
      <vt:lpstr>DnCANA</vt:lpstr>
      <vt:lpstr>AMJ10485655</vt:lpstr>
      <vt:lpstr>Béton</vt:lpstr>
      <vt:lpstr>chiffres</vt:lpstr>
      <vt:lpstr>DN</vt:lpstr>
      <vt:lpstr>Fonte</vt:lpstr>
      <vt:lpstr>Liste_materiaux</vt:lpstr>
      <vt:lpstr>ListeMatv2</vt:lpstr>
      <vt:lpstr>mois</vt:lpstr>
      <vt:lpstr>PE</vt:lpstr>
      <vt:lpstr>Polypro</vt:lpstr>
      <vt:lpstr>PVC</vt:lpstr>
      <vt:lpstr>Cubatures!Zone_d_impression</vt:lpstr>
      <vt:lpstr>'Données de fonctionnement '!Zone_d_impression</vt:lpstr>
      <vt:lpstr>Recap!Zone_d_impression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2022-04-28T07:38:46Z</dcterms:created>
  <dcterms:modified xsi:type="dcterms:W3CDTF">2022-05-17T09:30:35Z</dcterms:modified>
</cp:coreProperties>
</file>