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D:\fichier chef d'oeuvre\"/>
    </mc:Choice>
  </mc:AlternateContent>
  <bookViews>
    <workbookView xWindow="0" yWindow="0" windowWidth="21600" windowHeight="9630" activeTab="6"/>
  </bookViews>
  <sheets>
    <sheet name="Notice" sheetId="10" r:id="rId1"/>
    <sheet name="CLASSES" sheetId="13" r:id="rId2"/>
    <sheet name="IDENTIFICATION" sheetId="14" r:id="rId3"/>
    <sheet name="1ère année" sheetId="1" r:id="rId4"/>
    <sheet name="2ème année" sheetId="9" r:id="rId5"/>
    <sheet name="Oral" sheetId="11" r:id="rId6"/>
    <sheet name="Notation" sheetId="12" r:id="rId7"/>
    <sheet name="Descripteurs" sheetId="3" r:id="rId8"/>
    <sheet name="Réglages" sheetId="4" r:id="rId9"/>
    <sheet name="Calcul notes" sheetId="6" state="hidden" r:id="rId10"/>
    <sheet name="Onglet technique radar" sheetId="8" state="hidden" r:id="rId11"/>
  </sheets>
  <externalReferences>
    <externalReference r:id="rId12"/>
  </externalReferences>
  <definedNames>
    <definedName name="CODAGE">'Onglet technique radar'!$A$1:$B$7</definedName>
    <definedName name="EST_EVALUE_ANNEE_1">'Calcul notes'!$A$17</definedName>
    <definedName name="EST_EVALUE_ANNEE_2">'Calcul notes'!$A$34</definedName>
    <definedName name="MOYENNE_LIVRET">'Calcul notes'!$B$63</definedName>
    <definedName name="NOTE_1">IF(EST_EVALUE_ANNEE_1,ROUNDUP(SUM('Calcul notes'!$I$6:$I$14),0),"Non évalué")</definedName>
    <definedName name="NOTE_1_TEXTE">IF(EST_EVALUE_ANNEE_1,CONCATENATE(TEXT(NOTE_1,"@"),"/20"),"Non évalué(e)")</definedName>
    <definedName name="NOTE_2">IF(EST_EVALUE_ANNEE_2,ROUNDUP(SUM('Calcul notes'!$I$23:$I$31),0),"Non évalué")</definedName>
    <definedName name="NOTE_2_TEXTE">IF(EST_EVALUE_ANNEE_2,CONCATENATE(TEXT(NOTE_2,"@"),"/20"),"Non évalué(e)")</definedName>
    <definedName name="NOTE_FINALE">'Calcul notes'!$B$69</definedName>
    <definedName name="NOTE_ORAL">'Calcul notes'!$E$57</definedName>
    <definedName name="PLAGE_BAREME">Réglages!$B$3:$D$21</definedName>
    <definedName name="PLAGE_DESCRIPTEURS">Descripteurs!$C$1:$H$13</definedName>
    <definedName name="PLAGE_POSITIONNEMENT_1">'1ère année'!$A$9:$B$20</definedName>
    <definedName name="PLAGE_POSITIONNEMENT_2">'2ème année'!$A$9:$B$20</definedName>
    <definedName name="POINTS_OBTENUS_ANNEE_1">'Calcul notes'!$I$5</definedName>
    <definedName name="POINTS_OBTENUS_ANNEE_2">'Calcul notes'!$I$22</definedName>
    <definedName name="POINTS_VISES_DOMAINE_1_ANNEE_1">'Calcul notes'!$H$3</definedName>
    <definedName name="POINTS_VISES_DOMAINE_2_ANNEE_1">'Calcul notes'!$H$4</definedName>
    <definedName name="POINTS_VISES_DOMAINE_3_ANNEE_1">'Calcul notes'!$H$5</definedName>
    <definedName name="Une_seconde_chance_pour_la_réussite" comment="Complétez le nom du projet">CLASSES!$E$1</definedName>
    <definedName name="VERSION">Notice!$E$4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0" i="12" l="1"/>
  <c r="B8" i="14" l="1"/>
  <c r="B6" i="1"/>
  <c r="B5" i="1" l="1"/>
  <c r="B4" i="1"/>
  <c r="B11" i="14"/>
  <c r="D15" i="4" l="1"/>
  <c r="E8" i="12"/>
  <c r="E7" i="12"/>
  <c r="E6" i="12"/>
  <c r="E5" i="12"/>
  <c r="D56" i="6" l="1"/>
  <c r="C56" i="6"/>
  <c r="D55" i="6"/>
  <c r="C55" i="6"/>
  <c r="E53" i="6"/>
  <c r="C53" i="6"/>
  <c r="E51" i="6"/>
  <c r="D51" i="6"/>
  <c r="E49" i="6"/>
  <c r="D49" i="6"/>
  <c r="C49" i="6"/>
  <c r="E48" i="6"/>
  <c r="D48" i="6"/>
  <c r="C48" i="6"/>
  <c r="D45" i="6"/>
  <c r="C45" i="6"/>
  <c r="E42" i="6"/>
  <c r="C42" i="6"/>
  <c r="K39" i="11"/>
  <c r="K38" i="11"/>
  <c r="K36" i="11"/>
  <c r="K34" i="11"/>
  <c r="K31" i="11"/>
  <c r="K28" i="11"/>
  <c r="K25" i="11"/>
  <c r="G4" i="12" l="1"/>
  <c r="H4" i="11"/>
  <c r="D2" i="9"/>
  <c r="D2" i="1"/>
  <c r="B18" i="8"/>
  <c r="B17" i="8"/>
  <c r="B16" i="8"/>
  <c r="B15" i="8"/>
  <c r="B14" i="8"/>
  <c r="B13" i="8"/>
  <c r="B12" i="8"/>
  <c r="B11" i="8"/>
  <c r="B10" i="8"/>
  <c r="F8" i="11"/>
  <c r="F7" i="11"/>
  <c r="F6" i="11"/>
  <c r="F5" i="11"/>
  <c r="D36" i="6"/>
  <c r="B36" i="6"/>
  <c r="C26" i="4"/>
  <c r="E36" i="6" s="1"/>
  <c r="C25" i="4"/>
  <c r="E25" i="4" s="1"/>
  <c r="C24" i="4"/>
  <c r="C36" i="6" s="1"/>
  <c r="C51" i="6" s="1"/>
  <c r="E20" i="4"/>
  <c r="E18" i="4"/>
  <c r="E43" i="6"/>
  <c r="D43" i="6"/>
  <c r="C43" i="6"/>
  <c r="E40" i="6"/>
  <c r="D40" i="6"/>
  <c r="C40" i="6"/>
  <c r="E39" i="6"/>
  <c r="D39" i="6"/>
  <c r="C39" i="6"/>
  <c r="E38" i="6"/>
  <c r="C38" i="6"/>
  <c r="E37" i="6"/>
  <c r="D37" i="6"/>
  <c r="C37" i="6"/>
  <c r="B37" i="6"/>
  <c r="K32" i="11"/>
  <c r="K26" i="11"/>
  <c r="K23" i="11"/>
  <c r="K22" i="11"/>
  <c r="K21" i="11"/>
  <c r="K20" i="11"/>
  <c r="C31" i="6"/>
  <c r="F31" i="6" s="1"/>
  <c r="C30" i="6"/>
  <c r="F30" i="6" s="1"/>
  <c r="C29" i="6"/>
  <c r="F29" i="6" s="1"/>
  <c r="C28" i="6"/>
  <c r="F28" i="6" s="1"/>
  <c r="C27" i="6"/>
  <c r="F27" i="6" s="1"/>
  <c r="G27" i="6" s="1"/>
  <c r="C26" i="6"/>
  <c r="F26" i="6" s="1"/>
  <c r="C25" i="6"/>
  <c r="F25" i="6" s="1"/>
  <c r="C24" i="6"/>
  <c r="F24" i="6" s="1"/>
  <c r="C23" i="6"/>
  <c r="F23" i="6" s="1"/>
  <c r="G23" i="6" s="1"/>
  <c r="D10" i="9" s="1" a="1"/>
  <c r="D10" i="9" s="1"/>
  <c r="B30" i="6"/>
  <c r="B29" i="6"/>
  <c r="B27" i="6"/>
  <c r="B26" i="6"/>
  <c r="B25" i="6"/>
  <c r="B23" i="6"/>
  <c r="B21" i="6"/>
  <c r="B20" i="6"/>
  <c r="B6" i="9"/>
  <c r="B5" i="9"/>
  <c r="B4" i="9"/>
  <c r="B3" i="9"/>
  <c r="C20" i="9"/>
  <c r="C19" i="9"/>
  <c r="C18" i="9"/>
  <c r="C16" i="9"/>
  <c r="C15" i="9"/>
  <c r="C14" i="9"/>
  <c r="C13" i="9"/>
  <c r="C11" i="9"/>
  <c r="C10" i="9"/>
  <c r="C20" i="1"/>
  <c r="C19" i="1"/>
  <c r="C18" i="1"/>
  <c r="C16" i="1"/>
  <c r="C15" i="1"/>
  <c r="C14" i="1"/>
  <c r="C13" i="1"/>
  <c r="C11" i="1"/>
  <c r="C10" i="1"/>
  <c r="C14" i="6"/>
  <c r="C13" i="6"/>
  <c r="C12" i="6"/>
  <c r="C11" i="6"/>
  <c r="C10" i="6"/>
  <c r="C9" i="6"/>
  <c r="C8" i="6"/>
  <c r="F8" i="6" s="1"/>
  <c r="C7" i="6"/>
  <c r="F7" i="6" s="1"/>
  <c r="C6" i="6"/>
  <c r="B13" i="6"/>
  <c r="B12" i="6"/>
  <c r="B10" i="6"/>
  <c r="B9" i="6"/>
  <c r="B8" i="6"/>
  <c r="B6" i="6"/>
  <c r="B4" i="6"/>
  <c r="B3" i="6"/>
  <c r="C15" i="4"/>
  <c r="B14" i="6" s="1"/>
  <c r="B31" i="6"/>
  <c r="D12" i="4"/>
  <c r="B28" i="6" s="1"/>
  <c r="C12" i="4"/>
  <c r="B11" i="6" s="1"/>
  <c r="D8" i="4"/>
  <c r="B24" i="6" s="1"/>
  <c r="C8" i="4"/>
  <c r="D5" i="4"/>
  <c r="B22" i="6" s="1"/>
  <c r="C5" i="4"/>
  <c r="B5" i="6" s="1"/>
  <c r="B55" i="6" l="1"/>
  <c r="B51" i="6"/>
  <c r="B56" i="6"/>
  <c r="B53" i="6"/>
  <c r="B43" i="6"/>
  <c r="B49" i="6"/>
  <c r="B48" i="6"/>
  <c r="D53" i="6"/>
  <c r="D42" i="6"/>
  <c r="E56" i="6"/>
  <c r="E45" i="6"/>
  <c r="E55" i="6"/>
  <c r="B42" i="6"/>
  <c r="B45" i="6"/>
  <c r="B39" i="6"/>
  <c r="B40" i="6"/>
  <c r="B38" i="6"/>
  <c r="D38" i="6"/>
  <c r="G26" i="6"/>
  <c r="G28" i="6"/>
  <c r="G29" i="6"/>
  <c r="G24" i="6"/>
  <c r="G30" i="6"/>
  <c r="G25" i="6"/>
  <c r="G31" i="6"/>
  <c r="C20" i="6"/>
  <c r="C21" i="6"/>
  <c r="K25" i="6"/>
  <c r="A34" i="6"/>
  <c r="K29" i="6"/>
  <c r="D24" i="6"/>
  <c r="D30" i="6"/>
  <c r="K26" i="6"/>
  <c r="K28" i="6"/>
  <c r="D26" i="6"/>
  <c r="D28" i="6"/>
  <c r="K30" i="6"/>
  <c r="C22" i="6"/>
  <c r="D23" i="6"/>
  <c r="D25" i="6"/>
  <c r="D27" i="6"/>
  <c r="D29" i="6"/>
  <c r="D31" i="6"/>
  <c r="D6" i="6"/>
  <c r="D12" i="6"/>
  <c r="K7" i="6"/>
  <c r="K8" i="6"/>
  <c r="D13" i="6"/>
  <c r="D14" i="6"/>
  <c r="D9" i="6"/>
  <c r="B7" i="6"/>
  <c r="D7" i="6" s="1"/>
  <c r="D10" i="6"/>
  <c r="D11" i="6"/>
  <c r="G7" i="6"/>
  <c r="G8" i="6"/>
  <c r="F9" i="6"/>
  <c r="G9" i="6" s="1"/>
  <c r="F10" i="6"/>
  <c r="G10" i="6" s="1"/>
  <c r="F11" i="6"/>
  <c r="K11" i="6" s="1"/>
  <c r="F6" i="6"/>
  <c r="F12" i="6"/>
  <c r="G12" i="6" s="1"/>
  <c r="F13" i="6"/>
  <c r="G13" i="6" s="1"/>
  <c r="F14" i="6"/>
  <c r="G14" i="6" s="1"/>
  <c r="A17" i="6"/>
  <c r="C4" i="6"/>
  <c r="C3" i="6"/>
  <c r="C5" i="6"/>
  <c r="D8" i="6"/>
  <c r="F56" i="6" l="1"/>
  <c r="F45" i="6"/>
  <c r="E57" i="6" s="1"/>
  <c r="A66" i="6" s="1"/>
  <c r="B66" i="6" s="1"/>
  <c r="G6" i="6"/>
  <c r="D10" i="1" s="1"/>
  <c r="K6" i="6"/>
  <c r="D11" i="9" a="1"/>
  <c r="D11" i="9" s="1"/>
  <c r="D20" i="9" a="1"/>
  <c r="D20" i="9" s="1"/>
  <c r="D13" i="9" a="1"/>
  <c r="D13" i="9" s="1"/>
  <c r="D18" i="9" a="1"/>
  <c r="D18" i="9" s="1"/>
  <c r="D15" i="9" a="1"/>
  <c r="D15" i="9" s="1"/>
  <c r="D20" i="6"/>
  <c r="E23" i="6"/>
  <c r="E24" i="6"/>
  <c r="D22" i="6"/>
  <c r="E31" i="6"/>
  <c r="E29" i="6"/>
  <c r="E30" i="6"/>
  <c r="D21" i="6"/>
  <c r="E28" i="6"/>
  <c r="E27" i="6"/>
  <c r="E26" i="6"/>
  <c r="E25" i="6"/>
  <c r="K27" i="6"/>
  <c r="K23" i="6"/>
  <c r="K31" i="6"/>
  <c r="K24" i="6"/>
  <c r="D19" i="1"/>
  <c r="D13" i="1"/>
  <c r="D11" i="1"/>
  <c r="D15" i="1"/>
  <c r="D18" i="1"/>
  <c r="D20" i="1"/>
  <c r="D14" i="1"/>
  <c r="K10" i="6"/>
  <c r="K13" i="6"/>
  <c r="K9" i="6"/>
  <c r="K12" i="6"/>
  <c r="K14" i="6"/>
  <c r="G11" i="6"/>
  <c r="E7" i="6"/>
  <c r="E6" i="6"/>
  <c r="D4" i="6"/>
  <c r="E8" i="6"/>
  <c r="E9" i="6"/>
  <c r="E11" i="6"/>
  <c r="E10" i="6"/>
  <c r="D5" i="6"/>
  <c r="E14" i="6"/>
  <c r="E13" i="6"/>
  <c r="E12" i="6"/>
  <c r="D3" i="6"/>
  <c r="G18" i="12" l="1"/>
  <c r="D16" i="9" a="1"/>
  <c r="D16" i="9" s="1"/>
  <c r="D14" i="9" a="1"/>
  <c r="D14" i="9" s="1"/>
  <c r="D19" i="9" a="1"/>
  <c r="D19" i="9" s="1"/>
  <c r="E22" i="6"/>
  <c r="H22" i="6" s="1"/>
  <c r="I31" i="6" s="1"/>
  <c r="E20" i="6"/>
  <c r="H20" i="6" s="1"/>
  <c r="E21" i="6"/>
  <c r="H21" i="6" s="1"/>
  <c r="I27" i="6" s="1"/>
  <c r="D16" i="1"/>
  <c r="E5" i="6"/>
  <c r="H5" i="6" s="1"/>
  <c r="I12" i="6" s="1"/>
  <c r="J12" i="6" s="1"/>
  <c r="E3" i="6"/>
  <c r="H3" i="6" s="1"/>
  <c r="E4" i="6"/>
  <c r="H4" i="6" s="1"/>
  <c r="I26" i="6" l="1"/>
  <c r="J26" i="6" s="1"/>
  <c r="I28" i="6"/>
  <c r="J28" i="6" s="1"/>
  <c r="I25" i="6"/>
  <c r="J25" i="6" s="1"/>
  <c r="I24" i="6"/>
  <c r="J24" i="6" s="1"/>
  <c r="I23" i="6"/>
  <c r="I30" i="6"/>
  <c r="J30" i="6" s="1"/>
  <c r="I29" i="6"/>
  <c r="J29" i="6" s="1"/>
  <c r="I11" i="6"/>
  <c r="J11" i="6" s="1"/>
  <c r="J27" i="6"/>
  <c r="I6" i="6"/>
  <c r="J31" i="6"/>
  <c r="I13" i="6"/>
  <c r="J13" i="6" s="1"/>
  <c r="I10" i="6"/>
  <c r="J10" i="6" s="1"/>
  <c r="I8" i="6"/>
  <c r="J8" i="6" s="1"/>
  <c r="I9" i="6"/>
  <c r="J9" i="6" s="1"/>
  <c r="I14" i="6"/>
  <c r="J14" i="6" s="1"/>
  <c r="I7" i="6"/>
  <c r="J7" i="6" s="1"/>
  <c r="G14" i="12" l="1" a="1"/>
  <c r="G14" i="12" s="1"/>
  <c r="A59" i="6" a="1"/>
  <c r="A59" i="6" s="1"/>
  <c r="G12" i="12" a="1"/>
  <c r="G12" i="12" s="1"/>
  <c r="A60" i="6" a="1"/>
  <c r="A60" i="6" s="1"/>
  <c r="J6" i="6"/>
  <c r="J23" i="6"/>
  <c r="B61" i="6" l="1"/>
  <c r="B62" i="6"/>
  <c r="B63" i="6" l="1"/>
  <c r="G16" i="12" s="1"/>
  <c r="A65" i="6" l="1"/>
  <c r="B68" i="6" s="1"/>
  <c r="B65" i="6" l="1"/>
  <c r="B67" i="6" s="1"/>
  <c r="B69" i="6" s="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<sst xmlns="http://schemas.openxmlformats.org/spreadsheetml/2006/main" count="399" uniqueCount="202">
  <si>
    <t>Organiser et planifier son travail</t>
  </si>
  <si>
    <t>Tenir à jour l'état des avancées et des progrès réalisés</t>
  </si>
  <si>
    <t>S'intégrer dans son environnement et/ou un collectif de travail</t>
  </si>
  <si>
    <t>Rendre compte de l'état d'avancement du  chef d'œuvre tout au long de sa réalisation</t>
  </si>
  <si>
    <t>Analyser, évaluer son travail personnel</t>
  </si>
  <si>
    <t>Non évalué</t>
  </si>
  <si>
    <t>1 - Découvre</t>
  </si>
  <si>
    <t>2 - Expérimente</t>
  </si>
  <si>
    <t>3 - Entre dans l'autonomie</t>
  </si>
  <si>
    <t>4 - Maîtrise</t>
  </si>
  <si>
    <t>Mobiliser ses compétences, ses connaissances dans la réalisation du chef d'œuvre</t>
  </si>
  <si>
    <t>Prendre des responsabilités et des initiatives dans la démarche de projet</t>
  </si>
  <si>
    <t>S'adapter aux situations et  proposer des solutions  pour remédier aux difficultés rencontrées</t>
  </si>
  <si>
    <t>Exprime des besoins nouveaux et tend à approfondir sa formation pour parvenir à ses fins.</t>
  </si>
  <si>
    <t>Identifie les liens évidents entre le chef d'œuvre et les compétences et connaissances étudiées en classe.</t>
  </si>
  <si>
    <t>Capacité à mobiliser ses compétences, ses connaissances et les ressources disponibles</t>
  </si>
  <si>
    <t>Capacité à s'engager, à organiser son travail et à s'intégrer dans son environnement</t>
  </si>
  <si>
    <t>Capacité à analyser son travail, à s'adapter aux aléas et rendre compte du travail mené</t>
  </si>
  <si>
    <t>Positionnement</t>
  </si>
  <si>
    <t>Descripteur</t>
  </si>
  <si>
    <t>Identifie des partenaires de son environnement proche. Mobilise des ressources présélectionnées.</t>
  </si>
  <si>
    <t>Identifie les modalités de fonctionnement, les usages élémentaires de son environnement et/ou collectif de travail.</t>
  </si>
  <si>
    <t>Emet une ou plusieurs idées pour le projet.</t>
  </si>
  <si>
    <t>Identifie et signale la présence d'un problème ou d'un évènement imprévu.</t>
  </si>
  <si>
    <t>Identifie ses forces et ses faiblesses.</t>
  </si>
  <si>
    <t>Met en œuvre ses compétences et connaissances.</t>
  </si>
  <si>
    <t>Sollicite des partenaires, dans une démarche accompagnée.
Utilise des ressources connues.</t>
  </si>
  <si>
    <t>Applique les conventions en usage, situe le rôle des participants et sa position dans le groupe.</t>
  </si>
  <si>
    <t>Confronte ses idées aux réalités du projet visé.</t>
  </si>
  <si>
    <t>Identifie la procédure pour la résolution des aléas courants sous contôle.</t>
  </si>
  <si>
    <t>Envisage des possibles pour améliorer sa pratique.</t>
  </si>
  <si>
    <t>Choisit les savoirs, savoir-faire et savoir-être à mettre en oeuvre pour mener à bien son projet.</t>
  </si>
  <si>
    <t>Recherche et sélectionne des partenaires.
Choisit les ressources nécessaires au projet.</t>
  </si>
  <si>
    <t>Met en oeuvre les conventions dans toutes les situations liées à l'activité concernée, fait des propositions et prend en compte les avis des membres du collectif.</t>
  </si>
  <si>
    <t>Définit et justifie les initiatives envisagées.</t>
  </si>
  <si>
    <t>Investit d'autres stratégies (recherche et applique) pour optimiser son action.</t>
  </si>
  <si>
    <t>Conduit l'échange avec les partenaires.
Adapte les ressources en fonction des besoins.</t>
  </si>
  <si>
    <t>Assure l'adaptation à différents usages, y compris implicites, anime et développe le travail collectif, peut varier sa place et son rôle.</t>
  </si>
  <si>
    <t>Planifie la ou les étapes de la mise en oeuvre de son initiative.</t>
  </si>
  <si>
    <t>Résout des problèmes courants dans son activité et/ou celle de son équipe. Prise de décision en autonomie</t>
  </si>
  <si>
    <t>Mobilise de nouvelles manières d'apprendre et de travailler.</t>
  </si>
  <si>
    <t>Met en oeuvre la procédure adaptée aux aléas courants liés à son activité. Application en autonomie.</t>
  </si>
  <si>
    <t>Mobiliser les ressources internes et externes (partenaires, équipements, moyens...)</t>
  </si>
  <si>
    <t>A</t>
  </si>
  <si>
    <t>B</t>
  </si>
  <si>
    <t>C</t>
  </si>
  <si>
    <t>Mobiliser ses compétences, ses connaissances et les ressources disponibles</t>
  </si>
  <si>
    <t>S'engager, organiser son travail et s'intégrer dans son environnement</t>
  </si>
  <si>
    <t>Analyser son travail, s'adapter aux aléas et rendre compte du travail mené</t>
  </si>
  <si>
    <t>Pour la première année</t>
  </si>
  <si>
    <t>Pour l'année de terminale</t>
  </si>
  <si>
    <t>Part des 3 capacités dans la note sur 20</t>
  </si>
  <si>
    <t>Points obtenus par compétence en fonction du positionnement</t>
  </si>
  <si>
    <t>Neutralisé ?</t>
  </si>
  <si>
    <t>Part de la note/du domaine visée</t>
  </si>
  <si>
    <t>Apport</t>
  </si>
  <si>
    <t>Au moins une évaluation ?</t>
  </si>
  <si>
    <t>Part après neutralisations</t>
  </si>
  <si>
    <t>Points visés</t>
  </si>
  <si>
    <t>Points obtenus</t>
  </si>
  <si>
    <t>Traduction</t>
  </si>
  <si>
    <t>Forme texte</t>
  </si>
  <si>
    <t>Code</t>
  </si>
  <si>
    <t>Codage</t>
  </si>
  <si>
    <t>Intitulés courts</t>
  </si>
  <si>
    <t>Compétences/connaissances</t>
  </si>
  <si>
    <t>Ressources internes/externes</t>
  </si>
  <si>
    <t>Organiser planifier</t>
  </si>
  <si>
    <t>Suivre avancées/progrès</t>
  </si>
  <si>
    <t>Environnement, collectif de travail</t>
  </si>
  <si>
    <t>Responsabilités, initiatives</t>
  </si>
  <si>
    <t>S'adapter, remédier aux difficultés</t>
  </si>
  <si>
    <t>Rendre compte de l'avancement</t>
  </si>
  <si>
    <t>Analyser/évaluer son travail personnel</t>
  </si>
  <si>
    <t>Progression vers les attendus</t>
  </si>
  <si>
    <t>Nom :</t>
  </si>
  <si>
    <t>Prénom :</t>
  </si>
  <si>
    <t>POUR LA PREMIERE NOTE ANNUELLE</t>
  </si>
  <si>
    <t>POUR LA DEUXIEME NOTE ANNUELLE</t>
  </si>
  <si>
    <t>Poids de chaque compétence au sein de la capacité correspondante</t>
  </si>
  <si>
    <t>Projet de chef d'œuvre :</t>
  </si>
  <si>
    <t>Présentation orale</t>
  </si>
  <si>
    <t>APTITUDE À S'ADAPTER À SES INTERLOCUTEURS ET À LA SITUATION</t>
  </si>
  <si>
    <t>Première année</t>
  </si>
  <si>
    <t>Deuxième année</t>
  </si>
  <si>
    <t xml:space="preserve">Moyenne </t>
  </si>
  <si>
    <t>Note finale</t>
  </si>
  <si>
    <t>Proposition de note finale</t>
  </si>
  <si>
    <t>Evaluation</t>
  </si>
  <si>
    <t>Note obtenue sur 20</t>
  </si>
  <si>
    <t>1 - non maîtrisées
2 - insuffisamment maîtrisées
3 - maîtrisées
4 - bien maîtrisées</t>
  </si>
  <si>
    <t>Compétences attendues :</t>
  </si>
  <si>
    <t>Identifie clairement, précisément et objectivement la part individuelle investie dans le projet</t>
  </si>
  <si>
    <r>
      <t>Hiérarchise correctement les informations délivrées pour introduire le sujet</t>
    </r>
    <r>
      <rPr>
        <i/>
        <sz val="11"/>
        <color theme="1"/>
        <rFont val="Calibri"/>
        <family val="2"/>
      </rPr>
      <t/>
    </r>
  </si>
  <si>
    <t>Identifie clairement, précisément et objectivement les objectifs du projet, les étapes et les acteurs</t>
  </si>
  <si>
    <t>Entre dans l'échange avec le jury</t>
  </si>
  <si>
    <t>Positionnement en continu, évaluation de l'oral et proposition de note finale</t>
  </si>
  <si>
    <r>
      <rPr>
        <sz val="11"/>
        <color theme="1"/>
        <rFont val="Calibri"/>
        <family val="2"/>
      </rPr>
      <t>É</t>
    </r>
    <r>
      <rPr>
        <sz val="11"/>
        <color theme="1"/>
        <rFont val="Calibri"/>
        <family val="2"/>
        <scheme val="minor"/>
      </rPr>
      <t>valuation de la présentation orale</t>
    </r>
  </si>
  <si>
    <t>Membres de la commission d'évaluation</t>
  </si>
  <si>
    <t>Professeur Enseignement professionnel</t>
  </si>
  <si>
    <t>oui</t>
  </si>
  <si>
    <t>non</t>
  </si>
  <si>
    <t xml:space="preserve">Professeur Enseignement général - Discipline : </t>
  </si>
  <si>
    <t xml:space="preserve">Nom : </t>
  </si>
  <si>
    <t>Identifie les difficultés rencontrées et la manière dont elles ont été dépassées ou non</t>
  </si>
  <si>
    <r>
      <t xml:space="preserve">Met en avant les aspects positifs </t>
    </r>
    <r>
      <rPr>
        <sz val="11"/>
        <rFont val="Calibri"/>
        <family val="2"/>
        <scheme val="minor"/>
      </rPr>
      <t>ou négatifs rencontrés au long du projet</t>
    </r>
  </si>
  <si>
    <t>Met en exergue la pertinence du chef-d’oeuvre par rapport à sa filière métier</t>
  </si>
  <si>
    <t>x</t>
  </si>
  <si>
    <t>POUR L'EPREUVE ORALE</t>
  </si>
  <si>
    <t>Hiérarchise correctement les informations délivrées pour introduire le sujet</t>
  </si>
  <si>
    <t>Met en avant les aspects positifs ou négatifs rencontrés au long du projet</t>
  </si>
  <si>
    <t>CALCUL DES NOTES ANNUELLES</t>
  </si>
  <si>
    <r>
      <t xml:space="preserve">CALCUL DE LA NOTE D'EXAMEN
</t>
    </r>
    <r>
      <rPr>
        <sz val="14"/>
        <color theme="1"/>
        <rFont val="Calibri"/>
        <family val="2"/>
        <scheme val="minor"/>
      </rPr>
      <t>pourcentage de la note obtenu à chaque niveau de maîtrise</t>
    </r>
  </si>
  <si>
    <t>insuffisamment maîtrisées</t>
  </si>
  <si>
    <t>maîtrisées</t>
  </si>
  <si>
    <t>bien maîtrisées</t>
  </si>
  <si>
    <t>non maîtrisées</t>
  </si>
  <si>
    <t>L'élève qui atteint le niveau "maîtrisé" dans toutes les compétences aura :</t>
  </si>
  <si>
    <t>POUR LES 2 NOTES ANNUELLES</t>
  </si>
  <si>
    <t>Nombre de notes</t>
  </si>
  <si>
    <t>Nombre de points</t>
  </si>
  <si>
    <t>Moyenne</t>
  </si>
  <si>
    <t>POUR LA NOTE FINALE</t>
  </si>
  <si>
    <t>Attendu année 1</t>
  </si>
  <si>
    <r>
      <rPr>
        <sz val="20"/>
        <color rgb="FF7030A0"/>
        <rFont val="Calibri"/>
        <family val="2"/>
      </rPr>
      <t>É</t>
    </r>
    <r>
      <rPr>
        <sz val="20"/>
        <color rgb="FF7030A0"/>
        <rFont val="Calibri"/>
        <family val="2"/>
        <scheme val="minor"/>
      </rPr>
      <t>valuation du chef d'œuvre au baccalauréat</t>
    </r>
  </si>
  <si>
    <r>
      <rPr>
        <sz val="18"/>
        <color rgb="FF7030A0"/>
        <rFont val="Calibri"/>
        <family val="2"/>
      </rPr>
      <t>É</t>
    </r>
    <r>
      <rPr>
        <sz val="18"/>
        <color rgb="FF7030A0"/>
        <rFont val="Calibri"/>
        <family val="2"/>
        <scheme val="minor"/>
      </rPr>
      <t>valuation du chef d'œuvre au baccalauréat</t>
    </r>
  </si>
  <si>
    <r>
      <rPr>
        <sz val="16"/>
        <color rgb="FF7030A0"/>
        <rFont val="Calibri"/>
        <family val="2"/>
      </rPr>
      <t>É</t>
    </r>
    <r>
      <rPr>
        <sz val="16"/>
        <color rgb="FF7030A0"/>
        <rFont val="Calibri"/>
        <family val="2"/>
        <scheme val="minor"/>
      </rPr>
      <t>valuation du chef d'œuvre au baccalauréat</t>
    </r>
  </si>
  <si>
    <t>CAPACITÉ  À RELATER LA DEMARCHE utilisée pour conduire à la réalisation du chef-d'œuvre</t>
  </si>
  <si>
    <r>
      <t>La présentation est claire et les</t>
    </r>
    <r>
      <rPr>
        <sz val="12"/>
        <rFont val="Calibri"/>
        <family val="2"/>
        <scheme val="minor"/>
      </rPr>
      <t xml:space="preserve"> termes utilisés sont pertinents</t>
    </r>
  </si>
  <si>
    <t xml:space="preserve">Les consignes sur le contenu exigé sont respectées </t>
  </si>
  <si>
    <t>Est autonome par rapport au support de présentation orale du chef-d'oeuvre</t>
  </si>
  <si>
    <t>CAPACITÉ  À MONTRER EN QUOI la réalisation du chef d'œuvre relève de la démarche de projet</t>
  </si>
  <si>
    <t>APTITUDE À APPRÉCIER les points forts et les points faibles du chef-d’oeuvre et de la démarche adoptée</t>
  </si>
  <si>
    <t>CAPACITÉ  À ANALYSER les particularités et les difficultés du travail en autonomie</t>
  </si>
  <si>
    <t xml:space="preserve">Emet un avis ou ressenti personnel sur le chef-d’oeuvre entrepris </t>
  </si>
  <si>
    <t>APTITUDE À faire ressortir la valeur ou l'intérêt que présente son chef-d'oeuvre</t>
  </si>
  <si>
    <t>APTITUDE À TRANSPOSER la démarche de projet adoptée pour le chef d'œuvre, durant ses PFMP et dans sa future pratique professionnelle</t>
  </si>
  <si>
    <t>Identifie les enjeux de transition écologique et/ou numérique, dans le champ de la spécialité de baccalauréat</t>
  </si>
  <si>
    <t>Met en perspective l'expérience tirée du chef-d'œuvre dans le cadre plus large du contexte économique, culturel, de la filière métier concernée</t>
  </si>
  <si>
    <t xml:space="preserve">CAPACITÉ À RESTITUER 
le travail mené dans le cadre de la réalisation du chef-d’oeuvre </t>
  </si>
  <si>
    <r>
      <t>APTITUDE À TRANSPOSER</t>
    </r>
    <r>
      <rPr>
        <b/>
        <i/>
        <sz val="10"/>
        <color theme="0"/>
        <rFont val="Calibri"/>
        <family val="2"/>
        <scheme val="minor"/>
      </rPr>
      <t xml:space="preserve"> la démarche de projet adoptée pour le chef d'œuvre, durant ses PFMP et dans sa future pratique professionnelle</t>
    </r>
  </si>
  <si>
    <t>La présentation est claire et les termes utilisés sont pertinents</t>
  </si>
  <si>
    <t>Entre partiellement dans la compétence.</t>
  </si>
  <si>
    <t>Applique l'organisation prévue.</t>
  </si>
  <si>
    <t>Propose une organisation simple répondant aux exigences d'une étape du projet.</t>
  </si>
  <si>
    <t>Prévoit et organise son activité et/ou celle de son équipe.</t>
  </si>
  <si>
    <t>Régule  son activité et/ou celle de son équipe pour finaliser le projet.</t>
  </si>
  <si>
    <t>Identifie les éléments clés de l'étape ou de l'activité - Rédige quelques mots relatifs à son contexte.</t>
  </si>
  <si>
    <t>Produit des documents élaborés, décrit clairement la démarche.</t>
  </si>
  <si>
    <t>Identifie les informations pertinentes de la démarche de réalisation - Ecrit des documents informatifs courts relatifs à son contexte.</t>
  </si>
  <si>
    <t>Rédige des documents relatifs à son activité et au contexte de la démarche.</t>
  </si>
  <si>
    <t xml:space="preserve">Communique très partiellement en situation d'échange en face à face. 
Réponses brèves à la demande de l'interlocuteur.
</t>
  </si>
  <si>
    <t xml:space="preserve">Communique dans des interactions concernant la démarche de réalisation.
</t>
  </si>
  <si>
    <t>Communique selon ses besoins dans des situations variées.</t>
  </si>
  <si>
    <t>Adapte sa manière de communiquer aux enjeux des interactions.</t>
  </si>
  <si>
    <t>(Entre dans la compétence)</t>
  </si>
  <si>
    <t>Par souci de transparence, voici le mot de passe pour déverrouiller le classeur : ACADLILLE</t>
  </si>
  <si>
    <t>Calcul automatique.</t>
  </si>
  <si>
    <t>Formation :</t>
  </si>
  <si>
    <t>Version de mars 2021</t>
  </si>
  <si>
    <t>PREMIÈRE ANNÉE</t>
  </si>
  <si>
    <t>DEUXIÈME ANNÉE</t>
  </si>
  <si>
    <t>A suivi le projet de chef d'œuvre :</t>
  </si>
  <si>
    <t>Présentation et entretien</t>
  </si>
  <si>
    <t>Présentation orale suivie de questions - Durée totale : 15 min - Répartition indicative de 5 minutes puis 10 minutes.</t>
  </si>
  <si>
    <r>
      <rPr>
        <b/>
        <sz val="11"/>
        <color rgb="FF7030A0"/>
        <rFont val="Calibri"/>
        <family val="2"/>
        <scheme val="minor"/>
      </rPr>
      <t xml:space="preserve">Arrêté du 20-10-2020 - J.O. du 22-10-2020 - Article 4 - </t>
    </r>
    <r>
      <rPr>
        <sz val="11"/>
        <color rgb="FF7030A0"/>
        <rFont val="Calibri"/>
        <family val="2"/>
        <scheme val="minor"/>
      </rPr>
      <t>En considération de la note finale attribuée au chef-d'œuvre, l'écart de points supérieurs ou inférieurs à 10 sur 20 est affecté du coefficient 2.
Ces points affectés de ce coefficient sont intégrés à la somme des points obtenus par le candidat, servant au calcul de la moyenne générale requise pour être admis à l'examen. Ils sont soit soustraits soit ajoutés selon qu'ils sont inférieurs ou supérieurs à 10 sur 20.</t>
    </r>
  </si>
  <si>
    <t>CAPACITÉ À ANALYSER 
sa démarche et à la situer dans
le métier et la filière professionnelle</t>
  </si>
  <si>
    <r>
      <t xml:space="preserve">Le candidat peut s'appuyer sur un support de cinq pages recto maximum (plan d'intervention, texte, image, photographie, diapositives, schéma, dessin, graphe, équation, données chiffrées ou cartographiques, etc.). Le candidat l'apporte et l'utilise librement lors de l'oral mais il ne doit pas être lu.
</t>
    </r>
    <r>
      <rPr>
        <b/>
        <sz val="11"/>
        <color theme="1"/>
        <rFont val="Calibri"/>
        <family val="2"/>
        <scheme val="minor"/>
      </rPr>
      <t xml:space="preserve">Ce support ne doit pas nécessiter la mise à disposition de technologie ou matériel particuliers de lecture, </t>
    </r>
    <r>
      <rPr>
        <sz val="11"/>
        <color theme="1"/>
        <rFont val="Calibri"/>
        <family val="2"/>
        <scheme val="minor"/>
      </rPr>
      <t>excepté pour des aménagements d'épreuves accordés à des</t>
    </r>
    <r>
      <rPr>
        <b/>
        <sz val="11"/>
        <color theme="1"/>
        <rFont val="Calibri"/>
        <family val="2"/>
        <scheme val="minor"/>
      </rPr>
      <t xml:space="preserve"> </t>
    </r>
    <r>
      <rPr>
        <sz val="11"/>
        <color theme="1"/>
        <rFont val="Calibri"/>
        <family val="2"/>
        <scheme val="minor"/>
      </rPr>
      <t xml:space="preserve">candidats en situation de handicap.
De même que l'objet essentiel de l'évaluation n'est pas le chef-d'œuvre en tant que tel mais la capacité de l'élève à présenter la démarche qui le sous-tend, ce support n'est pas non plus l'objet de l'évaluation.
</t>
    </r>
    <r>
      <rPr>
        <b/>
        <sz val="11"/>
        <color theme="1"/>
        <rFont val="Calibri"/>
        <family val="2"/>
        <scheme val="minor"/>
      </rPr>
      <t>La commission d'évaluation ne peut en aucun cas exiger de consulter le support du candidat.</t>
    </r>
  </si>
  <si>
    <r>
      <t xml:space="preserve">Paramètres </t>
    </r>
    <r>
      <rPr>
        <b/>
        <sz val="12"/>
        <color indexed="2"/>
        <rFont val="Calibri"/>
        <family val="2"/>
        <scheme val="minor"/>
      </rPr>
      <t>"A COMPLETER"</t>
    </r>
  </si>
  <si>
    <t>Année scolaire</t>
  </si>
  <si>
    <t>Session</t>
  </si>
  <si>
    <t>Nom</t>
  </si>
  <si>
    <t>Prénom</t>
  </si>
  <si>
    <t>Etablissement</t>
  </si>
  <si>
    <t>Explication des niveaux d'évaluation des compétences</t>
  </si>
  <si>
    <t>Compétence non maitrisée</t>
  </si>
  <si>
    <t>Le candidat necessite un accompagnement et une aide systématique pour réaliser ses tâches.</t>
  </si>
  <si>
    <t>Compétence "en cours d'acquisition" non stabilisée</t>
  </si>
  <si>
    <t>Le candidat nécessite un accompagnement régulier pour effectuer le travail confié.</t>
  </si>
  <si>
    <t>Compétence "partiellement acquise"</t>
  </si>
  <si>
    <t>Le transfert de la compétence n'est pas total dans chaque situation de travail proposée, une aide est parfois requise notamment lors d'une situation de travail nouvelle.</t>
  </si>
  <si>
    <t>Compétence maitrisée et transférable</t>
  </si>
  <si>
    <t>Le candidat travaille en toute autonomie, il sait s'adapter et transférer la compétence dans toutes les situations sans aide.</t>
  </si>
  <si>
    <t>Elèves</t>
  </si>
  <si>
    <t>CLASSE</t>
  </si>
  <si>
    <t>TMAC2</t>
  </si>
  <si>
    <t xml:space="preserve">CLASSE </t>
  </si>
  <si>
    <t>NOM DU PROJET</t>
  </si>
  <si>
    <t>2021/2022</t>
  </si>
  <si>
    <t>Une seconde chance pour la réussite</t>
  </si>
  <si>
    <t>Elèves A</t>
  </si>
  <si>
    <t>Elèves B</t>
  </si>
  <si>
    <t>Elèves C</t>
  </si>
  <si>
    <t>Elèves D</t>
  </si>
  <si>
    <t>Elèves E</t>
  </si>
  <si>
    <t>Elèves F</t>
  </si>
  <si>
    <t>Elèves G</t>
  </si>
  <si>
    <t>Elèves H</t>
  </si>
  <si>
    <t>Elèves I</t>
  </si>
  <si>
    <t>Elèves J</t>
  </si>
  <si>
    <t>Elèves K</t>
  </si>
  <si>
    <t>LYCEE LOUIS PASTEUR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</si>
</sst>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7"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2"/>
      <color theme="1"/>
      <name val="Calibri"/>
      <family val="2"/>
      <scheme val="minor"/>
    </font>
    <font>
      <sz val="10"/>
      <color theme="1"/>
      <name val="Calibri"/>
      <family val="2"/>
      <scheme val="minor"/>
    </font>
    <font>
      <b/>
      <sz val="16"/>
      <color theme="0"/>
      <name val="Calibri"/>
      <family val="2"/>
      <scheme val="minor"/>
    </font>
    <font>
      <sz val="16"/>
      <color theme="1"/>
      <name val="Calibri"/>
      <family val="2"/>
      <scheme val="minor"/>
    </font>
    <font>
      <sz val="18"/>
      <color theme="1"/>
      <name val="Calibri"/>
      <family val="2"/>
      <scheme val="minor"/>
    </font>
    <font>
      <sz val="9"/>
      <color theme="1"/>
      <name val="Calibri"/>
      <family val="2"/>
      <scheme val="minor"/>
    </font>
    <font>
      <b/>
      <sz val="12"/>
      <color theme="1"/>
      <name val="Calibri"/>
      <family val="2"/>
      <scheme val="minor"/>
    </font>
    <font>
      <sz val="16"/>
      <name val="Calibri"/>
      <family val="2"/>
      <scheme val="minor"/>
    </font>
    <font>
      <sz val="10"/>
      <color rgb="FFFF0000"/>
      <name val="Calibri"/>
      <family val="2"/>
      <scheme val="minor"/>
    </font>
    <font>
      <sz val="16"/>
      <color rgb="FFFF0000"/>
      <name val="Calibri"/>
      <family val="2"/>
      <scheme val="minor"/>
    </font>
    <font>
      <sz val="11"/>
      <color rgb="FF3F3F76"/>
      <name val="Calibri"/>
      <family val="2"/>
      <scheme val="minor"/>
    </font>
    <font>
      <sz val="20"/>
      <color theme="1"/>
      <name val="Calibri"/>
      <family val="2"/>
      <scheme val="minor"/>
    </font>
    <font>
      <sz val="26"/>
      <color theme="1"/>
      <name val="Calibri"/>
      <family val="2"/>
      <scheme val="minor"/>
    </font>
    <font>
      <sz val="11"/>
      <color theme="0"/>
      <name val="Calibri"/>
      <family val="2"/>
      <scheme val="minor"/>
    </font>
    <font>
      <b/>
      <sz val="11"/>
      <name val="Calibri"/>
      <family val="2"/>
      <scheme val="minor"/>
    </font>
    <font>
      <b/>
      <sz val="11"/>
      <color rgb="FF7030A0"/>
      <name val="Calibri"/>
      <family val="2"/>
      <scheme val="minor"/>
    </font>
    <font>
      <sz val="14"/>
      <color theme="1"/>
      <name val="Calibri"/>
      <family val="2"/>
      <scheme val="minor"/>
    </font>
    <font>
      <b/>
      <sz val="14"/>
      <color theme="1"/>
      <name val="Calibri"/>
      <family val="2"/>
      <scheme val="minor"/>
    </font>
    <font>
      <sz val="11"/>
      <name val="Calibri"/>
      <family val="2"/>
      <scheme val="minor"/>
    </font>
    <font>
      <sz val="11"/>
      <color rgb="FF7030A0"/>
      <name val="Calibri"/>
      <family val="2"/>
      <scheme val="minor"/>
    </font>
    <font>
      <sz val="18"/>
      <name val="Calibri"/>
      <family val="2"/>
      <scheme val="minor"/>
    </font>
    <font>
      <sz val="18"/>
      <color rgb="FF7030A0"/>
      <name val="Calibri"/>
      <family val="2"/>
      <scheme val="minor"/>
    </font>
    <font>
      <b/>
      <i/>
      <sz val="11"/>
      <name val="Calibri"/>
      <family val="2"/>
      <scheme val="minor"/>
    </font>
    <font>
      <b/>
      <i/>
      <sz val="28"/>
      <color theme="0"/>
      <name val="Calibri"/>
      <family val="2"/>
      <scheme val="minor"/>
    </font>
    <font>
      <sz val="12"/>
      <name val="Calibri"/>
      <family val="2"/>
      <scheme val="minor"/>
    </font>
    <font>
      <sz val="11"/>
      <color theme="1"/>
      <name val="Calibri"/>
      <family val="2"/>
    </font>
    <font>
      <i/>
      <sz val="11"/>
      <color theme="1"/>
      <name val="Calibri"/>
      <family val="2"/>
    </font>
    <font>
      <b/>
      <i/>
      <sz val="12"/>
      <color theme="0"/>
      <name val="Calibri"/>
      <family val="2"/>
      <scheme val="minor"/>
    </font>
    <font>
      <b/>
      <sz val="14"/>
      <color theme="0"/>
      <name val="Calibri"/>
      <family val="2"/>
      <scheme val="minor"/>
    </font>
    <font>
      <b/>
      <i/>
      <sz val="10"/>
      <color theme="0"/>
      <name val="Calibri"/>
      <family val="2"/>
      <scheme val="minor"/>
    </font>
    <font>
      <sz val="18"/>
      <color rgb="FF7030A0"/>
      <name val="Calibri"/>
      <family val="2"/>
    </font>
    <font>
      <sz val="20"/>
      <color rgb="FF7030A0"/>
      <name val="Calibri"/>
      <family val="2"/>
    </font>
    <font>
      <sz val="20"/>
      <color rgb="FF7030A0"/>
      <name val="Calibri"/>
      <family val="2"/>
      <scheme val="minor"/>
    </font>
    <font>
      <sz val="24"/>
      <color theme="1"/>
      <name val="Calibri"/>
      <family val="2"/>
      <scheme val="minor"/>
    </font>
    <font>
      <sz val="16"/>
      <color rgb="FF7030A0"/>
      <name val="Calibri"/>
      <family val="2"/>
      <scheme val="minor"/>
    </font>
    <font>
      <sz val="16"/>
      <color rgb="FF7030A0"/>
      <name val="Calibri"/>
      <family val="2"/>
    </font>
    <font>
      <b/>
      <sz val="11"/>
      <color theme="0"/>
      <name val="Calibri"/>
      <family val="2"/>
      <scheme val="minor"/>
    </font>
    <font>
      <sz val="8"/>
      <color theme="1"/>
      <name val="Calibri"/>
      <family val="2"/>
      <scheme val="minor"/>
    </font>
    <font>
      <sz val="16"/>
      <color theme="0"/>
      <name val="Calibri"/>
      <family val="2"/>
      <scheme val="minor"/>
    </font>
    <font>
      <b/>
      <sz val="18"/>
      <color theme="1"/>
      <name val="Calibri"/>
      <family val="2"/>
      <scheme val="minor"/>
    </font>
    <font>
      <b/>
      <sz val="12"/>
      <color indexed="2"/>
      <name val="Calibri"/>
      <family val="2"/>
      <scheme val="minor"/>
    </font>
    <font>
      <b/>
      <sz val="12"/>
      <color rgb="FF1E1E1E"/>
      <name val="Segoe UI"/>
      <family val="2"/>
    </font>
    <font>
      <b/>
      <i/>
      <sz val="11"/>
      <color theme="1"/>
      <name val="Calibri"/>
      <family val="2"/>
      <scheme val="minor"/>
    </font>
  </fonts>
  <fills count="24">
    <fill>
      <patternFill patternType="none"/>
    </fill>
    <fill>
      <patternFill patternType="gray125"/>
    </fill>
    <fill>
      <patternFill patternType="solid">
        <fgColor theme="4"/>
        <bgColor indexed="64"/>
      </patternFill>
    </fill>
    <fill>
      <patternFill patternType="solid">
        <fgColor theme="5"/>
        <bgColor indexed="64"/>
      </patternFill>
    </fill>
    <fill>
      <patternFill patternType="solid">
        <fgColor theme="9"/>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rgb="FFFFCC99"/>
      </patternFill>
    </fill>
    <fill>
      <patternFill patternType="solid">
        <fgColor rgb="FFE5D6EE"/>
        <bgColor indexed="64"/>
      </patternFill>
    </fill>
    <fill>
      <patternFill patternType="solid">
        <fgColor rgb="FF7030A0"/>
        <bgColor indexed="64"/>
      </patternFill>
    </fill>
    <fill>
      <patternFill patternType="solid">
        <fgColor rgb="FFFFFF00"/>
        <bgColor indexed="64"/>
      </patternFill>
    </fill>
    <fill>
      <patternFill patternType="solid">
        <fgColor theme="9" tint="0.59999389629810485"/>
        <bgColor theme="9" tint="0.59999389629810485"/>
      </patternFill>
    </fill>
    <fill>
      <patternFill patternType="solid">
        <fgColor theme="4" tint="0.39997558519241921"/>
        <bgColor theme="4" tint="0.39997558519241921"/>
      </patternFill>
    </fill>
    <fill>
      <patternFill patternType="solid">
        <fgColor theme="3" tint="0.79998168889431442"/>
        <bgColor theme="3" tint="0.79998168889431442"/>
      </patternFill>
    </fill>
    <fill>
      <patternFill patternType="solid">
        <fgColor rgb="FFFFC000"/>
        <bgColor rgb="FFFFC000"/>
      </patternFill>
    </fill>
    <fill>
      <patternFill patternType="solid">
        <fgColor theme="5" tint="0.79998168889431442"/>
        <bgColor theme="9" tint="0.59999389629810485"/>
      </patternFill>
    </fill>
    <fill>
      <patternFill patternType="solid">
        <fgColor theme="4" tint="0.59999389629810485"/>
        <bgColor theme="4" tint="0.59999389629810485"/>
      </patternFill>
    </fill>
    <fill>
      <patternFill patternType="solid">
        <fgColor indexed="5"/>
        <bgColor indexed="5"/>
      </patternFill>
    </fill>
    <fill>
      <patternFill patternType="solid">
        <fgColor theme="7" tint="0.79998168889431442"/>
        <bgColor theme="9" tint="0.59999389629810485"/>
      </patternFill>
    </fill>
    <fill>
      <patternFill patternType="solid">
        <fgColor rgb="FF92D050"/>
        <bgColor rgb="FF92D050"/>
      </patternFill>
    </fill>
    <fill>
      <patternFill patternType="solid">
        <fgColor rgb="FF00B050"/>
        <bgColor rgb="FF00B050"/>
      </patternFill>
    </fill>
    <fill>
      <gradientFill degree="90">
        <stop position="0">
          <color theme="0"/>
        </stop>
        <stop position="1">
          <color theme="4"/>
        </stop>
      </gradientFill>
    </fill>
  </fills>
  <borders count="38">
    <border>
      <left/>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style="thin">
        <color theme="0"/>
      </left>
      <right/>
      <top style="thin">
        <color theme="0"/>
      </top>
      <bottom/>
      <diagonal/>
    </border>
    <border>
      <left style="thin">
        <color theme="0"/>
      </left>
      <right/>
      <top/>
      <bottom/>
      <diagonal/>
    </border>
    <border>
      <left style="thin">
        <color theme="0"/>
      </left>
      <right style="medium">
        <color theme="0"/>
      </right>
      <top style="medium">
        <color theme="0"/>
      </top>
      <bottom style="medium">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medium">
        <color theme="0"/>
      </left>
      <right style="thin">
        <color theme="0"/>
      </right>
      <top style="medium">
        <color theme="0"/>
      </top>
      <bottom style="medium">
        <color theme="0"/>
      </bottom>
      <diagonal/>
    </border>
    <border>
      <left style="thin">
        <color rgb="FF7F7F7F"/>
      </left>
      <right style="thin">
        <color rgb="FF7F7F7F"/>
      </right>
      <top style="thin">
        <color rgb="FF7F7F7F"/>
      </top>
      <bottom style="thin">
        <color rgb="FF7F7F7F"/>
      </bottom>
      <diagonal/>
    </border>
    <border>
      <left style="thick">
        <color rgb="FF7030A0"/>
      </left>
      <right style="thick">
        <color rgb="FF7030A0"/>
      </right>
      <top style="thick">
        <color rgb="FF7030A0"/>
      </top>
      <bottom style="thick">
        <color rgb="FF7030A0"/>
      </bottom>
      <diagonal/>
    </border>
    <border>
      <left style="medium">
        <color rgb="FF7030A0"/>
      </left>
      <right/>
      <top style="medium">
        <color rgb="FF7030A0"/>
      </top>
      <bottom style="medium">
        <color rgb="FF7030A0"/>
      </bottom>
      <diagonal/>
    </border>
    <border>
      <left/>
      <right/>
      <top style="medium">
        <color rgb="FF7030A0"/>
      </top>
      <bottom style="medium">
        <color rgb="FF7030A0"/>
      </bottom>
      <diagonal/>
    </border>
    <border>
      <left/>
      <right style="medium">
        <color rgb="FF7030A0"/>
      </right>
      <top style="medium">
        <color rgb="FF7030A0"/>
      </top>
      <bottom style="medium">
        <color rgb="FF7030A0"/>
      </bottom>
      <diagonal/>
    </border>
    <border>
      <left/>
      <right style="thin">
        <color theme="0"/>
      </right>
      <top style="thin">
        <color theme="0"/>
      </top>
      <bottom style="thin">
        <color theme="0"/>
      </bottom>
      <diagonal/>
    </border>
    <border>
      <left style="thin">
        <color rgb="FF7030A0"/>
      </left>
      <right/>
      <top style="thin">
        <color rgb="FF7030A0"/>
      </top>
      <bottom style="thin">
        <color rgb="FF7030A0"/>
      </bottom>
      <diagonal/>
    </border>
    <border>
      <left style="medium">
        <color rgb="FF7030A0"/>
      </left>
      <right/>
      <top style="medium">
        <color rgb="FF7030A0"/>
      </top>
      <bottom/>
      <diagonal/>
    </border>
    <border>
      <left/>
      <right/>
      <top style="medium">
        <color rgb="FF7030A0"/>
      </top>
      <bottom/>
      <diagonal/>
    </border>
    <border>
      <left/>
      <right style="medium">
        <color rgb="FF7030A0"/>
      </right>
      <top style="medium">
        <color rgb="FF7030A0"/>
      </top>
      <bottom/>
      <diagonal/>
    </border>
    <border>
      <left style="medium">
        <color rgb="FF7030A0"/>
      </left>
      <right/>
      <top/>
      <bottom/>
      <diagonal/>
    </border>
    <border>
      <left/>
      <right style="medium">
        <color rgb="FF7030A0"/>
      </right>
      <top/>
      <bottom/>
      <diagonal/>
    </border>
    <border>
      <left style="medium">
        <color rgb="FF7030A0"/>
      </left>
      <right/>
      <top/>
      <bottom style="medium">
        <color rgb="FF7030A0"/>
      </bottom>
      <diagonal/>
    </border>
    <border>
      <left/>
      <right/>
      <top/>
      <bottom style="medium">
        <color rgb="FF7030A0"/>
      </bottom>
      <diagonal/>
    </border>
    <border>
      <left/>
      <right style="medium">
        <color rgb="FF7030A0"/>
      </right>
      <top/>
      <bottom style="medium">
        <color rgb="FF7030A0"/>
      </bottom>
      <diagonal/>
    </border>
    <border>
      <left style="thin">
        <color rgb="FF7030A0"/>
      </left>
      <right style="thin">
        <color rgb="FF7030A0"/>
      </right>
      <top style="thin">
        <color rgb="FF7030A0"/>
      </top>
      <bottom style="thin">
        <color rgb="FF7030A0"/>
      </bottom>
      <diagonal/>
    </border>
    <border>
      <left/>
      <right style="thin">
        <color theme="0"/>
      </right>
      <top/>
      <bottom/>
      <diagonal/>
    </border>
    <border>
      <left style="thin">
        <color rgb="FF7030A0"/>
      </left>
      <right/>
      <top/>
      <bottom/>
      <diagonal/>
    </border>
    <border>
      <left/>
      <right style="thin">
        <color rgb="FF7030A0"/>
      </right>
      <top style="thin">
        <color rgb="FF7030A0"/>
      </top>
      <bottom style="thin">
        <color rgb="FF7030A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9" fontId="1" fillId="0" borderId="0" applyFont="0" applyFill="0" applyBorder="0" applyAlignment="0" applyProtection="0"/>
    <xf numFmtId="0" fontId="2" fillId="0" borderId="0" applyNumberFormat="0" applyFill="0" applyBorder="0" applyAlignment="0" applyProtection="0"/>
    <xf numFmtId="0" fontId="14" fillId="9" borderId="10" applyNumberFormat="0" applyAlignment="0" applyProtection="0"/>
  </cellStyleXfs>
  <cellXfs count="220">
    <xf numFmtId="0" fontId="0" fillId="0" borderId="0" xfId="0"/>
    <xf numFmtId="0" fontId="9" fillId="6"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3" fillId="0" borderId="0" xfId="0" applyFont="1" applyAlignment="1">
      <alignment horizontal="center"/>
    </xf>
    <xf numFmtId="0" fontId="0" fillId="4" borderId="0" xfId="0" applyFill="1"/>
    <xf numFmtId="0" fontId="5" fillId="2" borderId="0" xfId="0" applyFont="1" applyFill="1" applyAlignment="1">
      <alignment horizontal="left" vertical="top" wrapText="1"/>
    </xf>
    <xf numFmtId="0" fontId="5" fillId="3" borderId="0" xfId="0" applyFont="1" applyFill="1" applyAlignment="1">
      <alignment horizontal="left" vertical="top" wrapText="1"/>
    </xf>
    <xf numFmtId="0" fontId="4" fillId="5" borderId="1" xfId="0" applyFont="1" applyFill="1" applyBorder="1" applyAlignment="1">
      <alignment vertical="center" wrapText="1"/>
    </xf>
    <xf numFmtId="0" fontId="4" fillId="6" borderId="1" xfId="0" applyFont="1" applyFill="1" applyBorder="1" applyAlignment="1">
      <alignment vertical="center" wrapText="1"/>
    </xf>
    <xf numFmtId="0" fontId="4" fillId="7" borderId="1" xfId="0" applyFont="1" applyFill="1" applyBorder="1" applyAlignment="1">
      <alignment vertical="center" wrapText="1"/>
    </xf>
    <xf numFmtId="0" fontId="5" fillId="5" borderId="1" xfId="0" applyFont="1" applyFill="1" applyBorder="1" applyAlignment="1">
      <alignment horizontal="left" vertical="top" wrapText="1"/>
    </xf>
    <xf numFmtId="0" fontId="5" fillId="6" borderId="1" xfId="0" applyFont="1" applyFill="1" applyBorder="1" applyAlignment="1">
      <alignment horizontal="left" vertical="top" wrapText="1"/>
    </xf>
    <xf numFmtId="0" fontId="5" fillId="7" borderId="1" xfId="0" applyFont="1" applyFill="1" applyBorder="1" applyAlignment="1">
      <alignment horizontal="left" vertical="top" wrapText="1"/>
    </xf>
    <xf numFmtId="0" fontId="4" fillId="6" borderId="2" xfId="0" applyFont="1" applyFill="1" applyBorder="1" applyAlignment="1">
      <alignment vertical="center" wrapText="1"/>
    </xf>
    <xf numFmtId="0" fontId="2" fillId="0" borderId="0" xfId="2" applyAlignment="1">
      <alignment horizontal="center" vertical="center" wrapText="1"/>
    </xf>
    <xf numFmtId="0" fontId="4" fillId="8" borderId="0" xfId="0" applyFont="1" applyFill="1" applyAlignment="1">
      <alignment horizontal="center" vertical="center" wrapText="1"/>
    </xf>
    <xf numFmtId="0" fontId="4" fillId="5" borderId="2" xfId="0" applyFont="1" applyFill="1" applyBorder="1" applyAlignment="1">
      <alignment vertical="center" wrapText="1"/>
    </xf>
    <xf numFmtId="0" fontId="4" fillId="7" borderId="2" xfId="0" applyFont="1" applyFill="1" applyBorder="1" applyAlignment="1">
      <alignment vertical="center" wrapText="1"/>
    </xf>
    <xf numFmtId="2" fontId="0" fillId="0" borderId="0" xfId="0" applyNumberFormat="1"/>
    <xf numFmtId="0" fontId="12" fillId="0" borderId="0" xfId="2" applyFont="1" applyAlignment="1">
      <alignment horizontal="center" vertical="center" wrapText="1"/>
    </xf>
    <xf numFmtId="9" fontId="13" fillId="6" borderId="9" xfId="1" applyFont="1" applyFill="1" applyBorder="1" applyAlignment="1">
      <alignment horizontal="center" vertical="center"/>
    </xf>
    <xf numFmtId="9" fontId="13" fillId="6" borderId="6" xfId="1" applyFont="1" applyFill="1" applyBorder="1" applyAlignment="1">
      <alignment horizontal="center" vertical="center"/>
    </xf>
    <xf numFmtId="9" fontId="13" fillId="5" borderId="9" xfId="1" applyFont="1" applyFill="1" applyBorder="1" applyAlignment="1">
      <alignment horizontal="center" vertical="center"/>
    </xf>
    <xf numFmtId="9" fontId="13" fillId="5" borderId="6" xfId="1" applyFont="1" applyFill="1" applyBorder="1" applyAlignment="1">
      <alignment horizontal="center" vertical="center"/>
    </xf>
    <xf numFmtId="9" fontId="13" fillId="7" borderId="9" xfId="1" applyFont="1" applyFill="1" applyBorder="1" applyAlignment="1">
      <alignment horizontal="center" vertical="center"/>
    </xf>
    <xf numFmtId="9" fontId="13" fillId="7" borderId="6" xfId="1" applyFont="1" applyFill="1" applyBorder="1" applyAlignment="1">
      <alignment horizontal="center" vertical="center"/>
    </xf>
    <xf numFmtId="0" fontId="0" fillId="0" borderId="0" xfId="0" applyAlignment="1">
      <alignment wrapText="1"/>
    </xf>
    <xf numFmtId="0" fontId="0" fillId="0" borderId="0" xfId="0" applyAlignment="1"/>
    <xf numFmtId="0" fontId="6" fillId="4" borderId="2" xfId="0" applyFont="1" applyFill="1" applyBorder="1" applyAlignment="1">
      <alignment vertical="center"/>
    </xf>
    <xf numFmtId="0" fontId="4" fillId="5" borderId="1" xfId="0" applyFont="1" applyFill="1" applyBorder="1" applyAlignment="1">
      <alignment vertical="center"/>
    </xf>
    <xf numFmtId="0" fontId="6" fillId="2" borderId="2" xfId="0" applyFont="1" applyFill="1" applyBorder="1" applyAlignment="1">
      <alignment vertical="center"/>
    </xf>
    <xf numFmtId="0" fontId="4" fillId="6" borderId="1" xfId="0" applyFont="1" applyFill="1" applyBorder="1" applyAlignment="1">
      <alignment vertical="center"/>
    </xf>
    <xf numFmtId="0" fontId="6" fillId="3" borderId="2" xfId="0" applyFont="1" applyFill="1" applyBorder="1" applyAlignment="1">
      <alignment vertical="center"/>
    </xf>
    <xf numFmtId="0" fontId="4" fillId="7" borderId="1" xfId="0" applyFont="1" applyFill="1" applyBorder="1" applyAlignment="1">
      <alignment vertical="center"/>
    </xf>
    <xf numFmtId="0" fontId="0" fillId="0" borderId="0" xfId="0" applyAlignment="1">
      <alignment horizontal="left"/>
    </xf>
    <xf numFmtId="0" fontId="14" fillId="9" borderId="10" xfId="3"/>
    <xf numFmtId="0" fontId="14" fillId="9" borderId="10" xfId="3" applyAlignment="1"/>
    <xf numFmtId="9" fontId="4" fillId="5" borderId="1" xfId="1" applyFont="1" applyFill="1" applyBorder="1" applyAlignment="1">
      <alignment horizontal="center" vertical="center"/>
    </xf>
    <xf numFmtId="9" fontId="4" fillId="6" borderId="1" xfId="1" applyFont="1" applyFill="1" applyBorder="1" applyAlignment="1">
      <alignment horizontal="center" vertical="center"/>
    </xf>
    <xf numFmtId="9" fontId="4" fillId="7" borderId="1" xfId="1" applyFont="1" applyFill="1" applyBorder="1" applyAlignment="1">
      <alignment horizontal="center" vertical="center"/>
    </xf>
    <xf numFmtId="0" fontId="0" fillId="0" borderId="0" xfId="0" applyAlignment="1">
      <alignment horizontal="right" vertical="top"/>
    </xf>
    <xf numFmtId="0" fontId="0" fillId="0" borderId="0" xfId="0" applyAlignment="1">
      <alignment horizontal="center" vertical="center"/>
    </xf>
    <xf numFmtId="0" fontId="16" fillId="0" borderId="0" xfId="0" applyFont="1" applyAlignment="1">
      <alignment horizontal="center" vertical="center"/>
    </xf>
    <xf numFmtId="0" fontId="8" fillId="0" borderId="0" xfId="0" applyFont="1" applyAlignment="1">
      <alignment horizontal="right"/>
    </xf>
    <xf numFmtId="0" fontId="15" fillId="0" borderId="0" xfId="0" applyFont="1" applyAlignment="1"/>
    <xf numFmtId="0" fontId="15" fillId="0" borderId="0" xfId="0" applyFont="1"/>
    <xf numFmtId="0" fontId="4" fillId="0" borderId="0" xfId="0" applyFont="1" applyAlignment="1">
      <alignment horizontal="left" vertical="top"/>
    </xf>
    <xf numFmtId="0" fontId="10" fillId="10" borderId="1" xfId="0" applyFont="1" applyFill="1" applyBorder="1" applyAlignment="1">
      <alignment vertical="center" wrapText="1"/>
    </xf>
    <xf numFmtId="0" fontId="5" fillId="10" borderId="1" xfId="0" applyFont="1" applyFill="1" applyBorder="1" applyAlignment="1">
      <alignment horizontal="left" vertical="top" wrapText="1"/>
    </xf>
    <xf numFmtId="0" fontId="6" fillId="11" borderId="5" xfId="0" applyFont="1" applyFill="1" applyBorder="1" applyAlignment="1">
      <alignment vertical="center"/>
    </xf>
    <xf numFmtId="0" fontId="5" fillId="11" borderId="0" xfId="0" applyFont="1" applyFill="1" applyAlignment="1">
      <alignment horizontal="left" vertical="top"/>
    </xf>
    <xf numFmtId="0" fontId="5" fillId="11" borderId="0" xfId="0" applyFont="1" applyFill="1" applyAlignment="1">
      <alignment horizontal="left" vertical="top" wrapText="1"/>
    </xf>
    <xf numFmtId="0" fontId="6" fillId="11" borderId="4" xfId="0" applyFont="1" applyFill="1" applyBorder="1" applyAlignment="1">
      <alignment vertical="center"/>
    </xf>
    <xf numFmtId="0" fontId="0" fillId="11" borderId="0" xfId="0" applyFill="1"/>
    <xf numFmtId="0" fontId="1" fillId="0" borderId="0" xfId="0" applyFont="1" applyAlignment="1">
      <alignment horizontal="left" vertical="center" wrapText="1"/>
    </xf>
    <xf numFmtId="0" fontId="0" fillId="0" borderId="0" xfId="0" applyAlignment="1">
      <alignment horizontal="left" vertical="center"/>
    </xf>
    <xf numFmtId="0" fontId="0" fillId="0" borderId="0" xfId="0" applyAlignment="1">
      <alignment horizontal="right"/>
    </xf>
    <xf numFmtId="0" fontId="8" fillId="10" borderId="8" xfId="0" applyFont="1" applyFill="1" applyBorder="1" applyAlignment="1">
      <alignment horizontal="center" vertical="center"/>
    </xf>
    <xf numFmtId="0" fontId="3" fillId="10" borderId="5" xfId="0" applyFont="1" applyFill="1" applyBorder="1" applyAlignment="1">
      <alignment horizontal="center" vertical="center" wrapText="1"/>
    </xf>
    <xf numFmtId="0" fontId="24" fillId="10" borderId="8" xfId="0" applyFont="1" applyFill="1" applyBorder="1" applyAlignment="1">
      <alignment horizontal="center" vertical="center"/>
    </xf>
    <xf numFmtId="0" fontId="18" fillId="10" borderId="5" xfId="0" applyFont="1" applyFill="1" applyBorder="1" applyAlignment="1">
      <alignment horizontal="center" vertical="center" wrapText="1"/>
    </xf>
    <xf numFmtId="0" fontId="25" fillId="0" borderId="0" xfId="0" applyFont="1" applyAlignment="1">
      <alignment horizontal="right" vertical="top"/>
    </xf>
    <xf numFmtId="0" fontId="0" fillId="0" borderId="0" xfId="0" applyFill="1" applyBorder="1"/>
    <xf numFmtId="0" fontId="23" fillId="0" borderId="0" xfId="0" applyFont="1" applyAlignment="1">
      <alignment horizontal="center"/>
    </xf>
    <xf numFmtId="0" fontId="19" fillId="0" borderId="0" xfId="0" applyFont="1" applyAlignment="1">
      <alignment horizontal="center"/>
    </xf>
    <xf numFmtId="0" fontId="0" fillId="0" borderId="0" xfId="0" applyAlignment="1">
      <alignment vertical="top"/>
    </xf>
    <xf numFmtId="0" fontId="23" fillId="0" borderId="13" xfId="0" applyFont="1" applyBorder="1"/>
    <xf numFmtId="0" fontId="23" fillId="0" borderId="14" xfId="0" applyFont="1" applyBorder="1" applyAlignment="1">
      <alignment wrapText="1"/>
    </xf>
    <xf numFmtId="0" fontId="19" fillId="0" borderId="12" xfId="0" applyFont="1" applyBorder="1" applyAlignment="1">
      <alignment vertical="top"/>
    </xf>
    <xf numFmtId="9" fontId="32" fillId="11" borderId="1" xfId="0" applyNumberFormat="1" applyFont="1" applyFill="1" applyBorder="1" applyAlignment="1">
      <alignment horizontal="center" vertical="center"/>
    </xf>
    <xf numFmtId="0" fontId="0" fillId="0" borderId="0" xfId="0" applyAlignment="1">
      <alignment vertical="center"/>
    </xf>
    <xf numFmtId="0" fontId="36" fillId="0" borderId="0" xfId="0" applyFont="1" applyAlignment="1">
      <alignment horizontal="left" vertical="top"/>
    </xf>
    <xf numFmtId="0" fontId="23" fillId="0" borderId="0" xfId="0" applyFont="1"/>
    <xf numFmtId="0" fontId="0" fillId="0" borderId="0" xfId="0" applyBorder="1"/>
    <xf numFmtId="0" fontId="3" fillId="0" borderId="0" xfId="0" applyFont="1"/>
    <xf numFmtId="0" fontId="19" fillId="0" borderId="11" xfId="0" applyFont="1" applyBorder="1" applyAlignment="1">
      <alignment horizontal="center" vertical="center"/>
    </xf>
    <xf numFmtId="9" fontId="32" fillId="11" borderId="1" xfId="0" applyNumberFormat="1" applyFont="1" applyFill="1" applyBorder="1" applyAlignment="1">
      <alignment horizontal="left" vertical="center"/>
    </xf>
    <xf numFmtId="0" fontId="7" fillId="8" borderId="0" xfId="0" applyFont="1" applyFill="1" applyAlignment="1">
      <alignment horizontal="left" vertical="center"/>
    </xf>
    <xf numFmtId="0" fontId="0" fillId="0" borderId="0" xfId="0" applyBorder="1" applyAlignment="1">
      <alignment horizontal="center"/>
    </xf>
    <xf numFmtId="9" fontId="0" fillId="0" borderId="0" xfId="0" applyNumberFormat="1"/>
    <xf numFmtId="0" fontId="6" fillId="11" borderId="0" xfId="0" applyFont="1" applyFill="1" applyBorder="1" applyAlignment="1">
      <alignment vertical="center"/>
    </xf>
    <xf numFmtId="0" fontId="38" fillId="0" borderId="0" xfId="0" applyFont="1" applyAlignment="1">
      <alignment horizontal="right" vertical="top"/>
    </xf>
    <xf numFmtId="0" fontId="28" fillId="0" borderId="2" xfId="0" applyFont="1" applyBorder="1" applyAlignment="1">
      <alignment horizontal="left" vertical="center"/>
    </xf>
    <xf numFmtId="0" fontId="31" fillId="0" borderId="3" xfId="0" applyFont="1" applyBorder="1" applyAlignment="1">
      <alignment horizontal="left" vertical="center"/>
    </xf>
    <xf numFmtId="0" fontId="31" fillId="0" borderId="15" xfId="0" applyFont="1" applyBorder="1" applyAlignment="1">
      <alignment horizontal="left" vertical="center"/>
    </xf>
    <xf numFmtId="9" fontId="32" fillId="0" borderId="1" xfId="0" applyNumberFormat="1" applyFont="1" applyBorder="1" applyAlignment="1">
      <alignment horizontal="center" vertical="center"/>
    </xf>
    <xf numFmtId="0" fontId="17" fillId="11" borderId="0" xfId="0" applyFont="1" applyFill="1"/>
    <xf numFmtId="9" fontId="17" fillId="11" borderId="0" xfId="0" applyNumberFormat="1" applyFont="1" applyFill="1"/>
    <xf numFmtId="9" fontId="21" fillId="10" borderId="1" xfId="0" applyNumberFormat="1" applyFont="1" applyFill="1" applyBorder="1" applyAlignment="1" applyProtection="1">
      <alignment horizontal="center" vertical="center"/>
      <protection locked="0"/>
    </xf>
    <xf numFmtId="0" fontId="0" fillId="0" borderId="25" xfId="0" applyBorder="1" applyAlignment="1" applyProtection="1">
      <alignment horizontal="center"/>
      <protection locked="0"/>
    </xf>
    <xf numFmtId="0" fontId="0" fillId="0" borderId="0" xfId="0" applyProtection="1">
      <protection locked="0"/>
    </xf>
    <xf numFmtId="0" fontId="10" fillId="5" borderId="1" xfId="0" applyFont="1" applyFill="1" applyBorder="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0" fontId="10" fillId="7" borderId="1" xfId="0" applyFont="1" applyFill="1" applyBorder="1" applyAlignment="1" applyProtection="1">
      <alignment horizontal="center" vertical="center"/>
      <protection locked="0"/>
    </xf>
    <xf numFmtId="9" fontId="32" fillId="11" borderId="1" xfId="0" applyNumberFormat="1" applyFont="1" applyFill="1" applyBorder="1" applyAlignment="1" applyProtection="1">
      <alignment horizontal="center" vertical="center"/>
      <protection locked="0"/>
    </xf>
    <xf numFmtId="9" fontId="11" fillId="5" borderId="7" xfId="1" applyFont="1" applyFill="1" applyBorder="1" applyAlignment="1" applyProtection="1">
      <alignment horizontal="center" vertical="center"/>
      <protection locked="0"/>
    </xf>
    <xf numFmtId="9" fontId="7" fillId="6" borderId="8" xfId="1" applyFont="1" applyFill="1" applyBorder="1" applyAlignment="1" applyProtection="1">
      <alignment horizontal="center" vertical="center"/>
      <protection locked="0"/>
    </xf>
    <xf numFmtId="9" fontId="7" fillId="6" borderId="1" xfId="1" applyFont="1" applyFill="1" applyBorder="1" applyAlignment="1" applyProtection="1">
      <alignment horizontal="center" vertical="center"/>
      <protection locked="0"/>
    </xf>
    <xf numFmtId="9" fontId="7" fillId="6" borderId="7" xfId="1" applyFont="1" applyFill="1" applyBorder="1" applyAlignment="1" applyProtection="1">
      <alignment horizontal="center" vertical="center"/>
      <protection locked="0"/>
    </xf>
    <xf numFmtId="9" fontId="7" fillId="7" borderId="8" xfId="1" applyFont="1" applyFill="1" applyBorder="1" applyAlignment="1" applyProtection="1">
      <alignment horizontal="center" vertical="center"/>
      <protection locked="0"/>
    </xf>
    <xf numFmtId="9" fontId="7" fillId="7" borderId="7" xfId="1" applyFont="1" applyFill="1" applyBorder="1" applyAlignment="1" applyProtection="1">
      <alignment horizontal="center" vertical="center"/>
      <protection locked="0"/>
    </xf>
    <xf numFmtId="9" fontId="0" fillId="0" borderId="0" xfId="0" applyNumberFormat="1" applyProtection="1">
      <protection locked="0"/>
    </xf>
    <xf numFmtId="9" fontId="0" fillId="0" borderId="0" xfId="1" applyFont="1" applyProtection="1">
      <protection locked="0"/>
    </xf>
    <xf numFmtId="0" fontId="37" fillId="0" borderId="0" xfId="0" applyFont="1" applyAlignment="1">
      <alignment horizontal="center" vertical="center"/>
    </xf>
    <xf numFmtId="0" fontId="7" fillId="0" borderId="0" xfId="0" applyFont="1" applyAlignment="1">
      <alignment horizontal="right"/>
    </xf>
    <xf numFmtId="0" fontId="0" fillId="0" borderId="27" xfId="0" applyBorder="1"/>
    <xf numFmtId="49" fontId="0" fillId="0" borderId="0" xfId="0" applyNumberFormat="1"/>
    <xf numFmtId="0" fontId="0" fillId="0" borderId="32" xfId="0" applyBorder="1" applyAlignment="1">
      <alignment horizontal="center" vertical="center"/>
    </xf>
    <xf numFmtId="0" fontId="0" fillId="0" borderId="33" xfId="0" applyBorder="1"/>
    <xf numFmtId="0" fontId="0" fillId="0" borderId="32" xfId="0" applyBorder="1"/>
    <xf numFmtId="0" fontId="0" fillId="0" borderId="34" xfId="0" applyBorder="1"/>
    <xf numFmtId="0" fontId="0" fillId="0" borderId="35" xfId="0" applyBorder="1"/>
    <xf numFmtId="0" fontId="0" fillId="0" borderId="36" xfId="0" applyBorder="1"/>
    <xf numFmtId="0" fontId="18" fillId="16" borderId="32" xfId="0" applyFont="1" applyFill="1" applyBorder="1" applyAlignment="1">
      <alignment horizontal="center" vertical="center"/>
    </xf>
    <xf numFmtId="0" fontId="3" fillId="16" borderId="0" xfId="0" applyFont="1" applyFill="1" applyBorder="1"/>
    <xf numFmtId="0" fontId="3" fillId="19" borderId="32" xfId="0" applyFont="1" applyFill="1" applyBorder="1" applyAlignment="1">
      <alignment horizontal="center" vertical="center"/>
    </xf>
    <xf numFmtId="0" fontId="3" fillId="19" borderId="0" xfId="0" applyFont="1" applyFill="1" applyBorder="1"/>
    <xf numFmtId="0" fontId="3" fillId="21" borderId="32" xfId="0" applyFont="1" applyFill="1" applyBorder="1" applyAlignment="1">
      <alignment horizontal="center" vertical="center"/>
    </xf>
    <xf numFmtId="0" fontId="3" fillId="21" borderId="0" xfId="0" applyFont="1" applyFill="1" applyBorder="1"/>
    <xf numFmtId="0" fontId="3" fillId="22" borderId="32" xfId="0" applyFont="1" applyFill="1" applyBorder="1" applyAlignment="1">
      <alignment horizontal="center" vertical="center"/>
    </xf>
    <xf numFmtId="0" fontId="3" fillId="22" borderId="0" xfId="0" applyFont="1" applyFill="1" applyBorder="1"/>
    <xf numFmtId="0" fontId="0" fillId="0" borderId="35" xfId="0" applyBorder="1" applyAlignment="1">
      <alignment wrapText="1"/>
    </xf>
    <xf numFmtId="49" fontId="0" fillId="0" borderId="33" xfId="0" applyNumberFormat="1" applyBorder="1"/>
    <xf numFmtId="0" fontId="3" fillId="0" borderId="32" xfId="0" applyFont="1" applyBorder="1"/>
    <xf numFmtId="0" fontId="45" fillId="0" borderId="33" xfId="0" applyFont="1" applyBorder="1"/>
    <xf numFmtId="49" fontId="0" fillId="0" borderId="36" xfId="0" applyNumberFormat="1" applyBorder="1"/>
    <xf numFmtId="49" fontId="3" fillId="15" borderId="33" xfId="0" applyNumberFormat="1" applyFont="1" applyFill="1" applyBorder="1" applyProtection="1">
      <protection locked="0"/>
    </xf>
    <xf numFmtId="0" fontId="10" fillId="15" borderId="33" xfId="0" applyFont="1" applyFill="1" applyBorder="1" applyAlignment="1" applyProtection="1">
      <alignment horizontal="left"/>
      <protection locked="0"/>
    </xf>
    <xf numFmtId="49" fontId="10" fillId="15" borderId="33" xfId="0" applyNumberFormat="1" applyFont="1" applyFill="1" applyBorder="1" applyProtection="1">
      <protection locked="0"/>
    </xf>
    <xf numFmtId="0" fontId="10" fillId="15" borderId="33" xfId="0" applyFont="1" applyFill="1" applyBorder="1" applyProtection="1">
      <protection locked="0"/>
    </xf>
    <xf numFmtId="0" fontId="0" fillId="18" borderId="37" xfId="0" applyFill="1" applyBorder="1"/>
    <xf numFmtId="0" fontId="3" fillId="0" borderId="37" xfId="0" applyFont="1" applyBorder="1"/>
    <xf numFmtId="0" fontId="0" fillId="0" borderId="37" xfId="0" applyBorder="1"/>
    <xf numFmtId="0" fontId="46" fillId="23" borderId="0" xfId="0" applyFont="1" applyFill="1"/>
    <xf numFmtId="0" fontId="3" fillId="3" borderId="0" xfId="0" applyFont="1" applyFill="1"/>
    <xf numFmtId="0" fontId="0" fillId="13" borderId="0" xfId="0" applyFill="1" applyBorder="1" applyAlignment="1">
      <alignment horizontal="left" wrapText="1"/>
    </xf>
    <xf numFmtId="0" fontId="10" fillId="13" borderId="29" xfId="0" applyFont="1" applyFill="1" applyBorder="1" applyAlignment="1">
      <alignment horizontal="center"/>
    </xf>
    <xf numFmtId="0" fontId="10" fillId="13" borderId="31" xfId="0" applyFont="1" applyFill="1" applyBorder="1" applyAlignment="1">
      <alignment horizontal="center"/>
    </xf>
    <xf numFmtId="0" fontId="43" fillId="14" borderId="29" xfId="0" applyFont="1" applyFill="1" applyBorder="1" applyAlignment="1">
      <alignment horizontal="center" vertical="center"/>
    </xf>
    <xf numFmtId="0" fontId="43" fillId="14" borderId="30" xfId="0" applyFont="1" applyFill="1" applyBorder="1" applyAlignment="1">
      <alignment horizontal="center" vertical="center"/>
    </xf>
    <xf numFmtId="0" fontId="43" fillId="14" borderId="31" xfId="0" applyFont="1" applyFill="1" applyBorder="1" applyAlignment="1">
      <alignment horizontal="center" vertical="center"/>
    </xf>
    <xf numFmtId="0" fontId="0" fillId="17" borderId="0" xfId="0" applyFill="1" applyBorder="1" applyAlignment="1">
      <alignment horizontal="left" wrapText="1"/>
    </xf>
    <xf numFmtId="0" fontId="0" fillId="20" borderId="0" xfId="0" applyFill="1" applyBorder="1" applyAlignment="1">
      <alignment horizontal="left" wrapText="1"/>
    </xf>
    <xf numFmtId="0" fontId="6" fillId="11" borderId="2" xfId="0" applyFont="1" applyFill="1" applyBorder="1" applyAlignment="1">
      <alignment horizontal="left" vertical="center" wrapText="1"/>
    </xf>
    <xf numFmtId="0" fontId="6" fillId="11" borderId="3" xfId="0" applyFont="1" applyFill="1" applyBorder="1" applyAlignment="1">
      <alignment horizontal="left" vertical="center" wrapText="1"/>
    </xf>
    <xf numFmtId="0" fontId="6" fillId="11" borderId="15" xfId="0" applyFont="1" applyFill="1" applyBorder="1" applyAlignment="1">
      <alignment horizontal="left" vertical="center" wrapText="1"/>
    </xf>
    <xf numFmtId="0" fontId="8" fillId="10" borderId="1" xfId="0" applyFont="1" applyFill="1" applyBorder="1" applyAlignment="1" applyProtection="1">
      <alignment horizontal="left" vertical="center"/>
      <protection locked="0"/>
    </xf>
    <xf numFmtId="0" fontId="8" fillId="10" borderId="1" xfId="0" applyFont="1" applyFill="1" applyBorder="1" applyAlignment="1">
      <alignment horizontal="left" vertical="center"/>
    </xf>
    <xf numFmtId="0" fontId="40" fillId="11" borderId="26" xfId="0" applyFont="1" applyFill="1" applyBorder="1" applyAlignment="1">
      <alignment horizontal="center" textRotation="90" wrapText="1"/>
    </xf>
    <xf numFmtId="0" fontId="31" fillId="11" borderId="2" xfId="0" applyFont="1" applyFill="1" applyBorder="1" applyAlignment="1">
      <alignment horizontal="left" vertical="center"/>
    </xf>
    <xf numFmtId="0" fontId="31" fillId="11" borderId="3" xfId="0" applyFont="1" applyFill="1" applyBorder="1" applyAlignment="1">
      <alignment horizontal="left" vertical="center"/>
    </xf>
    <xf numFmtId="0" fontId="31" fillId="11" borderId="15" xfId="0" applyFont="1" applyFill="1" applyBorder="1" applyAlignment="1">
      <alignment horizontal="left" vertical="center"/>
    </xf>
    <xf numFmtId="0" fontId="31" fillId="11" borderId="2" xfId="0" applyFont="1" applyFill="1" applyBorder="1" applyAlignment="1">
      <alignment horizontal="left" wrapText="1"/>
    </xf>
    <xf numFmtId="0" fontId="31" fillId="11" borderId="3" xfId="0" applyFont="1" applyFill="1" applyBorder="1" applyAlignment="1">
      <alignment horizontal="left" wrapText="1"/>
    </xf>
    <xf numFmtId="0" fontId="31" fillId="11" borderId="15" xfId="0" applyFont="1" applyFill="1" applyBorder="1" applyAlignment="1">
      <alignment horizontal="left" wrapText="1"/>
    </xf>
    <xf numFmtId="0" fontId="31" fillId="11" borderId="2" xfId="0" applyFont="1" applyFill="1" applyBorder="1" applyAlignment="1">
      <alignment horizontal="left" vertical="center" wrapText="1"/>
    </xf>
    <xf numFmtId="0" fontId="31" fillId="11" borderId="3" xfId="0" applyFont="1" applyFill="1" applyBorder="1" applyAlignment="1">
      <alignment horizontal="left" vertical="center" wrapText="1"/>
    </xf>
    <xf numFmtId="0" fontId="31" fillId="11" borderId="15" xfId="0" applyFont="1" applyFill="1" applyBorder="1" applyAlignment="1">
      <alignment horizontal="left" vertical="center" wrapText="1"/>
    </xf>
    <xf numFmtId="0" fontId="1" fillId="10" borderId="2" xfId="0" applyFont="1" applyFill="1" applyBorder="1" applyAlignment="1">
      <alignment horizontal="left" vertical="center"/>
    </xf>
    <xf numFmtId="0" fontId="1" fillId="10" borderId="3" xfId="0" applyFont="1" applyFill="1" applyBorder="1" applyAlignment="1">
      <alignment horizontal="left" vertical="center"/>
    </xf>
    <xf numFmtId="0" fontId="1" fillId="10" borderId="15" xfId="0" applyFont="1" applyFill="1" applyBorder="1" applyAlignment="1">
      <alignment horizontal="left" vertical="center"/>
    </xf>
    <xf numFmtId="0" fontId="0" fillId="10" borderId="2" xfId="0" applyFont="1" applyFill="1" applyBorder="1" applyAlignment="1">
      <alignment horizontal="left" vertical="center"/>
    </xf>
    <xf numFmtId="0" fontId="0" fillId="10" borderId="3" xfId="0" applyFont="1" applyFill="1" applyBorder="1" applyAlignment="1">
      <alignment horizontal="left" vertical="center"/>
    </xf>
    <xf numFmtId="0" fontId="0" fillId="10" borderId="15" xfId="0" applyFont="1" applyFill="1" applyBorder="1" applyAlignment="1">
      <alignment horizontal="left" vertical="center"/>
    </xf>
    <xf numFmtId="0" fontId="28" fillId="10" borderId="2" xfId="0" applyFont="1" applyFill="1" applyBorder="1" applyAlignment="1">
      <alignment horizontal="left" vertical="center"/>
    </xf>
    <xf numFmtId="0" fontId="28" fillId="10" borderId="3" xfId="0" applyFont="1" applyFill="1" applyBorder="1" applyAlignment="1">
      <alignment horizontal="left" vertical="center"/>
    </xf>
    <xf numFmtId="0" fontId="28" fillId="10" borderId="15" xfId="0" applyFont="1" applyFill="1" applyBorder="1" applyAlignment="1">
      <alignment horizontal="left" vertical="center"/>
    </xf>
    <xf numFmtId="0" fontId="0" fillId="10" borderId="2" xfId="0" applyFill="1" applyBorder="1" applyAlignment="1">
      <alignment horizontal="left" vertical="center"/>
    </xf>
    <xf numFmtId="0" fontId="0" fillId="10" borderId="3" xfId="0" applyFill="1" applyBorder="1" applyAlignment="1">
      <alignment horizontal="left" vertical="center"/>
    </xf>
    <xf numFmtId="0" fontId="0" fillId="10" borderId="15" xfId="0" applyFill="1" applyBorder="1" applyAlignment="1">
      <alignment horizontal="left" vertical="center"/>
    </xf>
    <xf numFmtId="0" fontId="27" fillId="11" borderId="0" xfId="0" applyFont="1" applyFill="1" applyBorder="1" applyAlignment="1">
      <alignment horizontal="center" vertical="center"/>
    </xf>
    <xf numFmtId="0" fontId="26" fillId="12" borderId="0" xfId="0" applyFont="1" applyFill="1" applyBorder="1" applyAlignment="1">
      <alignment horizontal="center" vertical="center"/>
    </xf>
    <xf numFmtId="0" fontId="20" fillId="0" borderId="0" xfId="0" applyFont="1" applyBorder="1" applyAlignment="1">
      <alignment horizontal="center"/>
    </xf>
    <xf numFmtId="0" fontId="0" fillId="10" borderId="1" xfId="0" applyFill="1" applyBorder="1" applyAlignment="1">
      <alignment horizontal="left" vertical="center" wrapText="1"/>
    </xf>
    <xf numFmtId="0" fontId="1" fillId="10" borderId="1" xfId="0" applyFont="1" applyFill="1" applyBorder="1" applyAlignment="1">
      <alignment horizontal="left" vertical="center"/>
    </xf>
    <xf numFmtId="0" fontId="0" fillId="10" borderId="1" xfId="0" applyFill="1" applyBorder="1" applyAlignment="1">
      <alignment horizontal="left" vertical="center"/>
    </xf>
    <xf numFmtId="0" fontId="4" fillId="10" borderId="2" xfId="0" applyFont="1" applyFill="1" applyBorder="1" applyAlignment="1">
      <alignment horizontal="left" vertical="center" wrapText="1"/>
    </xf>
    <xf numFmtId="0" fontId="4" fillId="10" borderId="3" xfId="0" applyFont="1" applyFill="1" applyBorder="1" applyAlignment="1">
      <alignment horizontal="left" vertical="center" wrapText="1"/>
    </xf>
    <xf numFmtId="0" fontId="4" fillId="10" borderId="15" xfId="0" applyFont="1" applyFill="1" applyBorder="1" applyAlignment="1">
      <alignment horizontal="left" vertical="center" wrapText="1"/>
    </xf>
    <xf numFmtId="0" fontId="0" fillId="0" borderId="0" xfId="0" applyFont="1" applyAlignment="1">
      <alignment horizontal="left" vertical="center" wrapText="1"/>
    </xf>
    <xf numFmtId="0" fontId="1" fillId="0" borderId="0" xfId="0" applyFont="1" applyAlignment="1">
      <alignment horizontal="left" vertical="center" wrapText="1"/>
    </xf>
    <xf numFmtId="0" fontId="23" fillId="0" borderId="17" xfId="0" applyFont="1" applyBorder="1" applyAlignment="1">
      <alignment horizontal="left" vertical="top" wrapText="1"/>
    </xf>
    <xf numFmtId="0" fontId="23" fillId="0" borderId="18" xfId="0" applyFont="1" applyBorder="1" applyAlignment="1">
      <alignment horizontal="left" vertical="top"/>
    </xf>
    <xf numFmtId="0" fontId="23" fillId="0" borderId="19" xfId="0" applyFont="1" applyBorder="1" applyAlignment="1">
      <alignment horizontal="left" vertical="top"/>
    </xf>
    <xf numFmtId="0" fontId="23" fillId="0" borderId="20" xfId="0" applyFont="1" applyBorder="1" applyAlignment="1">
      <alignment horizontal="left" vertical="top"/>
    </xf>
    <xf numFmtId="0" fontId="23" fillId="0" borderId="0" xfId="0" applyFont="1" applyBorder="1" applyAlignment="1">
      <alignment horizontal="left" vertical="top"/>
    </xf>
    <xf numFmtId="0" fontId="23" fillId="0" borderId="21" xfId="0" applyFont="1" applyBorder="1" applyAlignment="1">
      <alignment horizontal="left" vertical="top"/>
    </xf>
    <xf numFmtId="0" fontId="23" fillId="0" borderId="22" xfId="0" applyFont="1" applyBorder="1" applyAlignment="1">
      <alignment horizontal="left" vertical="top"/>
    </xf>
    <xf numFmtId="0" fontId="23" fillId="0" borderId="23" xfId="0" applyFont="1" applyBorder="1" applyAlignment="1">
      <alignment horizontal="left" vertical="top"/>
    </xf>
    <xf numFmtId="0" fontId="23" fillId="0" borderId="24" xfId="0" applyFont="1" applyBorder="1" applyAlignment="1">
      <alignment horizontal="left" vertical="top"/>
    </xf>
    <xf numFmtId="0" fontId="0" fillId="10" borderId="0" xfId="0" applyFill="1" applyAlignment="1">
      <alignment horizontal="center"/>
    </xf>
    <xf numFmtId="0" fontId="0" fillId="10" borderId="2" xfId="0" applyFill="1" applyBorder="1" applyAlignment="1">
      <alignment horizontal="left" vertical="center" wrapText="1"/>
    </xf>
    <xf numFmtId="0" fontId="0" fillId="10" borderId="3" xfId="0" applyFill="1" applyBorder="1" applyAlignment="1">
      <alignment horizontal="left" vertical="center" wrapText="1"/>
    </xf>
    <xf numFmtId="0" fontId="0" fillId="10" borderId="15" xfId="0" applyFill="1" applyBorder="1" applyAlignment="1">
      <alignment horizontal="left" vertical="center" wrapText="1"/>
    </xf>
    <xf numFmtId="0" fontId="4" fillId="10" borderId="2" xfId="0" applyFont="1" applyFill="1" applyBorder="1" applyAlignment="1">
      <alignment horizontal="left" vertical="center"/>
    </xf>
    <xf numFmtId="0" fontId="4" fillId="10" borderId="3" xfId="0" applyFont="1" applyFill="1" applyBorder="1" applyAlignment="1">
      <alignment horizontal="left" vertical="center"/>
    </xf>
    <xf numFmtId="0" fontId="4" fillId="10" borderId="15" xfId="0" applyFont="1" applyFill="1" applyBorder="1" applyAlignment="1">
      <alignment horizontal="left" vertical="center"/>
    </xf>
    <xf numFmtId="0" fontId="41" fillId="10" borderId="2" xfId="0" applyFont="1" applyFill="1" applyBorder="1" applyAlignment="1">
      <alignment horizontal="left" vertical="center" wrapText="1"/>
    </xf>
    <xf numFmtId="0" fontId="41" fillId="10" borderId="3" xfId="0" applyFont="1" applyFill="1" applyBorder="1" applyAlignment="1">
      <alignment horizontal="left" vertical="center" wrapText="1"/>
    </xf>
    <xf numFmtId="0" fontId="41" fillId="10" borderId="15" xfId="0" applyFont="1" applyFill="1" applyBorder="1" applyAlignment="1">
      <alignment horizontal="left" vertical="center" wrapText="1"/>
    </xf>
    <xf numFmtId="0" fontId="0" fillId="10" borderId="2" xfId="0" applyFill="1" applyBorder="1" applyAlignment="1">
      <alignment horizontal="center"/>
    </xf>
    <xf numFmtId="0" fontId="0" fillId="10" borderId="3" xfId="0" applyFill="1" applyBorder="1" applyAlignment="1">
      <alignment horizontal="center"/>
    </xf>
    <xf numFmtId="0" fontId="0" fillId="10" borderId="15" xfId="0" applyFill="1" applyBorder="1" applyAlignment="1">
      <alignment horizontal="center"/>
    </xf>
    <xf numFmtId="0" fontId="42" fillId="11" borderId="12" xfId="0" applyFont="1" applyFill="1" applyBorder="1" applyAlignment="1">
      <alignment horizontal="center"/>
    </xf>
    <xf numFmtId="0" fontId="42" fillId="11" borderId="13" xfId="0" applyFont="1" applyFill="1" applyBorder="1" applyAlignment="1">
      <alignment horizontal="center"/>
    </xf>
    <xf numFmtId="0" fontId="42" fillId="11" borderId="14" xfId="0" applyFont="1" applyFill="1" applyBorder="1" applyAlignment="1">
      <alignment horizontal="center"/>
    </xf>
    <xf numFmtId="0" fontId="38" fillId="0" borderId="12" xfId="0" applyFont="1" applyFill="1" applyBorder="1" applyAlignment="1">
      <alignment horizontal="center"/>
    </xf>
    <xf numFmtId="0" fontId="38" fillId="0" borderId="13" xfId="0" applyFont="1" applyFill="1" applyBorder="1" applyAlignment="1">
      <alignment horizontal="center"/>
    </xf>
    <xf numFmtId="0" fontId="38" fillId="0" borderId="14" xfId="0" applyFont="1" applyFill="1" applyBorder="1" applyAlignment="1">
      <alignment horizontal="center"/>
    </xf>
    <xf numFmtId="0" fontId="38" fillId="10" borderId="12" xfId="0" applyFont="1" applyFill="1" applyBorder="1" applyAlignment="1">
      <alignment horizontal="center"/>
    </xf>
    <xf numFmtId="0" fontId="38" fillId="10" borderId="13" xfId="0" applyFont="1" applyFill="1" applyBorder="1" applyAlignment="1">
      <alignment horizontal="center"/>
    </xf>
    <xf numFmtId="0" fontId="38" fillId="10" borderId="14" xfId="0" applyFont="1" applyFill="1" applyBorder="1" applyAlignment="1">
      <alignment horizontal="center"/>
    </xf>
    <xf numFmtId="0" fontId="23" fillId="0" borderId="16" xfId="0" applyFont="1" applyBorder="1" applyAlignment="1">
      <alignment horizontal="center" vertical="center"/>
    </xf>
    <xf numFmtId="0" fontId="23" fillId="0" borderId="28" xfId="0" applyFont="1" applyBorder="1" applyAlignment="1">
      <alignment horizontal="center" vertical="center"/>
    </xf>
    <xf numFmtId="0" fontId="37" fillId="0" borderId="0" xfId="0" applyFont="1" applyAlignment="1">
      <alignment horizontal="center" vertical="center"/>
    </xf>
    <xf numFmtId="0" fontId="37"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3" fillId="15" borderId="33" xfId="0" applyFont="1" applyFill="1" applyBorder="1" applyAlignment="1" applyProtection="1">
      <alignment horizontal="center" vertical="center"/>
      <protection locked="0"/>
    </xf>
  </cellXfs>
  <cellStyles count="4">
    <cellStyle name="Avertissement" xfId="2" builtinId="11"/>
    <cellStyle name="Entrée" xfId="3" builtinId="20"/>
    <cellStyle name="Normal" xfId="0" builtinId="0"/>
    <cellStyle name="Pourcentage" xfId="1" builtinId="5"/>
  </cellStyles>
  <dxfs count="0"/>
  <tableStyles count="0" defaultTableStyle="TableStyleMedium2" defaultPivotStyle="PivotStyleLight16"/>
  <colors>
    <mruColors>
      <color rgb="FFA700FA"/>
      <color rgb="FFE5D6EE"/>
      <color rgb="FFB388CE"/>
      <color rgb="FFA06AC2"/>
      <color rgb="FFC043FF"/>
      <color rgb="FFCC66FF"/>
      <color rgb="FF9933FF"/>
      <color rgb="FF99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radarChart>
        <c:radarStyle val="marker"/>
        <c:varyColors val="0"/>
        <c:ser>
          <c:idx val="0"/>
          <c:order val="0"/>
          <c:spPr>
            <a:ln w="28575" cap="rnd">
              <a:solidFill>
                <a:schemeClr val="accent1"/>
              </a:solidFill>
              <a:round/>
            </a:ln>
            <a:effectLst/>
          </c:spPr>
          <c:marker>
            <c:symbol val="none"/>
          </c:marker>
          <c:cat>
            <c:strRef>
              <c:f>'Onglet technique radar'!$D$2:$D$10</c:f>
              <c:strCache>
                <c:ptCount val="9"/>
                <c:pt idx="0">
                  <c:v>Compétences/connaissances</c:v>
                </c:pt>
                <c:pt idx="1">
                  <c:v>Ressources internes/externes</c:v>
                </c:pt>
                <c:pt idx="2">
                  <c:v>Organiser planifier</c:v>
                </c:pt>
                <c:pt idx="3">
                  <c:v>Suivre avancées/progrès</c:v>
                </c:pt>
                <c:pt idx="4">
                  <c:v>Environnement, collectif de travail</c:v>
                </c:pt>
                <c:pt idx="5">
                  <c:v>Responsabilités, initiatives</c:v>
                </c:pt>
                <c:pt idx="6">
                  <c:v>S'adapter, remédier aux difficultés</c:v>
                </c:pt>
                <c:pt idx="7">
                  <c:v>Rendre compte de l'avancement</c:v>
                </c:pt>
                <c:pt idx="8">
                  <c:v>Analyser/évaluer son travail personnel</c:v>
                </c:pt>
              </c:strCache>
            </c:strRef>
          </c:cat>
          <c:val>
            <c:numRef>
              <c:f>'Calcul notes'!$K$6:$K$14</c:f>
              <c:numCache>
                <c:formatCode>General</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0-36E9-4CFD-9EFD-7D773AAF1DDC}"/>
            </c:ext>
          </c:extLst>
        </c:ser>
        <c:ser>
          <c:idx val="1"/>
          <c:order val="1"/>
          <c:tx>
            <c:v>Attendus année 1</c:v>
          </c:tx>
          <c:spPr>
            <a:ln w="28575" cap="rnd">
              <a:solidFill>
                <a:schemeClr val="accent1">
                  <a:alpha val="51000"/>
                </a:schemeClr>
              </a:solidFill>
              <a:prstDash val="sysDot"/>
              <a:round/>
            </a:ln>
            <a:effectLst/>
          </c:spPr>
          <c:marker>
            <c:symbol val="none"/>
          </c:marker>
          <c:val>
            <c:numRef>
              <c:f>'Onglet technique radar'!$B$10:$B$18</c:f>
              <c:numCache>
                <c:formatCode>General</c:formatCode>
                <c:ptCount val="9"/>
                <c:pt idx="0">
                  <c:v>2</c:v>
                </c:pt>
                <c:pt idx="1">
                  <c:v>2</c:v>
                </c:pt>
                <c:pt idx="2">
                  <c:v>2</c:v>
                </c:pt>
                <c:pt idx="3">
                  <c:v>2</c:v>
                </c:pt>
                <c:pt idx="4">
                  <c:v>2</c:v>
                </c:pt>
                <c:pt idx="5">
                  <c:v>2</c:v>
                </c:pt>
                <c:pt idx="6">
                  <c:v>2</c:v>
                </c:pt>
                <c:pt idx="7">
                  <c:v>2</c:v>
                </c:pt>
                <c:pt idx="8">
                  <c:v>2</c:v>
                </c:pt>
              </c:numCache>
            </c:numRef>
          </c:val>
          <c:extLst>
            <c:ext xmlns:c16="http://schemas.microsoft.com/office/drawing/2014/chart" uri="{C3380CC4-5D6E-409C-BE32-E72D297353CC}">
              <c16:uniqueId val="{00000002-25DD-4A85-97B9-E01B82062423}"/>
            </c:ext>
          </c:extLst>
        </c:ser>
        <c:dLbls>
          <c:showLegendKey val="0"/>
          <c:showVal val="0"/>
          <c:showCatName val="0"/>
          <c:showSerName val="0"/>
          <c:showPercent val="0"/>
          <c:showBubbleSize val="0"/>
        </c:dLbls>
        <c:axId val="373042576"/>
        <c:axId val="373032592"/>
      </c:radarChart>
      <c:catAx>
        <c:axId val="373042576"/>
        <c:scaling>
          <c:orientation val="minMax"/>
        </c:scaling>
        <c:delete val="1"/>
        <c:axPos val="b"/>
        <c:numFmt formatCode="General" sourceLinked="1"/>
        <c:majorTickMark val="none"/>
        <c:minorTickMark val="none"/>
        <c:tickLblPos val="nextTo"/>
        <c:crossAx val="373032592"/>
        <c:crosses val="autoZero"/>
        <c:auto val="1"/>
        <c:lblAlgn val="ctr"/>
        <c:lblOffset val="100"/>
        <c:noMultiLvlLbl val="0"/>
      </c:catAx>
      <c:valAx>
        <c:axId val="373032592"/>
        <c:scaling>
          <c:orientation val="minMax"/>
          <c:max val="4"/>
          <c:min val="0"/>
        </c:scaling>
        <c:delete val="1"/>
        <c:axPos val="l"/>
        <c:numFmt formatCode="General" sourceLinked="1"/>
        <c:majorTickMark val="none"/>
        <c:minorTickMark val="none"/>
        <c:tickLblPos val="nextTo"/>
        <c:crossAx val="373042576"/>
        <c:crosses val="autoZero"/>
        <c:crossBetween val="between"/>
        <c:majorUnit val="1"/>
        <c:minorUnit val="1"/>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9525" cap="flat" cmpd="sng" algn="ctr">
      <a:noFill/>
      <a:round/>
    </a:ln>
    <a:effectLst>
      <a:softEdge rad="0"/>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radarChart>
        <c:radarStyle val="marker"/>
        <c:varyColors val="0"/>
        <c:ser>
          <c:idx val="0"/>
          <c:order val="0"/>
          <c:tx>
            <c:strRef>
              <c:f>'1ère année'!$A$8</c:f>
              <c:strCache>
                <c:ptCount val="1"/>
                <c:pt idx="0">
                  <c:v>PREMIÈRE ANNÉE</c:v>
                </c:pt>
              </c:strCache>
            </c:strRef>
          </c:tx>
          <c:spPr>
            <a:ln w="28575" cap="rnd">
              <a:solidFill>
                <a:schemeClr val="accent1">
                  <a:alpha val="40000"/>
                </a:schemeClr>
              </a:solidFill>
              <a:round/>
            </a:ln>
            <a:effectLst/>
          </c:spPr>
          <c:marker>
            <c:symbol val="none"/>
          </c:marker>
          <c:cat>
            <c:strRef>
              <c:f>'Onglet technique radar'!$D$2:$D$10</c:f>
              <c:strCache>
                <c:ptCount val="9"/>
                <c:pt idx="0">
                  <c:v>Compétences/connaissances</c:v>
                </c:pt>
                <c:pt idx="1">
                  <c:v>Ressources internes/externes</c:v>
                </c:pt>
                <c:pt idx="2">
                  <c:v>Organiser planifier</c:v>
                </c:pt>
                <c:pt idx="3">
                  <c:v>Suivre avancées/progrès</c:v>
                </c:pt>
                <c:pt idx="4">
                  <c:v>Environnement, collectif de travail</c:v>
                </c:pt>
                <c:pt idx="5">
                  <c:v>Responsabilités, initiatives</c:v>
                </c:pt>
                <c:pt idx="6">
                  <c:v>S'adapter, remédier aux difficultés</c:v>
                </c:pt>
                <c:pt idx="7">
                  <c:v>Rendre compte de l'avancement</c:v>
                </c:pt>
                <c:pt idx="8">
                  <c:v>Analyser/évaluer son travail personnel</c:v>
                </c:pt>
              </c:strCache>
            </c:strRef>
          </c:cat>
          <c:val>
            <c:numRef>
              <c:f>'Calcul notes'!$K$6:$K$14</c:f>
              <c:numCache>
                <c:formatCode>General</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0-FA4C-408F-9E2F-64F1A0733C09}"/>
            </c:ext>
          </c:extLst>
        </c:ser>
        <c:ser>
          <c:idx val="1"/>
          <c:order val="1"/>
          <c:tx>
            <c:strRef>
              <c:f>'2ème année'!$A$8</c:f>
              <c:strCache>
                <c:ptCount val="1"/>
                <c:pt idx="0">
                  <c:v>DEUXIÈME ANNÉE</c:v>
                </c:pt>
              </c:strCache>
            </c:strRef>
          </c:tx>
          <c:spPr>
            <a:ln w="28575" cap="rnd">
              <a:solidFill>
                <a:schemeClr val="accent2"/>
              </a:solidFill>
              <a:round/>
            </a:ln>
            <a:effectLst/>
          </c:spPr>
          <c:marker>
            <c:symbol val="none"/>
          </c:marker>
          <c:cat>
            <c:strRef>
              <c:f>'Onglet technique radar'!$D$2:$D$10</c:f>
              <c:strCache>
                <c:ptCount val="9"/>
                <c:pt idx="0">
                  <c:v>Compétences/connaissances</c:v>
                </c:pt>
                <c:pt idx="1">
                  <c:v>Ressources internes/externes</c:v>
                </c:pt>
                <c:pt idx="2">
                  <c:v>Organiser planifier</c:v>
                </c:pt>
                <c:pt idx="3">
                  <c:v>Suivre avancées/progrès</c:v>
                </c:pt>
                <c:pt idx="4">
                  <c:v>Environnement, collectif de travail</c:v>
                </c:pt>
                <c:pt idx="5">
                  <c:v>Responsabilités, initiatives</c:v>
                </c:pt>
                <c:pt idx="6">
                  <c:v>S'adapter, remédier aux difficultés</c:v>
                </c:pt>
                <c:pt idx="7">
                  <c:v>Rendre compte de l'avancement</c:v>
                </c:pt>
                <c:pt idx="8">
                  <c:v>Analyser/évaluer son travail personnel</c:v>
                </c:pt>
              </c:strCache>
            </c:strRef>
          </c:cat>
          <c:val>
            <c:numRef>
              <c:f>'Calcul notes'!$K$23:$K$31</c:f>
              <c:numCache>
                <c:formatCode>General</c:formatCode>
                <c:ptCount val="9"/>
                <c:pt idx="0">
                  <c:v>3</c:v>
                </c:pt>
                <c:pt idx="1">
                  <c:v>4</c:v>
                </c:pt>
                <c:pt idx="2">
                  <c:v>3</c:v>
                </c:pt>
                <c:pt idx="3">
                  <c:v>4</c:v>
                </c:pt>
                <c:pt idx="4">
                  <c:v>4</c:v>
                </c:pt>
                <c:pt idx="5">
                  <c:v>4</c:v>
                </c:pt>
                <c:pt idx="6">
                  <c:v>4</c:v>
                </c:pt>
                <c:pt idx="7">
                  <c:v>4</c:v>
                </c:pt>
                <c:pt idx="8">
                  <c:v>4</c:v>
                </c:pt>
              </c:numCache>
            </c:numRef>
          </c:val>
          <c:extLst>
            <c:ext xmlns:c16="http://schemas.microsoft.com/office/drawing/2014/chart" uri="{C3380CC4-5D6E-409C-BE32-E72D297353CC}">
              <c16:uniqueId val="{00000003-FA4C-408F-9E2F-64F1A0733C09}"/>
            </c:ext>
          </c:extLst>
        </c:ser>
        <c:ser>
          <c:idx val="2"/>
          <c:order val="2"/>
          <c:tx>
            <c:v>Niveau attendu première année</c:v>
          </c:tx>
          <c:spPr>
            <a:ln w="28575" cap="rnd">
              <a:solidFill>
                <a:schemeClr val="accent1">
                  <a:alpha val="41000"/>
                </a:schemeClr>
              </a:solidFill>
              <a:prstDash val="sysDot"/>
              <a:round/>
            </a:ln>
            <a:effectLst/>
          </c:spPr>
          <c:marker>
            <c:symbol val="none"/>
          </c:marker>
          <c:val>
            <c:numRef>
              <c:f>'Onglet technique radar'!$B$10:$B$18</c:f>
              <c:numCache>
                <c:formatCode>General</c:formatCode>
                <c:ptCount val="9"/>
                <c:pt idx="0">
                  <c:v>2</c:v>
                </c:pt>
                <c:pt idx="1">
                  <c:v>2</c:v>
                </c:pt>
                <c:pt idx="2">
                  <c:v>2</c:v>
                </c:pt>
                <c:pt idx="3">
                  <c:v>2</c:v>
                </c:pt>
                <c:pt idx="4">
                  <c:v>2</c:v>
                </c:pt>
                <c:pt idx="5">
                  <c:v>2</c:v>
                </c:pt>
                <c:pt idx="6">
                  <c:v>2</c:v>
                </c:pt>
                <c:pt idx="7">
                  <c:v>2</c:v>
                </c:pt>
                <c:pt idx="8">
                  <c:v>2</c:v>
                </c:pt>
              </c:numCache>
            </c:numRef>
          </c:val>
          <c:extLst>
            <c:ext xmlns:c16="http://schemas.microsoft.com/office/drawing/2014/chart" uri="{C3380CC4-5D6E-409C-BE32-E72D297353CC}">
              <c16:uniqueId val="{00000001-8FF2-4508-BC32-CF500D50B385}"/>
            </c:ext>
          </c:extLst>
        </c:ser>
        <c:dLbls>
          <c:showLegendKey val="0"/>
          <c:showVal val="0"/>
          <c:showCatName val="0"/>
          <c:showSerName val="0"/>
          <c:showPercent val="0"/>
          <c:showBubbleSize val="0"/>
        </c:dLbls>
        <c:axId val="373042576"/>
        <c:axId val="373032592"/>
      </c:radarChart>
      <c:catAx>
        <c:axId val="373042576"/>
        <c:scaling>
          <c:orientation val="minMax"/>
        </c:scaling>
        <c:delete val="1"/>
        <c:axPos val="b"/>
        <c:numFmt formatCode="General" sourceLinked="1"/>
        <c:majorTickMark val="none"/>
        <c:minorTickMark val="none"/>
        <c:tickLblPos val="nextTo"/>
        <c:crossAx val="373032592"/>
        <c:crosses val="autoZero"/>
        <c:auto val="1"/>
        <c:lblAlgn val="ctr"/>
        <c:lblOffset val="100"/>
        <c:noMultiLvlLbl val="0"/>
      </c:catAx>
      <c:valAx>
        <c:axId val="373032592"/>
        <c:scaling>
          <c:orientation val="minMax"/>
          <c:max val="4"/>
          <c:min val="0"/>
        </c:scaling>
        <c:delete val="1"/>
        <c:axPos val="l"/>
        <c:numFmt formatCode="General" sourceLinked="1"/>
        <c:majorTickMark val="none"/>
        <c:minorTickMark val="none"/>
        <c:tickLblPos val="nextTo"/>
        <c:crossAx val="373042576"/>
        <c:crosses val="autoZero"/>
        <c:crossBetween val="between"/>
        <c:majorUnit val="1"/>
        <c:minorUnit val="1"/>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3" Type="http://schemas.openxmlformats.org/officeDocument/2006/relationships/image" Target="../media/image1.jpg"/><Relationship Id="rId2" Type="http://schemas.openxmlformats.org/officeDocument/2006/relationships/chart" Target="../charts/chart1.xml"/><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1.jpg"/><Relationship Id="rId2" Type="http://schemas.openxmlformats.org/officeDocument/2006/relationships/chart" Target="../charts/chart2.xml"/><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1</xdr:col>
      <xdr:colOff>552450</xdr:colOff>
      <xdr:row>6</xdr:row>
      <xdr:rowOff>76199</xdr:rowOff>
    </xdr:from>
    <xdr:to>
      <xdr:col>10</xdr:col>
      <xdr:colOff>695325</xdr:colOff>
      <xdr:row>65</xdr:row>
      <xdr:rowOff>123824</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857250" y="1523999"/>
          <a:ext cx="7000875" cy="11287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fr-FR" sz="1600" baseline="0">
              <a:solidFill>
                <a:srgbClr val="7030A0"/>
              </a:solidFill>
            </a:rPr>
            <a:t>Présentation</a:t>
          </a:r>
        </a:p>
        <a:p>
          <a:pPr algn="just"/>
          <a:r>
            <a:rPr lang="fr-FR" sz="1100" baseline="0"/>
            <a:t>Cet outil est </a:t>
          </a:r>
          <a:r>
            <a:rPr lang="fr-FR" sz="1100" strike="noStrike" baseline="0"/>
            <a:t>une solution </a:t>
          </a:r>
          <a:r>
            <a:rPr lang="fr-FR" sz="1100" strike="noStrike" baseline="0">
              <a:solidFill>
                <a:sysClr val="windowText" lastClr="000000"/>
              </a:solidFill>
            </a:rPr>
            <a:t>proposée</a:t>
          </a:r>
          <a:r>
            <a:rPr lang="fr-FR" sz="1100" strike="noStrike" baseline="0"/>
            <a:t> </a:t>
          </a:r>
          <a:r>
            <a:rPr lang="fr-FR" sz="1100" baseline="0"/>
            <a:t>par le collège des IEN ET-EG-IO de l'académie de Lille pour évaluer les compétences et </a:t>
          </a:r>
          <a:r>
            <a:rPr lang="fr-FR" sz="1100" baseline="0">
              <a:solidFill>
                <a:sysClr val="windowText" lastClr="000000"/>
              </a:solidFill>
            </a:rPr>
            <a:t>déterminer la note finale concernant la réalisation du chef </a:t>
          </a:r>
          <a:r>
            <a:rPr lang="fr-FR" sz="1100">
              <a:solidFill>
                <a:schemeClr val="dk1"/>
              </a:solidFill>
              <a:effectLst/>
              <a:latin typeface="+mn-lt"/>
              <a:ea typeface="+mn-ea"/>
              <a:cs typeface="+mn-cs"/>
            </a:rPr>
            <a:t>d'œuvre</a:t>
          </a:r>
          <a:r>
            <a:rPr lang="fr-FR" sz="1100" baseline="0">
              <a:solidFill>
                <a:sysClr val="windowText" lastClr="000000"/>
              </a:solidFill>
            </a:rPr>
            <a:t>.</a:t>
          </a:r>
        </a:p>
        <a:p>
          <a:pPr algn="just"/>
          <a:endParaRPr lang="fr-FR" sz="1100" baseline="0"/>
        </a:p>
        <a:p>
          <a:pPr algn="just"/>
          <a:r>
            <a:rPr lang="fr-FR" sz="1600" baseline="0">
              <a:solidFill>
                <a:srgbClr val="7030A0"/>
              </a:solidFill>
              <a:latin typeface="+mn-lt"/>
              <a:ea typeface="+mn-ea"/>
              <a:cs typeface="+mn-cs"/>
            </a:rPr>
            <a:t>Utilisation</a:t>
          </a:r>
        </a:p>
        <a:p>
          <a:pPr algn="just"/>
          <a:r>
            <a:rPr lang="fr-FR" sz="1100" baseline="0"/>
            <a:t>Les onglets en bas de page donnent accès aux fonctionnalités et aux opérations.</a:t>
          </a:r>
        </a:p>
        <a:p>
          <a:pPr marL="171450" indent="-171450" algn="just">
            <a:buFont typeface="Wingdings" panose="05000000000000000000" pitchFamily="2" charset="2"/>
            <a:buChar char="v"/>
          </a:pPr>
          <a:r>
            <a:rPr lang="fr-FR" sz="1100" baseline="0"/>
            <a:t>Dans </a:t>
          </a:r>
          <a:r>
            <a:rPr lang="fr-FR" sz="1100" b="1" baseline="0"/>
            <a:t>"1ère année" </a:t>
          </a:r>
          <a:r>
            <a:rPr lang="fr-FR" sz="1100" baseline="0"/>
            <a:t>ou </a:t>
          </a:r>
          <a:r>
            <a:rPr lang="fr-FR" sz="1100" b="1" baseline="0"/>
            <a:t>"2ème année"</a:t>
          </a:r>
          <a:r>
            <a:rPr lang="fr-FR" sz="1100" baseline="0"/>
            <a:t>, utiliser les menus déroulants pour positionner l'élève sur les différents niveaux de maîtrise. Les descripteurs s'affichent automatiquement pour aider à la décision. Des barres de progression affichent l'avancement par rapport au niveau attendu en fin d'année. </a:t>
          </a:r>
          <a:r>
            <a:rPr lang="fr-FR" sz="1100" baseline="0">
              <a:solidFill>
                <a:sysClr val="windowText" lastClr="000000"/>
              </a:solidFill>
            </a:rPr>
            <a:t>Une synthèse est proposée </a:t>
          </a:r>
          <a:r>
            <a:rPr lang="fr-FR" sz="1100" baseline="0"/>
            <a:t>sous forme de graphique.</a:t>
          </a:r>
        </a:p>
        <a:p>
          <a:pPr marL="171450" marR="0" lvl="0" indent="-171450" algn="just" defTabSz="914400" eaLnBrk="1" fontAlgn="auto" latinLnBrk="0" hangingPunct="1">
            <a:lnSpc>
              <a:spcPct val="100000"/>
            </a:lnSpc>
            <a:spcBef>
              <a:spcPts val="0"/>
            </a:spcBef>
            <a:spcAft>
              <a:spcPts val="0"/>
            </a:spcAft>
            <a:buClrTx/>
            <a:buSzTx/>
            <a:buFont typeface="Wingdings" panose="05000000000000000000" pitchFamily="2" charset="2"/>
            <a:buChar char="v"/>
            <a:tabLst/>
            <a:defRPr/>
          </a:pPr>
          <a:r>
            <a:rPr lang="fr-FR" sz="1100" baseline="0">
              <a:solidFill>
                <a:schemeClr val="dk1"/>
              </a:solidFill>
              <a:effectLst/>
              <a:latin typeface="+mn-lt"/>
              <a:ea typeface="+mn-ea"/>
              <a:cs typeface="+mn-cs"/>
            </a:rPr>
            <a:t>Dans </a:t>
          </a:r>
          <a:r>
            <a:rPr lang="fr-FR" sz="1100" b="1" baseline="0">
              <a:solidFill>
                <a:schemeClr val="dk1"/>
              </a:solidFill>
              <a:effectLst/>
              <a:latin typeface="+mn-lt"/>
              <a:ea typeface="+mn-ea"/>
              <a:cs typeface="+mn-cs"/>
            </a:rPr>
            <a:t>"Oral"</a:t>
          </a:r>
          <a:r>
            <a:rPr lang="fr-FR" sz="1100" baseline="0">
              <a:solidFill>
                <a:schemeClr val="dk1"/>
              </a:solidFill>
              <a:effectLst/>
              <a:latin typeface="+mn-lt"/>
              <a:ea typeface="+mn-ea"/>
              <a:cs typeface="+mn-cs"/>
            </a:rPr>
            <a:t> une grille permet de procéder à l'évaluation de la présentation du chef d'oeuvre. </a:t>
          </a:r>
          <a:endParaRPr lang="fr-FR" sz="1100" baseline="0"/>
        </a:p>
        <a:p>
          <a:pPr marL="171450" indent="-171450" algn="just">
            <a:buFont typeface="Wingdings" panose="05000000000000000000" pitchFamily="2" charset="2"/>
            <a:buChar char="v"/>
          </a:pPr>
          <a:r>
            <a:rPr lang="fr-FR" sz="1100" baseline="0"/>
            <a:t>Dans </a:t>
          </a:r>
          <a:r>
            <a:rPr lang="fr-FR" sz="1100" b="1" baseline="0"/>
            <a:t>"Réglages"</a:t>
          </a:r>
          <a:r>
            <a:rPr lang="fr-FR" sz="1100" baseline="0"/>
            <a:t>, il est possible de modifier les attentes (</a:t>
          </a:r>
          <a:r>
            <a:rPr lang="fr-FR" sz="1100" baseline="0">
              <a:solidFill>
                <a:sysClr val="windowText" lastClr="000000"/>
              </a:solidFill>
            </a:rPr>
            <a:t>niveau attendu </a:t>
          </a:r>
          <a:r>
            <a:rPr lang="fr-FR" sz="1100" baseline="0"/>
            <a:t>en fin de 1ère et de 2ème année) et la pondération. Le préréglage est équilibré, les modifications ne devraient être faites que pour tenir compte de circonstances particulières.</a:t>
          </a:r>
        </a:p>
        <a:p>
          <a:pPr marL="171450" marR="0" lvl="0" indent="-171450" algn="just" defTabSz="914400" eaLnBrk="1" fontAlgn="auto" latinLnBrk="0" hangingPunct="1">
            <a:lnSpc>
              <a:spcPct val="100000"/>
            </a:lnSpc>
            <a:spcBef>
              <a:spcPts val="0"/>
            </a:spcBef>
            <a:spcAft>
              <a:spcPts val="0"/>
            </a:spcAft>
            <a:buClrTx/>
            <a:buSzTx/>
            <a:buFont typeface="Wingdings" panose="05000000000000000000" pitchFamily="2" charset="2"/>
            <a:buChar char="v"/>
            <a:tabLst/>
            <a:defRPr/>
          </a:pPr>
          <a:r>
            <a:rPr lang="fr-FR" sz="1100" baseline="0"/>
            <a:t>L'onglet </a:t>
          </a:r>
          <a:r>
            <a:rPr lang="fr-FR" sz="1100" b="1" baseline="0"/>
            <a:t>"Notes annuelles"</a:t>
          </a:r>
          <a:r>
            <a:rPr lang="fr-FR" sz="1100" baseline="0"/>
            <a:t> convertit le positionnement en points sur 20. Cette conversion tient compte des attentes en fin d'année : elle ne doit pas être utilisée pour remplir des </a:t>
          </a:r>
          <a:r>
            <a:rPr lang="fr-FR" sz="1100" baseline="0">
              <a:solidFill>
                <a:sysClr val="windowText" lastClr="000000"/>
              </a:solidFill>
            </a:rPr>
            <a:t>bulletins intermédiaires mais uniquement </a:t>
          </a:r>
          <a:r>
            <a:rPr lang="fr-FR" sz="1100" baseline="0"/>
            <a:t>pour le livret scolaire numérique et le bordereau de notes. </a:t>
          </a:r>
          <a:r>
            <a:rPr lang="fr-FR" sz="1100" baseline="0">
              <a:solidFill>
                <a:schemeClr val="dk1"/>
              </a:solidFill>
              <a:effectLst/>
              <a:latin typeface="+mn-lt"/>
              <a:ea typeface="+mn-ea"/>
              <a:cs typeface="+mn-cs"/>
            </a:rPr>
            <a:t>L'outil adopte le parti-pris suivant : évaluation par compétence sans note tout au long de l'année, conversion en note annuelle en fin d'année.</a:t>
          </a:r>
          <a:endParaRPr lang="fr-FR" sz="1100" baseline="0"/>
        </a:p>
        <a:p>
          <a:pPr marL="171450" indent="-171450" algn="just">
            <a:buFont typeface="Wingdings" panose="05000000000000000000" pitchFamily="2" charset="2"/>
            <a:buChar char="v"/>
          </a:pPr>
          <a:r>
            <a:rPr lang="fr-FR" sz="1100" baseline="0"/>
            <a:t>L'onglet </a:t>
          </a:r>
          <a:r>
            <a:rPr lang="fr-FR" sz="1100" b="1" baseline="0"/>
            <a:t>"Descripteurs"</a:t>
          </a:r>
          <a:r>
            <a:rPr lang="fr-FR" sz="1100" baseline="0"/>
            <a:t> est présent pour information, mais il est possible de modifier les formulations. </a:t>
          </a:r>
        </a:p>
        <a:p>
          <a:pPr algn="just"/>
          <a:endParaRPr lang="fr-FR" sz="1100" baseline="0"/>
        </a:p>
        <a:p>
          <a:pPr marL="0" indent="0" algn="just"/>
          <a:r>
            <a:rPr lang="fr-FR" sz="1600" baseline="0">
              <a:solidFill>
                <a:srgbClr val="7030A0"/>
              </a:solidFill>
              <a:latin typeface="+mn-lt"/>
              <a:ea typeface="+mn-ea"/>
              <a:cs typeface="+mn-cs"/>
            </a:rPr>
            <a:t>Recommandations pédagogiques</a:t>
          </a:r>
        </a:p>
        <a:p>
          <a:pPr algn="just"/>
          <a:r>
            <a:rPr lang="fr-FR" sz="1100" baseline="0"/>
            <a:t>Cet outil peut être utilisé tout au long de l'année pour associer élèves et professeurs dans une évaluation pour les apprentissages. Il permet d'expliciter les attentes et de prendre acte des progrès réalisés à chaque fois qu'un élève franchit un niveau de maîtrise. </a:t>
          </a:r>
          <a:r>
            <a:rPr lang="fr-FR" sz="1100" baseline="0">
              <a:solidFill>
                <a:sysClr val="windowText" lastClr="000000"/>
              </a:solidFill>
            </a:rPr>
            <a:t>Les notes ne doivent pas être communiquées en cours d'année car le mode de calcul se fonde sur les attendus de fin de première et de terminale</a:t>
          </a:r>
          <a:r>
            <a:rPr lang="fr-FR" sz="1100" baseline="0"/>
            <a:t>. La colonne "progression vers les attendus" est un outil de dialogue et de valorisation.</a:t>
          </a:r>
        </a:p>
        <a:p>
          <a:pPr algn="just"/>
          <a:endParaRPr lang="fr-FR" sz="1100" baseline="0"/>
        </a:p>
        <a:p>
          <a:r>
            <a:rPr lang="fr-FR" sz="1600" baseline="0">
              <a:solidFill>
                <a:srgbClr val="7030A0"/>
              </a:solidFill>
              <a:latin typeface="+mn-lt"/>
              <a:ea typeface="+mn-ea"/>
              <a:cs typeface="+mn-cs"/>
            </a:rPr>
            <a:t>Explication sur la conversion du degré de maîtrise en note annuelle</a:t>
          </a:r>
          <a:endParaRPr lang="fr-FR" sz="1600">
            <a:effectLst/>
          </a:endParaRPr>
        </a:p>
        <a:p>
          <a:pPr algn="just" eaLnBrk="1" fontAlgn="auto" latinLnBrk="0" hangingPunct="1"/>
          <a:r>
            <a:rPr lang="fr-FR" sz="1100" baseline="0">
              <a:solidFill>
                <a:schemeClr val="dk1"/>
              </a:solidFill>
              <a:effectLst/>
              <a:latin typeface="+mn-lt"/>
              <a:ea typeface="+mn-ea"/>
              <a:cs typeface="+mn-cs"/>
            </a:rPr>
            <a:t>Chaque compétence est décrite avec 4 paliers de maîtrise. Les échelles de descripteurs sont équivalentes en CAP et en baccalauréat professionnel, mais les attendus en fin d'année sont différents et la conversion en note est plus généreuse en CAP. Il convient de tenir compte du positionnement déjà effectué en CAP en cas de poursuite en baccalauréat professionnel.</a:t>
          </a:r>
          <a:endParaRPr lang="fr-FR" sz="1600">
            <a:effectLst/>
          </a:endParaRPr>
        </a:p>
        <a:p>
          <a:pPr algn="just"/>
          <a:r>
            <a:rPr lang="fr-FR" sz="1100" baseline="0">
              <a:solidFill>
                <a:schemeClr val="dk1"/>
              </a:solidFill>
              <a:effectLst/>
              <a:latin typeface="+mn-lt"/>
              <a:ea typeface="+mn-ea"/>
              <a:cs typeface="+mn-cs"/>
            </a:rPr>
            <a:t>Le niveau 2 est attendu en fin de première année : il correspond à la note 20/20 et le niveau 1 correspond à 10/20. A ce stade, les niveaux supérieurs ne sont pas intégrés à la note, il n'y a pas de compensation entre les compétences. En fin de deuxième année, l'exigence est plus forte : le niveau 1 équivaut à 5/20, le niveau 2 à 10/20, le niveau 3 à 15/20 et le niveau 4 à 20/20. Ces paliers d'exigence peuvent être modifiés dans les réglages. Il est également possible d'y pondérer les domaines et les critères dans le calcul de la note : dans ce cas attention aux équilibres et </a:t>
          </a:r>
          <a:r>
            <a:rPr lang="fr-FR" sz="1100" u="sng" baseline="0">
              <a:solidFill>
                <a:schemeClr val="dk1"/>
              </a:solidFill>
              <a:effectLst/>
              <a:latin typeface="+mn-lt"/>
              <a:ea typeface="+mn-ea"/>
              <a:cs typeface="+mn-cs"/>
            </a:rPr>
            <a:t>au respect du cadre réglementaire</a:t>
          </a:r>
          <a:r>
            <a:rPr lang="fr-FR" sz="1100" baseline="0">
              <a:solidFill>
                <a:schemeClr val="dk1"/>
              </a:solidFill>
              <a:effectLst/>
              <a:latin typeface="+mn-lt"/>
              <a:ea typeface="+mn-ea"/>
              <a:cs typeface="+mn-cs"/>
            </a:rPr>
            <a:t>.</a:t>
          </a:r>
          <a:endParaRPr lang="fr-FR" sz="1600">
            <a:effectLst/>
          </a:endParaRPr>
        </a:p>
        <a:p>
          <a:pPr algn="just"/>
          <a:endParaRPr lang="fr-FR" sz="1100" baseline="0"/>
        </a:p>
        <a:p>
          <a:pPr algn="just"/>
          <a:r>
            <a:rPr lang="fr-FR" sz="1100" b="1" baseline="0"/>
            <a:t>Remarque</a:t>
          </a:r>
          <a:r>
            <a:rPr lang="fr-FR" sz="1100" baseline="0"/>
            <a:t> : </a:t>
          </a:r>
          <a:r>
            <a:rPr lang="fr-FR" sz="1100" baseline="0">
              <a:solidFill>
                <a:sysClr val="windowText" lastClr="000000"/>
              </a:solidFill>
            </a:rPr>
            <a:t>les compétences non évaluées </a:t>
          </a:r>
          <a:r>
            <a:rPr lang="fr-FR" sz="1100" baseline="0"/>
            <a:t>ne comptent pas comme un zéro, elles sont neutralisées. Passer de "non évalué" au premier niveau de maîtrise peut donc faire varier voire baisser la note de manière importante lorsqu'il y a peu de compétences évaluées. </a:t>
          </a:r>
        </a:p>
        <a:p>
          <a:pPr algn="just"/>
          <a:endParaRPr lang="fr-FR" sz="1100" baseline="0"/>
        </a:p>
        <a:p>
          <a:pPr marL="0" marR="0" lvl="0" indent="0" algn="just"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Les utilisateurs avancés peuvent consulter l'onglet technique qui effectue le calcul (il est masqué par défaut avec le mot de passe ACADLILLE).</a:t>
          </a:r>
        </a:p>
        <a:p>
          <a:pPr marL="0" marR="0" lvl="0" indent="0" algn="just" defTabSz="914400" eaLnBrk="1" fontAlgn="auto" latinLnBrk="0" hangingPunct="1">
            <a:lnSpc>
              <a:spcPct val="100000"/>
            </a:lnSpc>
            <a:spcBef>
              <a:spcPts val="0"/>
            </a:spcBef>
            <a:spcAft>
              <a:spcPts val="0"/>
            </a:spcAft>
            <a:buClrTx/>
            <a:buSzTx/>
            <a:buFontTx/>
            <a:buNone/>
            <a:tabLst/>
            <a:defRPr/>
          </a:pPr>
          <a:endParaRPr lang="fr-FR" sz="1100" baseline="0">
            <a:solidFill>
              <a:schemeClr val="dk1"/>
            </a:solidFill>
            <a:effectLst/>
            <a:latin typeface="+mn-lt"/>
            <a:ea typeface="+mn-ea"/>
            <a:cs typeface="+mn-cs"/>
          </a:endParaRPr>
        </a:p>
        <a:p>
          <a:r>
            <a:rPr lang="fr-FR" sz="1600" baseline="0">
              <a:solidFill>
                <a:srgbClr val="7030A0"/>
              </a:solidFill>
              <a:latin typeface="+mn-lt"/>
              <a:ea typeface="+mn-ea"/>
              <a:cs typeface="+mn-cs"/>
            </a:rPr>
            <a:t>Cadre réglementaire</a:t>
          </a:r>
          <a:endParaRPr lang="fr-FR" sz="1100" b="0">
            <a:solidFill>
              <a:schemeClr val="dk1"/>
            </a:solidFill>
            <a:effectLst/>
            <a:latin typeface="+mn-lt"/>
            <a:ea typeface="+mn-ea"/>
            <a:cs typeface="+mn-cs"/>
          </a:endParaRPr>
        </a:p>
        <a:p>
          <a:r>
            <a:rPr lang="fr-FR" sz="1100" u="sng">
              <a:solidFill>
                <a:schemeClr val="dk1"/>
              </a:solidFill>
              <a:effectLst/>
              <a:latin typeface="+mn-lt"/>
              <a:ea typeface="+mn-ea"/>
              <a:cs typeface="+mn-cs"/>
              <a:hlinkClick xmlns:r="http://schemas.openxmlformats.org/officeDocument/2006/relationships" r:id=""/>
            </a:rPr>
            <a:t>Article D337-66-1</a:t>
          </a:r>
          <a:r>
            <a:rPr lang="fr-FR" sz="1100">
              <a:solidFill>
                <a:schemeClr val="dk1"/>
              </a:solidFill>
              <a:effectLst/>
              <a:latin typeface="+mn-lt"/>
              <a:ea typeface="+mn-ea"/>
              <a:cs typeface="+mn-cs"/>
            </a:rPr>
            <a:t> du Code de l'éducation</a:t>
          </a:r>
          <a:br>
            <a:rPr lang="fr-FR" sz="1100">
              <a:solidFill>
                <a:schemeClr val="dk1"/>
              </a:solidFill>
              <a:effectLst/>
              <a:latin typeface="+mn-lt"/>
              <a:ea typeface="+mn-ea"/>
              <a:cs typeface="+mn-cs"/>
            </a:rPr>
          </a:br>
          <a:r>
            <a:rPr lang="fr-FR" sz="1100" i="1">
              <a:solidFill>
                <a:schemeClr val="dk1"/>
              </a:solidFill>
              <a:effectLst/>
              <a:latin typeface="+mn-lt"/>
              <a:ea typeface="+mn-ea"/>
              <a:cs typeface="+mn-cs"/>
            </a:rPr>
            <a:t>Pose les bases de l'évaluation du chef-d'œuvre dans le règlement général du baccalauréat professionnel.</a:t>
          </a:r>
          <a:endParaRPr lang="fr-FR" sz="1100">
            <a:solidFill>
              <a:schemeClr val="dk1"/>
            </a:solidFill>
            <a:effectLst/>
            <a:latin typeface="+mn-lt"/>
            <a:ea typeface="+mn-ea"/>
            <a:cs typeface="+mn-cs"/>
          </a:endParaRPr>
        </a:p>
        <a:p>
          <a:r>
            <a:rPr lang="fr-FR" sz="1100" u="sng">
              <a:solidFill>
                <a:schemeClr val="dk1"/>
              </a:solidFill>
              <a:effectLst/>
              <a:latin typeface="+mn-lt"/>
              <a:ea typeface="+mn-ea"/>
              <a:cs typeface="+mn-cs"/>
              <a:hlinkClick xmlns:r="http://schemas.openxmlformats.org/officeDocument/2006/relationships" r:id=""/>
            </a:rPr>
            <a:t>Arrêté du 21-11-2018</a:t>
          </a:r>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Relatif aux enseignements dispensés dans les formations sous statut scolaire préparant au baccalauréat professionnel</a:t>
          </a:r>
          <a:br>
            <a:rPr lang="fr-FR" sz="1100">
              <a:solidFill>
                <a:schemeClr val="dk1"/>
              </a:solidFill>
              <a:effectLst/>
              <a:latin typeface="+mn-lt"/>
              <a:ea typeface="+mn-ea"/>
              <a:cs typeface="+mn-cs"/>
            </a:rPr>
          </a:br>
          <a:r>
            <a:rPr lang="fr-FR" sz="1100" i="1">
              <a:solidFill>
                <a:schemeClr val="dk1"/>
              </a:solidFill>
              <a:effectLst/>
              <a:latin typeface="+mn-lt"/>
              <a:ea typeface="+mn-ea"/>
              <a:cs typeface="+mn-cs"/>
            </a:rPr>
            <a:t>Prévoit les heures dédiées au chef-d'œuvre.</a:t>
          </a:r>
          <a:endParaRPr lang="fr-FR" sz="1100">
            <a:solidFill>
              <a:schemeClr val="dk1"/>
            </a:solidFill>
            <a:effectLst/>
            <a:latin typeface="+mn-lt"/>
            <a:ea typeface="+mn-ea"/>
            <a:cs typeface="+mn-cs"/>
          </a:endParaRPr>
        </a:p>
        <a:p>
          <a:r>
            <a:rPr lang="fr-FR" sz="1100" u="sng">
              <a:solidFill>
                <a:schemeClr val="dk1"/>
              </a:solidFill>
              <a:effectLst/>
              <a:latin typeface="+mn-lt"/>
              <a:ea typeface="+mn-ea"/>
              <a:cs typeface="+mn-cs"/>
              <a:hlinkClick xmlns:r="http://schemas.openxmlformats.org/officeDocument/2006/relationships" r:id=""/>
            </a:rPr>
            <a:t>Arrêté du 20-10-2020</a:t>
          </a:r>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Définissant les modalités de l'évaluation du chef-d'œuvre prévue à l'examen du baccalauréat professionnel par l'article D. 337-66-1 du code de l'éducation.</a:t>
          </a:r>
        </a:p>
        <a:p>
          <a:r>
            <a:rPr lang="fr-FR" sz="1100" u="sng">
              <a:solidFill>
                <a:schemeClr val="dk1"/>
              </a:solidFill>
              <a:effectLst/>
              <a:latin typeface="+mn-lt"/>
              <a:ea typeface="+mn-ea"/>
              <a:cs typeface="+mn-cs"/>
              <a:hlinkClick xmlns:r="http://schemas.openxmlformats.org/officeDocument/2006/relationships" r:id=""/>
            </a:rPr>
            <a:t>Circulaire du 22-10-2020</a:t>
          </a:r>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Définition du chef d’œuvre, émergence du projet de chef d’œuvre, évaluation du chef d’œuvre, intégration de la note relative au chef d’œuvre, situation de scolarités particulières.</a:t>
          </a:r>
        </a:p>
        <a:p>
          <a:r>
            <a:rPr lang="fr-FR" sz="1100">
              <a:solidFill>
                <a:schemeClr val="dk1"/>
              </a:solidFill>
              <a:effectLst/>
              <a:latin typeface="+mn-lt"/>
              <a:ea typeface="+mn-ea"/>
              <a:cs typeface="+mn-cs"/>
            </a:rPr>
            <a:t> </a:t>
          </a:r>
        </a:p>
        <a:p>
          <a:r>
            <a:rPr lang="fr-FR" sz="1100">
              <a:solidFill>
                <a:schemeClr val="dk1"/>
              </a:solidFill>
              <a:effectLst/>
              <a:latin typeface="+mn-lt"/>
              <a:ea typeface="+mn-ea"/>
              <a:cs typeface="+mn-cs"/>
            </a:rPr>
            <a:t> </a:t>
          </a:r>
        </a:p>
        <a:p>
          <a:pPr marL="0" marR="0" lvl="0" indent="0" algn="just" defTabSz="914400" eaLnBrk="1" fontAlgn="auto" latinLnBrk="0" hangingPunct="1">
            <a:lnSpc>
              <a:spcPct val="100000"/>
            </a:lnSpc>
            <a:spcBef>
              <a:spcPts val="0"/>
            </a:spcBef>
            <a:spcAft>
              <a:spcPts val="0"/>
            </a:spcAft>
            <a:buClrTx/>
            <a:buSzTx/>
            <a:buFontTx/>
            <a:buNone/>
            <a:tabLst/>
            <a:defRPr/>
          </a:pPr>
          <a:endParaRPr lang="fr-FR">
            <a:effectLst/>
          </a:endParaRPr>
        </a:p>
      </xdr:txBody>
    </xdr:sp>
    <xdr:clientData/>
  </xdr:twoCellAnchor>
  <xdr:twoCellAnchor editAs="oneCell">
    <xdr:from>
      <xdr:col>1</xdr:col>
      <xdr:colOff>0</xdr:colOff>
      <xdr:row>1</xdr:row>
      <xdr:rowOff>0</xdr:rowOff>
    </xdr:from>
    <xdr:to>
      <xdr:col>2</xdr:col>
      <xdr:colOff>295275</xdr:colOff>
      <xdr:row>4</xdr:row>
      <xdr:rowOff>171619</xdr:rowOff>
    </xdr:to>
    <xdr:pic>
      <xdr:nvPicPr>
        <xdr:cNvPr id="3" name="Imag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057275" cy="104791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312095</xdr:colOff>
      <xdr:row>6</xdr:row>
      <xdr:rowOff>283851</xdr:rowOff>
    </xdr:from>
    <xdr:to>
      <xdr:col>9</xdr:col>
      <xdr:colOff>754858</xdr:colOff>
      <xdr:row>17</xdr:row>
      <xdr:rowOff>20561</xdr:rowOff>
    </xdr:to>
    <xdr:pic>
      <xdr:nvPicPr>
        <xdr:cNvPr id="11" name="Image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0813408" y="2212664"/>
          <a:ext cx="4859981" cy="4904022"/>
        </a:xfrm>
        <a:prstGeom prst="rect">
          <a:avLst/>
        </a:prstGeom>
      </xdr:spPr>
    </xdr:pic>
    <xdr:clientData/>
  </xdr:twoCellAnchor>
  <xdr:twoCellAnchor>
    <xdr:from>
      <xdr:col>4</xdr:col>
      <xdr:colOff>180974</xdr:colOff>
      <xdr:row>7</xdr:row>
      <xdr:rowOff>19049</xdr:rowOff>
    </xdr:from>
    <xdr:to>
      <xdr:col>10</xdr:col>
      <xdr:colOff>438150</xdr:colOff>
      <xdr:row>17</xdr:row>
      <xdr:rowOff>0</xdr:rowOff>
    </xdr:to>
    <xdr:graphicFrame macro="">
      <xdr:nvGraphicFramePr>
        <xdr:cNvPr id="4" name="Graphique 3">
          <a:extLst>
            <a:ext uri="{FF2B5EF4-FFF2-40B4-BE49-F238E27FC236}">
              <a16:creationId xmlns:a16="http://schemas.microsoft.com/office/drawing/2014/main" id="{00000000-0008-0000-01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104775</xdr:colOff>
      <xdr:row>0</xdr:row>
      <xdr:rowOff>92869</xdr:rowOff>
    </xdr:from>
    <xdr:to>
      <xdr:col>0</xdr:col>
      <xdr:colOff>1162050</xdr:colOff>
      <xdr:row>3</xdr:row>
      <xdr:rowOff>140663</xdr:rowOff>
    </xdr:to>
    <xdr:pic>
      <xdr:nvPicPr>
        <xdr:cNvPr id="6" name="Image 5">
          <a:extLst>
            <a:ext uri="{FF2B5EF4-FFF2-40B4-BE49-F238E27FC236}">
              <a16:creationId xmlns:a16="http://schemas.microsoft.com/office/drawing/2014/main" id="{0542ED11-56E1-46DE-8B1B-1630218D1A0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04775" y="92869"/>
          <a:ext cx="1057275" cy="104791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302096</xdr:colOff>
      <xdr:row>6</xdr:row>
      <xdr:rowOff>286220</xdr:rowOff>
    </xdr:from>
    <xdr:to>
      <xdr:col>9</xdr:col>
      <xdr:colOff>747240</xdr:colOff>
      <xdr:row>17</xdr:row>
      <xdr:rowOff>18168</xdr:rowOff>
    </xdr:to>
    <xdr:pic>
      <xdr:nvPicPr>
        <xdr:cNvPr id="5" name="Image 4">
          <a:extLst>
            <a:ext uri="{FF2B5EF4-FFF2-40B4-BE49-F238E27FC236}">
              <a16:creationId xmlns:a16="http://schemas.microsoft.com/office/drawing/2014/main" id="{E07E2E5F-01F5-4F59-8348-3A07C85538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0803409" y="2215033"/>
          <a:ext cx="4862362" cy="4899260"/>
        </a:xfrm>
        <a:prstGeom prst="rect">
          <a:avLst/>
        </a:prstGeom>
      </xdr:spPr>
    </xdr:pic>
    <xdr:clientData/>
  </xdr:twoCellAnchor>
  <xdr:twoCellAnchor>
    <xdr:from>
      <xdr:col>4</xdr:col>
      <xdr:colOff>180974</xdr:colOff>
      <xdr:row>7</xdr:row>
      <xdr:rowOff>19049</xdr:rowOff>
    </xdr:from>
    <xdr:to>
      <xdr:col>10</xdr:col>
      <xdr:colOff>438150</xdr:colOff>
      <xdr:row>16</xdr:row>
      <xdr:rowOff>609600</xdr:rowOff>
    </xdr:to>
    <xdr:graphicFrame macro="">
      <xdr:nvGraphicFramePr>
        <xdr:cNvPr id="3" name="Graphique 2">
          <a:extLst>
            <a:ext uri="{FF2B5EF4-FFF2-40B4-BE49-F238E27FC236}">
              <a16:creationId xmlns:a16="http://schemas.microsoft.com/office/drawing/2014/main" id="{00000000-0008-0000-0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104775</xdr:colOff>
      <xdr:row>0</xdr:row>
      <xdr:rowOff>95250</xdr:rowOff>
    </xdr:from>
    <xdr:to>
      <xdr:col>0</xdr:col>
      <xdr:colOff>1162050</xdr:colOff>
      <xdr:row>3</xdr:row>
      <xdr:rowOff>143044</xdr:rowOff>
    </xdr:to>
    <xdr:pic>
      <xdr:nvPicPr>
        <xdr:cNvPr id="4" name="Imag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04775" y="95250"/>
          <a:ext cx="1057275" cy="104791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714375</xdr:colOff>
      <xdr:row>1</xdr:row>
      <xdr:rowOff>9525</xdr:rowOff>
    </xdr:from>
    <xdr:to>
      <xdr:col>3</xdr:col>
      <xdr:colOff>247650</xdr:colOff>
      <xdr:row>5</xdr:row>
      <xdr:rowOff>162094</xdr:rowOff>
    </xdr:to>
    <xdr:pic>
      <xdr:nvPicPr>
        <xdr:cNvPr id="3" name="Imag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4375" y="200025"/>
          <a:ext cx="1057275" cy="104791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714375</xdr:colOff>
      <xdr:row>1</xdr:row>
      <xdr:rowOff>9525</xdr:rowOff>
    </xdr:from>
    <xdr:to>
      <xdr:col>2</xdr:col>
      <xdr:colOff>247650</xdr:colOff>
      <xdr:row>5</xdr:row>
      <xdr:rowOff>143044</xdr:rowOff>
    </xdr:to>
    <xdr:pic>
      <xdr:nvPicPr>
        <xdr:cNvPr id="8" name="Image 7">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4375" y="200025"/>
          <a:ext cx="1057275" cy="104791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grilles_du_suivi_chef_d_oeuvre_bac_pro_v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ées"/>
      <sheetName val="Identification"/>
      <sheetName val="Suivi du CO"/>
      <sheetName val="Oral du CO"/>
    </sheetNames>
    <sheetDataSet>
      <sheetData sheetId="0"/>
      <sheetData sheetId="1"/>
      <sheetData sheetId="2"/>
      <sheetData sheetId="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E4"/>
  <sheetViews>
    <sheetView showGridLines="0" workbookViewId="0"/>
  </sheetViews>
  <sheetFormatPr baseColWidth="10" defaultRowHeight="15" x14ac:dyDescent="0.25"/>
  <cols>
    <col min="1" max="1" width="4.5703125" customWidth="1"/>
  </cols>
  <sheetData>
    <row r="2" spans="3:5" ht="27" customHeight="1" x14ac:dyDescent="0.25">
      <c r="C2" s="42"/>
      <c r="E2" s="72" t="s">
        <v>124</v>
      </c>
    </row>
    <row r="3" spans="3:5" ht="27" customHeight="1" x14ac:dyDescent="0.25">
      <c r="C3" s="42"/>
      <c r="E3" s="47" t="s">
        <v>96</v>
      </c>
    </row>
    <row r="4" spans="3:5" x14ac:dyDescent="0.25">
      <c r="E4" t="s">
        <v>159</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E13"/>
  <sheetViews>
    <sheetView workbookViewId="0">
      <selection activeCell="E3" sqref="E3"/>
    </sheetView>
  </sheetViews>
  <sheetFormatPr baseColWidth="10" defaultRowHeight="15" x14ac:dyDescent="0.25"/>
  <cols>
    <col min="1" max="1" width="18" bestFit="1" customWidth="1"/>
    <col min="2" max="2" width="17.28515625" bestFit="1" customWidth="1"/>
    <col min="4" max="4" width="15.7109375" bestFit="1" customWidth="1"/>
    <col min="5" max="5" width="33.85546875" bestFit="1" customWidth="1"/>
  </cols>
  <sheetData>
    <row r="1" spans="1:5" ht="27.75" customHeight="1" x14ac:dyDescent="0.25">
      <c r="A1" s="75" t="s">
        <v>183</v>
      </c>
      <c r="B1" s="75"/>
      <c r="D1" s="75" t="s">
        <v>187</v>
      </c>
      <c r="E1" s="135" t="s">
        <v>189</v>
      </c>
    </row>
    <row r="2" spans="1:5" x14ac:dyDescent="0.25">
      <c r="A2" s="131" t="s">
        <v>171</v>
      </c>
      <c r="B2" s="131" t="s">
        <v>172</v>
      </c>
      <c r="C2" s="132" t="s">
        <v>186</v>
      </c>
    </row>
    <row r="3" spans="1:5" x14ac:dyDescent="0.25">
      <c r="A3" s="133" t="s">
        <v>190</v>
      </c>
      <c r="B3" s="133">
        <v>1</v>
      </c>
      <c r="C3" s="133" t="s">
        <v>185</v>
      </c>
      <c r="D3" s="75" t="s">
        <v>169</v>
      </c>
      <c r="E3" s="134" t="s">
        <v>188</v>
      </c>
    </row>
    <row r="4" spans="1:5" x14ac:dyDescent="0.25">
      <c r="A4" s="133" t="s">
        <v>191</v>
      </c>
      <c r="B4" s="133">
        <v>2</v>
      </c>
      <c r="C4" s="133" t="s">
        <v>185</v>
      </c>
    </row>
    <row r="5" spans="1:5" x14ac:dyDescent="0.25">
      <c r="A5" s="133" t="s">
        <v>192</v>
      </c>
      <c r="B5" s="133">
        <v>3</v>
      </c>
      <c r="C5" s="133" t="s">
        <v>185</v>
      </c>
    </row>
    <row r="6" spans="1:5" x14ac:dyDescent="0.25">
      <c r="A6" s="133" t="s">
        <v>193</v>
      </c>
      <c r="B6" s="133">
        <v>4</v>
      </c>
      <c r="C6" s="133" t="s">
        <v>185</v>
      </c>
    </row>
    <row r="7" spans="1:5" x14ac:dyDescent="0.25">
      <c r="A7" s="133" t="s">
        <v>194</v>
      </c>
      <c r="B7" s="133">
        <v>5</v>
      </c>
      <c r="C7" s="133" t="s">
        <v>185</v>
      </c>
    </row>
    <row r="8" spans="1:5" x14ac:dyDescent="0.25">
      <c r="A8" s="133" t="s">
        <v>195</v>
      </c>
      <c r="B8" s="133">
        <v>6</v>
      </c>
      <c r="C8" s="133" t="s">
        <v>185</v>
      </c>
    </row>
    <row r="9" spans="1:5" x14ac:dyDescent="0.25">
      <c r="A9" s="133" t="s">
        <v>196</v>
      </c>
      <c r="B9" s="133">
        <v>7</v>
      </c>
      <c r="C9" s="133" t="s">
        <v>185</v>
      </c>
    </row>
    <row r="10" spans="1:5" x14ac:dyDescent="0.25">
      <c r="A10" s="133" t="s">
        <v>197</v>
      </c>
      <c r="B10" s="133">
        <v>8</v>
      </c>
      <c r="C10" s="133" t="s">
        <v>185</v>
      </c>
    </row>
    <row r="11" spans="1:5" x14ac:dyDescent="0.25">
      <c r="A11" s="133" t="s">
        <v>198</v>
      </c>
      <c r="B11" s="133">
        <v>9</v>
      </c>
      <c r="C11" s="133" t="s">
        <v>185</v>
      </c>
    </row>
    <row r="12" spans="1:5" x14ac:dyDescent="0.25">
      <c r="A12" s="133" t="s">
        <v>199</v>
      </c>
      <c r="B12" s="133">
        <v>10</v>
      </c>
      <c r="C12" s="133" t="s">
        <v>185</v>
      </c>
    </row>
    <row r="13" spans="1:5" x14ac:dyDescent="0.25">
      <c r="A13" s="133" t="s">
        <v>200</v>
      </c>
      <c r="B13" s="133">
        <v>11</v>
      </c>
      <c r="C13" s="133" t="s">
        <v>185</v>
      </c>
    </row>
  </sheetData>
  <dataValidations count="1">
    <dataValidation type="list" allowBlank="1" showInputMessage="1" showErrorMessage="1" promptTitle="Sélectionnez l'année scolaire" prompt="Sélectionnez l'année scolaire" sqref="E3">
      <formula1>"2021/2022, 2023/2024, 2024/2025, 2025/2026, 2026/2027,"</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2:G21"/>
  <sheetViews>
    <sheetView workbookViewId="0">
      <selection activeCell="B9" sqref="B9"/>
    </sheetView>
  </sheetViews>
  <sheetFormatPr baseColWidth="10" defaultRowHeight="15" x14ac:dyDescent="0.25"/>
  <cols>
    <col min="1" max="1" width="17.7109375" customWidth="1"/>
    <col min="2" max="2" width="47" customWidth="1"/>
    <col min="3" max="3" width="1.5703125" customWidth="1"/>
    <col min="5" max="5" width="3" customWidth="1"/>
    <col min="6" max="6" width="56.140625" customWidth="1"/>
  </cols>
  <sheetData>
    <row r="2" spans="1:7" ht="15.75" thickBot="1" x14ac:dyDescent="0.3">
      <c r="B2" s="107"/>
    </row>
    <row r="3" spans="1:7" ht="23.25" x14ac:dyDescent="0.25">
      <c r="A3" s="137" t="s">
        <v>168</v>
      </c>
      <c r="B3" s="138"/>
      <c r="D3" s="139" t="s">
        <v>174</v>
      </c>
      <c r="E3" s="140"/>
      <c r="F3" s="140"/>
      <c r="G3" s="141"/>
    </row>
    <row r="4" spans="1:7" x14ac:dyDescent="0.25">
      <c r="A4" s="110"/>
      <c r="B4" s="123"/>
      <c r="D4" s="108"/>
      <c r="E4" s="74"/>
      <c r="F4" s="74"/>
      <c r="G4" s="109"/>
    </row>
    <row r="5" spans="1:7" ht="27" customHeight="1" x14ac:dyDescent="0.25">
      <c r="A5" s="124" t="s">
        <v>169</v>
      </c>
      <c r="B5" s="129"/>
      <c r="D5" s="114">
        <v>1</v>
      </c>
      <c r="E5" s="74"/>
      <c r="F5" s="115" t="s">
        <v>175</v>
      </c>
      <c r="G5" s="109"/>
    </row>
    <row r="6" spans="1:7" ht="15" customHeight="1" x14ac:dyDescent="0.25">
      <c r="A6" s="124"/>
      <c r="B6" s="123"/>
      <c r="D6" s="108"/>
      <c r="E6" s="74"/>
      <c r="F6" s="142" t="s">
        <v>176</v>
      </c>
      <c r="G6" s="109"/>
    </row>
    <row r="7" spans="1:7" ht="15.75" x14ac:dyDescent="0.25">
      <c r="A7" s="124" t="s">
        <v>170</v>
      </c>
      <c r="B7" s="128">
        <v>2022</v>
      </c>
      <c r="D7" s="108"/>
      <c r="E7" s="74"/>
      <c r="F7" s="142"/>
      <c r="G7" s="109"/>
    </row>
    <row r="8" spans="1:7" ht="17.25" x14ac:dyDescent="0.3">
      <c r="A8" s="124" t="s">
        <v>184</v>
      </c>
      <c r="B8" s="125" t="str">
        <f>VLOOKUP(B9,CLASSES!A1:C763,3,FALSE)</f>
        <v>TMAC2</v>
      </c>
      <c r="D8" s="108"/>
      <c r="E8" s="74"/>
      <c r="F8" s="74"/>
      <c r="G8" s="109"/>
    </row>
    <row r="9" spans="1:7" x14ac:dyDescent="0.25">
      <c r="A9" s="124" t="s">
        <v>171</v>
      </c>
      <c r="B9" s="127" t="s">
        <v>192</v>
      </c>
      <c r="D9" s="116">
        <v>2</v>
      </c>
      <c r="E9" s="74"/>
      <c r="F9" s="117" t="s">
        <v>177</v>
      </c>
      <c r="G9" s="109"/>
    </row>
    <row r="10" spans="1:7" ht="15" customHeight="1" x14ac:dyDescent="0.25">
      <c r="A10" s="110"/>
      <c r="B10" s="109"/>
      <c r="D10" s="108"/>
      <c r="E10" s="74"/>
      <c r="F10" s="143" t="s">
        <v>178</v>
      </c>
      <c r="G10" s="109"/>
    </row>
    <row r="11" spans="1:7" x14ac:dyDescent="0.25">
      <c r="A11" s="124" t="s">
        <v>172</v>
      </c>
      <c r="B11" s="219">
        <f>VLOOKUP(B9,CLASSES!A3:B13,2,FALSE)</f>
        <v>3</v>
      </c>
      <c r="D11" s="108"/>
      <c r="E11" s="74"/>
      <c r="F11" s="143"/>
      <c r="G11" s="109"/>
    </row>
    <row r="12" spans="1:7" x14ac:dyDescent="0.25">
      <c r="A12" s="124"/>
      <c r="B12" s="123"/>
      <c r="D12" s="108"/>
      <c r="E12" s="74"/>
      <c r="F12" s="74"/>
      <c r="G12" s="109"/>
    </row>
    <row r="13" spans="1:7" ht="15.75" x14ac:dyDescent="0.25">
      <c r="A13" s="124" t="s">
        <v>173</v>
      </c>
      <c r="B13" s="130" t="s">
        <v>201</v>
      </c>
      <c r="D13" s="118">
        <v>3</v>
      </c>
      <c r="E13" s="74"/>
      <c r="F13" s="119" t="s">
        <v>179</v>
      </c>
      <c r="G13" s="109"/>
    </row>
    <row r="14" spans="1:7" ht="16.5" customHeight="1" thickBot="1" x14ac:dyDescent="0.3">
      <c r="A14" s="111"/>
      <c r="B14" s="126"/>
      <c r="D14" s="108"/>
      <c r="E14" s="74"/>
      <c r="F14" s="136" t="s">
        <v>180</v>
      </c>
      <c r="G14" s="109"/>
    </row>
    <row r="15" spans="1:7" x14ac:dyDescent="0.25">
      <c r="B15" s="107"/>
      <c r="D15" s="110"/>
      <c r="E15" s="74"/>
      <c r="F15" s="136"/>
      <c r="G15" s="109"/>
    </row>
    <row r="16" spans="1:7" x14ac:dyDescent="0.25">
      <c r="B16" s="107"/>
      <c r="D16" s="108"/>
      <c r="E16" s="74"/>
      <c r="F16" s="136"/>
      <c r="G16" s="109"/>
    </row>
    <row r="17" spans="2:7" x14ac:dyDescent="0.25">
      <c r="B17" s="107"/>
      <c r="D17" s="110"/>
      <c r="E17" s="74"/>
      <c r="F17" s="74"/>
      <c r="G17" s="109"/>
    </row>
    <row r="18" spans="2:7" ht="15.75" customHeight="1" x14ac:dyDescent="0.25">
      <c r="B18" s="107"/>
      <c r="D18" s="120">
        <v>4</v>
      </c>
      <c r="E18" s="74"/>
      <c r="F18" s="121" t="s">
        <v>181</v>
      </c>
      <c r="G18" s="109"/>
    </row>
    <row r="19" spans="2:7" x14ac:dyDescent="0.25">
      <c r="B19" s="107"/>
      <c r="D19" s="110"/>
      <c r="E19" s="74"/>
      <c r="F19" s="136" t="s">
        <v>182</v>
      </c>
      <c r="G19" s="109"/>
    </row>
    <row r="20" spans="2:7" x14ac:dyDescent="0.25">
      <c r="B20" s="107"/>
      <c r="D20" s="108"/>
      <c r="E20" s="74"/>
      <c r="F20" s="136"/>
      <c r="G20" s="109"/>
    </row>
    <row r="21" spans="2:7" ht="6" customHeight="1" thickBot="1" x14ac:dyDescent="0.3">
      <c r="B21" s="107"/>
      <c r="D21" s="111"/>
      <c r="E21" s="112"/>
      <c r="F21" s="122"/>
      <c r="G21" s="113"/>
    </row>
  </sheetData>
  <mergeCells count="6">
    <mergeCell ref="F14:F16"/>
    <mergeCell ref="F19:F20"/>
    <mergeCell ref="A3:B3"/>
    <mergeCell ref="D3:G3"/>
    <mergeCell ref="F6:F7"/>
    <mergeCell ref="F10:F11"/>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CLASSES!$A$3:$A$1300</xm:f>
          </x14:formula1>
          <xm:sqref>B9</xm:sqref>
        </x14:dataValidation>
        <x14:dataValidation type="list" allowBlank="1" showInputMessage="1" showErrorMessage="1">
          <x14:formula1>
            <xm:f>'H:\[grilles_du_suivi_chef_d_oeuvre_bac_pro_vf.xlsx]Données'!#REF!</xm:f>
          </x14:formula1>
          <xm:sqref>B7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7030A0"/>
  </sheetPr>
  <dimension ref="A1:G20"/>
  <sheetViews>
    <sheetView showGridLines="0" zoomScale="80" zoomScaleNormal="80" workbookViewId="0">
      <selection activeCell="B3" sqref="B3:D3"/>
    </sheetView>
  </sheetViews>
  <sheetFormatPr baseColWidth="10" defaultRowHeight="15" x14ac:dyDescent="0.25"/>
  <cols>
    <col min="1" max="1" width="61.7109375" customWidth="1"/>
    <col min="2" max="2" width="26.7109375" customWidth="1"/>
    <col min="3" max="3" width="48.7109375" customWidth="1"/>
    <col min="4" max="4" width="16.85546875" customWidth="1"/>
    <col min="5" max="5" width="3.42578125" customWidth="1"/>
    <col min="6" max="6" width="43.42578125" customWidth="1"/>
    <col min="7" max="7" width="11.42578125" hidden="1" customWidth="1"/>
  </cols>
  <sheetData>
    <row r="1" spans="1:7" ht="27" customHeight="1" x14ac:dyDescent="0.25">
      <c r="B1" s="42"/>
      <c r="D1" s="62" t="s">
        <v>125</v>
      </c>
    </row>
    <row r="2" spans="1:7" ht="27" customHeight="1" x14ac:dyDescent="0.25">
      <c r="B2" s="42"/>
      <c r="D2" s="41" t="str">
        <f>VERSION</f>
        <v>Version de mars 2021</v>
      </c>
    </row>
    <row r="3" spans="1:7" ht="24.75" customHeight="1" x14ac:dyDescent="0.35">
      <c r="A3" s="105" t="s">
        <v>75</v>
      </c>
      <c r="B3" s="147" t="s">
        <v>191</v>
      </c>
      <c r="C3" s="147"/>
      <c r="D3" s="147"/>
    </row>
    <row r="4" spans="1:7" ht="24.75" customHeight="1" x14ac:dyDescent="0.35">
      <c r="A4" s="105" t="s">
        <v>76</v>
      </c>
      <c r="B4" s="147">
        <f>VLOOKUP(B3,CLASSES!A3:B13,2,FALSE)</f>
        <v>2</v>
      </c>
      <c r="C4" s="147"/>
      <c r="D4" s="147"/>
    </row>
    <row r="5" spans="1:7" ht="24.75" customHeight="1" x14ac:dyDescent="0.35">
      <c r="A5" s="105" t="s">
        <v>158</v>
      </c>
      <c r="B5" s="147" t="str">
        <f>VLOOKUP(B3,CLASSES!A2:C13,3,FALSE)</f>
        <v>TMAC2</v>
      </c>
      <c r="C5" s="147"/>
      <c r="D5" s="147"/>
    </row>
    <row r="6" spans="1:7" ht="24.75" customHeight="1" x14ac:dyDescent="0.35">
      <c r="A6" s="105" t="s">
        <v>80</v>
      </c>
      <c r="B6" s="147" t="str">
        <f>CLASSES!E1</f>
        <v>Une seconde chance pour la réussite</v>
      </c>
      <c r="C6" s="147"/>
      <c r="D6" s="147"/>
    </row>
    <row r="7" spans="1:7" ht="24.75" customHeight="1" x14ac:dyDescent="0.35">
      <c r="A7" s="44"/>
      <c r="B7" s="44"/>
      <c r="C7" s="44"/>
      <c r="D7" s="44"/>
    </row>
    <row r="8" spans="1:7" ht="39.75" customHeight="1" x14ac:dyDescent="0.25">
      <c r="A8" s="104" t="s">
        <v>160</v>
      </c>
      <c r="B8" s="58" t="s">
        <v>18</v>
      </c>
      <c r="C8" s="58" t="s">
        <v>19</v>
      </c>
      <c r="D8" s="59" t="s">
        <v>74</v>
      </c>
    </row>
    <row r="9" spans="1:7" ht="30" customHeight="1" x14ac:dyDescent="0.25">
      <c r="A9" s="144" t="s">
        <v>46</v>
      </c>
      <c r="B9" s="145"/>
      <c r="C9" s="145"/>
      <c r="D9" s="146"/>
    </row>
    <row r="10" spans="1:7" ht="42" customHeight="1" x14ac:dyDescent="0.25">
      <c r="A10" s="8" t="s">
        <v>10</v>
      </c>
      <c r="B10" s="92" t="s">
        <v>5</v>
      </c>
      <c r="C10" s="2" t="str">
        <f>HLOOKUP(B10,PLAGE_DESCRIPTEURS,ROW()-7,0)</f>
        <v>Non évalué</v>
      </c>
      <c r="D10" s="38">
        <f ca="1">OFFSET(POINTS_OBTENUS_ANNEE_1,G10,-2)</f>
        <v>0</v>
      </c>
      <c r="G10">
        <v>1</v>
      </c>
    </row>
    <row r="11" spans="1:7" ht="42" customHeight="1" x14ac:dyDescent="0.25">
      <c r="A11" s="8" t="s">
        <v>42</v>
      </c>
      <c r="B11" s="92" t="s">
        <v>5</v>
      </c>
      <c r="C11" s="2" t="str">
        <f>HLOOKUP(B11,PLAGE_DESCRIPTEURS,ROW()-7,0)</f>
        <v>Non évalué</v>
      </c>
      <c r="D11" s="38">
        <f ca="1">OFFSET(POINTS_OBTENUS_ANNEE_1,G11,-2)</f>
        <v>0</v>
      </c>
      <c r="G11">
        <v>2</v>
      </c>
    </row>
    <row r="12" spans="1:7" ht="30" customHeight="1" x14ac:dyDescent="0.25">
      <c r="A12" s="144" t="s">
        <v>47</v>
      </c>
      <c r="B12" s="145"/>
      <c r="C12" s="145"/>
      <c r="D12" s="146"/>
    </row>
    <row r="13" spans="1:7" ht="42" customHeight="1" x14ac:dyDescent="0.25">
      <c r="A13" s="9" t="s">
        <v>0</v>
      </c>
      <c r="B13" s="93" t="s">
        <v>5</v>
      </c>
      <c r="C13" s="1" t="str">
        <f>HLOOKUP(B13,PLAGE_DESCRIPTEURS,ROW()-7,0)</f>
        <v>Non évalué</v>
      </c>
      <c r="D13" s="39">
        <f ca="1">OFFSET(POINTS_OBTENUS_ANNEE_1,G13,-2)</f>
        <v>0</v>
      </c>
      <c r="G13">
        <v>3</v>
      </c>
    </row>
    <row r="14" spans="1:7" ht="42" customHeight="1" x14ac:dyDescent="0.25">
      <c r="A14" s="9" t="s">
        <v>1</v>
      </c>
      <c r="B14" s="93" t="s">
        <v>5</v>
      </c>
      <c r="C14" s="1" t="str">
        <f>HLOOKUP(B14,PLAGE_DESCRIPTEURS,ROW()-7,0)</f>
        <v>Non évalué</v>
      </c>
      <c r="D14" s="39">
        <f ca="1">OFFSET(POINTS_OBTENUS_ANNEE_1,G14,-2)</f>
        <v>0</v>
      </c>
      <c r="F14" s="19"/>
      <c r="G14">
        <v>4</v>
      </c>
    </row>
    <row r="15" spans="1:7" ht="42" customHeight="1" x14ac:dyDescent="0.25">
      <c r="A15" s="9" t="s">
        <v>2</v>
      </c>
      <c r="B15" s="93" t="s">
        <v>5</v>
      </c>
      <c r="C15" s="1" t="str">
        <f>HLOOKUP(B15,PLAGE_DESCRIPTEURS,ROW()-7,0)</f>
        <v>Non évalué</v>
      </c>
      <c r="D15" s="39">
        <f ca="1">OFFSET(POINTS_OBTENUS_ANNEE_1,G15,-2)</f>
        <v>0</v>
      </c>
      <c r="G15">
        <v>5</v>
      </c>
    </row>
    <row r="16" spans="1:7" ht="42" customHeight="1" x14ac:dyDescent="0.25">
      <c r="A16" s="9" t="s">
        <v>11</v>
      </c>
      <c r="B16" s="93" t="s">
        <v>5</v>
      </c>
      <c r="C16" s="1" t="str">
        <f>HLOOKUP(B16,PLAGE_DESCRIPTEURS,ROW()-7,0)</f>
        <v>Non évalué</v>
      </c>
      <c r="D16" s="39">
        <f ca="1">OFFSET(POINTS_OBTENUS_ANNEE_1,G16,-2)</f>
        <v>0</v>
      </c>
      <c r="G16">
        <v>6</v>
      </c>
    </row>
    <row r="17" spans="1:7" ht="30" customHeight="1" x14ac:dyDescent="0.25">
      <c r="A17" s="144" t="s">
        <v>48</v>
      </c>
      <c r="B17" s="145"/>
      <c r="C17" s="145"/>
      <c r="D17" s="146"/>
    </row>
    <row r="18" spans="1:7" ht="42" customHeight="1" x14ac:dyDescent="0.25">
      <c r="A18" s="10" t="s">
        <v>12</v>
      </c>
      <c r="B18" s="94" t="s">
        <v>5</v>
      </c>
      <c r="C18" s="3" t="str">
        <f>HLOOKUP(B18,PLAGE_DESCRIPTEURS,ROW()-7,0)</f>
        <v>Non évalué</v>
      </c>
      <c r="D18" s="40">
        <f ca="1">OFFSET(POINTS_OBTENUS_ANNEE_1,G18,-2)</f>
        <v>0</v>
      </c>
      <c r="G18">
        <v>7</v>
      </c>
    </row>
    <row r="19" spans="1:7" ht="42" customHeight="1" x14ac:dyDescent="0.25">
      <c r="A19" s="10" t="s">
        <v>3</v>
      </c>
      <c r="B19" s="94" t="s">
        <v>5</v>
      </c>
      <c r="C19" s="3" t="str">
        <f>HLOOKUP(B19,PLAGE_DESCRIPTEURS,ROW()-7,0)</f>
        <v>Non évalué</v>
      </c>
      <c r="D19" s="40">
        <f ca="1">OFFSET(POINTS_OBTENUS_ANNEE_1,G19,-2)</f>
        <v>0</v>
      </c>
      <c r="G19">
        <v>8</v>
      </c>
    </row>
    <row r="20" spans="1:7" ht="42" customHeight="1" x14ac:dyDescent="0.25">
      <c r="A20" s="10" t="s">
        <v>4</v>
      </c>
      <c r="B20" s="94" t="s">
        <v>5</v>
      </c>
      <c r="C20" s="3" t="str">
        <f>HLOOKUP(B20,PLAGE_DESCRIPTEURS,ROW()-7,0)</f>
        <v>Non évalué</v>
      </c>
      <c r="D20" s="40">
        <f ca="1">OFFSET(POINTS_OBTENUS_ANNEE_1,G20,-2)</f>
        <v>0</v>
      </c>
      <c r="G20">
        <v>9</v>
      </c>
    </row>
  </sheetData>
  <mergeCells count="7">
    <mergeCell ref="A12:D12"/>
    <mergeCell ref="A17:D17"/>
    <mergeCell ref="B3:D3"/>
    <mergeCell ref="B4:D4"/>
    <mergeCell ref="B5:D5"/>
    <mergeCell ref="B6:D6"/>
    <mergeCell ref="A9:D9"/>
  </mergeCells>
  <conditionalFormatting sqref="D10:D11 D13:D16 D18:D20">
    <cfRule type="dataBar" priority="1">
      <dataBar>
        <cfvo type="num" val="0"/>
        <cfvo type="num" val="1"/>
        <color theme="0" tint="-4.9989318521683403E-2"/>
      </dataBar>
      <extLst>
        <ext xmlns:x14="http://schemas.microsoft.com/office/spreadsheetml/2009/9/main" uri="{B025F937-C7B1-47D3-B67F-A62EFF666E3E}">
          <x14:id>{27411A03-6E3C-4EEB-920B-AB6BE1B83C68}</x14:id>
        </ext>
      </extLst>
    </cfRule>
  </conditionalFormatting>
  <dataValidations count="1">
    <dataValidation allowBlank="1" showInputMessage="1" showErrorMessage="1" promptTitle="Ne rien écrire dans cette case." prompt="Elle se remplit automatiquement lorsque vous positionnez l'élève sur un niveau de maîtrise._x000a__x000a_Vous pouvez personnaliser les descripteurs et le système de conversion dans les deux autres onglets." sqref="C10:D11 C13:D16 C18:D20"/>
  </dataValidations>
  <pageMargins left="0.7" right="0.7" top="0.75" bottom="0.75" header="0.3" footer="0.3"/>
  <pageSetup paperSize="9" orientation="portrait" horizontalDpi="0" verticalDpi="0" r:id="rId1"/>
  <drawing r:id="rId2"/>
  <extLst>
    <ext xmlns:x14="http://schemas.microsoft.com/office/spreadsheetml/2009/9/main" uri="{78C0D931-6437-407d-A8EE-F0AAD7539E65}">
      <x14:conditionalFormattings>
        <x14:conditionalFormatting xmlns:xm="http://schemas.microsoft.com/office/excel/2006/main">
          <x14:cfRule type="dataBar" id="{27411A03-6E3C-4EEB-920B-AB6BE1B83C68}">
            <x14:dataBar minLength="0" maxLength="100" border="1" direction="leftToRight">
              <x14:cfvo type="num">
                <xm:f>0</xm:f>
              </x14:cfvo>
              <x14:cfvo type="num">
                <xm:f>1</xm:f>
              </x14:cfvo>
              <x14:borderColor theme="0" tint="-0.249977111117893"/>
              <x14:negativeFillColor rgb="FFFF0000"/>
              <x14:axisColor rgb="FF000000"/>
            </x14:dataBar>
          </x14:cfRule>
          <xm:sqref>D10:D11 D13:D16 D18:D20</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errorTitle="Ne rien saisir" error="Cliquer dans le menu et choisir l'un des 4 niveaux de maîtrise.">
          <x14:formula1>
            <xm:f>'Onglet technique radar'!$A$2:$A$7</xm:f>
          </x14:formula1>
          <xm:sqref>B18:B20 B13:B16 B10:B11</xm:sqref>
        </x14:dataValidation>
        <x14:dataValidation type="list" allowBlank="1" showInputMessage="1" showErrorMessage="1">
          <x14:formula1>
            <xm:f>CLASSES!$A$3:$A$13</xm:f>
          </x14:formula1>
          <xm:sqref>B3:D3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G20"/>
  <sheetViews>
    <sheetView showGridLines="0" zoomScale="80" zoomScaleNormal="80" workbookViewId="0">
      <selection activeCell="B3" sqref="B3:D3"/>
    </sheetView>
  </sheetViews>
  <sheetFormatPr baseColWidth="10" defaultRowHeight="15" x14ac:dyDescent="0.25"/>
  <cols>
    <col min="1" max="1" width="61.7109375" customWidth="1"/>
    <col min="2" max="2" width="26.7109375" customWidth="1"/>
    <col min="3" max="3" width="48.7109375" customWidth="1"/>
    <col min="4" max="4" width="16.85546875" customWidth="1"/>
    <col min="5" max="5" width="3.42578125" customWidth="1"/>
    <col min="6" max="6" width="43.42578125" customWidth="1"/>
    <col min="7" max="7" width="11.42578125" hidden="1" customWidth="1"/>
  </cols>
  <sheetData>
    <row r="1" spans="1:7" ht="27" customHeight="1" x14ac:dyDescent="0.25">
      <c r="B1" s="42"/>
      <c r="D1" s="62" t="s">
        <v>125</v>
      </c>
    </row>
    <row r="2" spans="1:7" ht="27" customHeight="1" x14ac:dyDescent="0.25">
      <c r="B2" s="42"/>
      <c r="D2" s="41" t="str">
        <f>VERSION</f>
        <v>Version de mars 2021</v>
      </c>
    </row>
    <row r="3" spans="1:7" ht="24.75" customHeight="1" x14ac:dyDescent="0.35">
      <c r="A3" s="105" t="s">
        <v>75</v>
      </c>
      <c r="B3" s="148" t="str">
        <f>IF(ISBLANK('1ère année'!B3),"",'1ère année'!B3)</f>
        <v>Elèves B</v>
      </c>
      <c r="C3" s="148"/>
      <c r="D3" s="148"/>
    </row>
    <row r="4" spans="1:7" ht="24.75" customHeight="1" x14ac:dyDescent="0.35">
      <c r="A4" s="105" t="s">
        <v>76</v>
      </c>
      <c r="B4" s="148">
        <f>IF(ISBLANK('1ère année'!B4),"",'1ère année'!B4)</f>
        <v>2</v>
      </c>
      <c r="C4" s="148"/>
      <c r="D4" s="148"/>
    </row>
    <row r="5" spans="1:7" ht="24.75" customHeight="1" x14ac:dyDescent="0.35">
      <c r="A5" s="105" t="s">
        <v>158</v>
      </c>
      <c r="B5" s="148" t="str">
        <f>IF(ISBLANK('1ère année'!B5),"",'1ère année'!B5)</f>
        <v>TMAC2</v>
      </c>
      <c r="C5" s="148"/>
      <c r="D5" s="148"/>
    </row>
    <row r="6" spans="1:7" ht="24.75" customHeight="1" x14ac:dyDescent="0.35">
      <c r="A6" s="105" t="s">
        <v>80</v>
      </c>
      <c r="B6" s="148" t="str">
        <f>IF(ISBLANK('1ère année'!B6),"",'1ère année'!B6)</f>
        <v>Une seconde chance pour la réussite</v>
      </c>
      <c r="C6" s="148"/>
      <c r="D6" s="148"/>
    </row>
    <row r="7" spans="1:7" ht="24.75" customHeight="1" x14ac:dyDescent="0.35">
      <c r="A7" s="44"/>
      <c r="B7" s="44"/>
      <c r="C7" s="44"/>
      <c r="D7" s="44"/>
    </row>
    <row r="8" spans="1:7" ht="39.75" customHeight="1" x14ac:dyDescent="0.25">
      <c r="A8" s="43" t="s">
        <v>161</v>
      </c>
      <c r="B8" s="60" t="s">
        <v>18</v>
      </c>
      <c r="C8" s="60" t="s">
        <v>19</v>
      </c>
      <c r="D8" s="61" t="s">
        <v>74</v>
      </c>
    </row>
    <row r="9" spans="1:7" ht="30" customHeight="1" x14ac:dyDescent="0.25">
      <c r="A9" s="144" t="s">
        <v>46</v>
      </c>
      <c r="B9" s="145"/>
      <c r="C9" s="145"/>
      <c r="D9" s="146"/>
    </row>
    <row r="10" spans="1:7" ht="42" customHeight="1" x14ac:dyDescent="0.25">
      <c r="A10" s="8" t="s">
        <v>10</v>
      </c>
      <c r="B10" s="92" t="s">
        <v>8</v>
      </c>
      <c r="C10" s="2" t="str">
        <f>HLOOKUP(B10,PLAGE_DESCRIPTEURS,ROW()-7,0)</f>
        <v>Choisit les savoirs, savoir-faire et savoir-être à mettre en oeuvre pour mener à bien son projet.</v>
      </c>
      <c r="D10" s="38" cm="1">
        <f t="array" aca="1" ref="D10" ca="1">OFFSET(POINTS_OBTENUS_ANNEE_2,G10,-2)</f>
        <v>0.75</v>
      </c>
      <c r="G10">
        <v>1</v>
      </c>
    </row>
    <row r="11" spans="1:7" ht="42" customHeight="1" x14ac:dyDescent="0.25">
      <c r="A11" s="8" t="s">
        <v>42</v>
      </c>
      <c r="B11" s="92" t="s">
        <v>9</v>
      </c>
      <c r="C11" s="2" t="str">
        <f>HLOOKUP(B11,PLAGE_DESCRIPTEURS,ROW()-7,0)</f>
        <v>Conduit l'échange avec les partenaires.
Adapte les ressources en fonction des besoins.</v>
      </c>
      <c r="D11" s="38" cm="1">
        <f t="array" aca="1" ref="D11" ca="1">OFFSET(POINTS_OBTENUS_ANNEE_2,G11,-2)</f>
        <v>1</v>
      </c>
      <c r="G11">
        <v>2</v>
      </c>
    </row>
    <row r="12" spans="1:7" ht="30" customHeight="1" x14ac:dyDescent="0.25">
      <c r="A12" s="144" t="s">
        <v>47</v>
      </c>
      <c r="B12" s="145"/>
      <c r="C12" s="145"/>
      <c r="D12" s="146"/>
    </row>
    <row r="13" spans="1:7" ht="42" customHeight="1" x14ac:dyDescent="0.25">
      <c r="A13" s="9" t="s">
        <v>0</v>
      </c>
      <c r="B13" s="93" t="s">
        <v>8</v>
      </c>
      <c r="C13" s="1" t="str">
        <f>HLOOKUP(B13,PLAGE_DESCRIPTEURS,ROW()-7,0)</f>
        <v>Prévoit et organise son activité et/ou celle de son équipe.</v>
      </c>
      <c r="D13" s="39" cm="1">
        <f t="array" aca="1" ref="D13" ca="1">OFFSET(POINTS_OBTENUS_ANNEE_2,G13,-2)</f>
        <v>0.75</v>
      </c>
      <c r="G13">
        <v>3</v>
      </c>
    </row>
    <row r="14" spans="1:7" ht="42" customHeight="1" x14ac:dyDescent="0.25">
      <c r="A14" s="9" t="s">
        <v>1</v>
      </c>
      <c r="B14" s="93" t="s">
        <v>9</v>
      </c>
      <c r="C14" s="1" t="str">
        <f>HLOOKUP(B14,PLAGE_DESCRIPTEURS,ROW()-7,0)</f>
        <v>Produit des documents élaborés, décrit clairement la démarche.</v>
      </c>
      <c r="D14" s="39" cm="1">
        <f t="array" aca="1" ref="D14" ca="1">OFFSET(POINTS_OBTENUS_ANNEE_2,G14,-2)</f>
        <v>1</v>
      </c>
      <c r="F14" s="19"/>
      <c r="G14">
        <v>4</v>
      </c>
    </row>
    <row r="15" spans="1:7" ht="42" customHeight="1" x14ac:dyDescent="0.25">
      <c r="A15" s="9" t="s">
        <v>2</v>
      </c>
      <c r="B15" s="93" t="s">
        <v>9</v>
      </c>
      <c r="C15" s="1" t="str">
        <f>HLOOKUP(B15,PLAGE_DESCRIPTEURS,ROW()-7,0)</f>
        <v>Assure l'adaptation à différents usages, y compris implicites, anime et développe le travail collectif, peut varier sa place et son rôle.</v>
      </c>
      <c r="D15" s="39" cm="1">
        <f t="array" aca="1" ref="D15" ca="1">OFFSET(POINTS_OBTENUS_ANNEE_2,G15,-2)</f>
        <v>1</v>
      </c>
      <c r="G15">
        <v>5</v>
      </c>
    </row>
    <row r="16" spans="1:7" ht="42" customHeight="1" x14ac:dyDescent="0.25">
      <c r="A16" s="9" t="s">
        <v>11</v>
      </c>
      <c r="B16" s="93" t="s">
        <v>9</v>
      </c>
      <c r="C16" s="1" t="str">
        <f>HLOOKUP(B16,PLAGE_DESCRIPTEURS,ROW()-7,0)</f>
        <v>Planifie la ou les étapes de la mise en oeuvre de son initiative.</v>
      </c>
      <c r="D16" s="39" cm="1">
        <f t="array" aca="1" ref="D16" ca="1">OFFSET(POINTS_OBTENUS_ANNEE_2,G16,-2)</f>
        <v>1</v>
      </c>
      <c r="G16">
        <v>6</v>
      </c>
    </row>
    <row r="17" spans="1:7" ht="30" customHeight="1" x14ac:dyDescent="0.25">
      <c r="A17" s="144" t="s">
        <v>48</v>
      </c>
      <c r="B17" s="145"/>
      <c r="C17" s="145"/>
      <c r="D17" s="146"/>
    </row>
    <row r="18" spans="1:7" ht="42" customHeight="1" x14ac:dyDescent="0.25">
      <c r="A18" s="10" t="s">
        <v>12</v>
      </c>
      <c r="B18" s="94" t="s">
        <v>9</v>
      </c>
      <c r="C18" s="3" t="str">
        <f>HLOOKUP(B18,PLAGE_DESCRIPTEURS,ROW()-7,0)</f>
        <v>Résout des problèmes courants dans son activité et/ou celle de son équipe. Prise de décision en autonomie</v>
      </c>
      <c r="D18" s="40" cm="1">
        <f t="array" aca="1" ref="D18" ca="1">OFFSET(POINTS_OBTENUS_ANNEE_2,G18,-2)</f>
        <v>1</v>
      </c>
      <c r="G18">
        <v>7</v>
      </c>
    </row>
    <row r="19" spans="1:7" ht="42" customHeight="1" x14ac:dyDescent="0.25">
      <c r="A19" s="10" t="s">
        <v>3</v>
      </c>
      <c r="B19" s="94" t="s">
        <v>9</v>
      </c>
      <c r="C19" s="3" t="str">
        <f>HLOOKUP(B19,PLAGE_DESCRIPTEURS,ROW()-7,0)</f>
        <v>Adapte sa manière de communiquer aux enjeux des interactions.</v>
      </c>
      <c r="D19" s="40" cm="1">
        <f t="array" aca="1" ref="D19" ca="1">OFFSET(POINTS_OBTENUS_ANNEE_2,G19,-2)</f>
        <v>1</v>
      </c>
      <c r="G19">
        <v>8</v>
      </c>
    </row>
    <row r="20" spans="1:7" ht="42" customHeight="1" x14ac:dyDescent="0.25">
      <c r="A20" s="10" t="s">
        <v>4</v>
      </c>
      <c r="B20" s="94" t="s">
        <v>9</v>
      </c>
      <c r="C20" s="3" t="str">
        <f>HLOOKUP(B20,PLAGE_DESCRIPTEURS,ROW()-7,0)</f>
        <v>Mobilise de nouvelles manières d'apprendre et de travailler.</v>
      </c>
      <c r="D20" s="40" cm="1">
        <f t="array" aca="1" ref="D20" ca="1">OFFSET(POINTS_OBTENUS_ANNEE_2,G20,-2)</f>
        <v>1</v>
      </c>
      <c r="G20">
        <v>9</v>
      </c>
    </row>
  </sheetData>
  <mergeCells count="7">
    <mergeCell ref="B3:D3"/>
    <mergeCell ref="B4:D4"/>
    <mergeCell ref="B5:D5"/>
    <mergeCell ref="B6:D6"/>
    <mergeCell ref="A17:D17"/>
    <mergeCell ref="A12:D12"/>
    <mergeCell ref="A9:D9"/>
  </mergeCells>
  <conditionalFormatting sqref="D10:D11 D18:D20 D13:D16">
    <cfRule type="dataBar" priority="1">
      <dataBar>
        <cfvo type="num" val="0"/>
        <cfvo type="num" val="1"/>
        <color theme="0" tint="-4.9989318521683403E-2"/>
      </dataBar>
      <extLst>
        <ext xmlns:x14="http://schemas.microsoft.com/office/spreadsheetml/2009/9/main" uri="{B025F937-C7B1-47D3-B67F-A62EFF666E3E}">
          <x14:id>{2AFFEF7A-2835-4460-861B-5CD092EEC563}</x14:id>
        </ext>
      </extLst>
    </cfRule>
  </conditionalFormatting>
  <dataValidations count="1">
    <dataValidation allowBlank="1" showInputMessage="1" showErrorMessage="1" promptTitle="Ne rien écrire dans cette case." prompt="Elle se remplit automatiquement lorsque vous positionnez l'élève sur un niveau de maîtrise._x000a__x000a_Vous pouvez personnaliser les descripteurs et le système de conversion dans les deux autres onglets." sqref="C18:D20 C13:D16 C10:D11"/>
  </dataValidations>
  <pageMargins left="0.7" right="0.7" top="0.75" bottom="0.75" header="0.3" footer="0.3"/>
  <pageSetup paperSize="9" orientation="portrait" horizontalDpi="0" verticalDpi="0" r:id="rId1"/>
  <drawing r:id="rId2"/>
  <extLst>
    <ext xmlns:x14="http://schemas.microsoft.com/office/spreadsheetml/2009/9/main" uri="{78C0D931-6437-407d-A8EE-F0AAD7539E65}">
      <x14:conditionalFormattings>
        <x14:conditionalFormatting xmlns:xm="http://schemas.microsoft.com/office/excel/2006/main">
          <x14:cfRule type="dataBar" id="{2AFFEF7A-2835-4460-861B-5CD092EEC563}">
            <x14:dataBar minLength="0" maxLength="100" border="1" direction="leftToRight">
              <x14:cfvo type="num">
                <xm:f>0</xm:f>
              </x14:cfvo>
              <x14:cfvo type="num">
                <xm:f>1</xm:f>
              </x14:cfvo>
              <x14:borderColor theme="0" tint="-0.249977111117893"/>
              <x14:negativeFillColor rgb="FFFF0000"/>
              <x14:axisColor rgb="FF000000"/>
            </x14:dataBar>
          </x14:cfRule>
          <xm:sqref>D10:D11 D18:D20 D13:D16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errorTitle="Ne rien saisir" error="Cliquer dans le menu et choisir l'un des 4 niveaux de maîtrise.">
          <x14:formula1>
            <xm:f>'Onglet technique radar'!$A$2:$A$7</xm:f>
          </x14:formula1>
          <xm:sqref>B18:B20 B13:B16 B10:B11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53"/>
  <sheetViews>
    <sheetView showGridLines="0" zoomScaleNormal="100" workbookViewId="0">
      <selection activeCell="F5" sqref="F5:H5"/>
    </sheetView>
  </sheetViews>
  <sheetFormatPr baseColWidth="10" defaultRowHeight="15" x14ac:dyDescent="0.25"/>
  <cols>
    <col min="1" max="1" width="5.140625" customWidth="1"/>
    <col min="2" max="2" width="11.42578125" customWidth="1"/>
    <col min="4" max="4" width="11.42578125" customWidth="1"/>
    <col min="6" max="6" width="65.7109375" customWidth="1"/>
    <col min="7" max="10" width="5.7109375" customWidth="1"/>
    <col min="11" max="11" width="12.85546875" customWidth="1"/>
  </cols>
  <sheetData>
    <row r="2" spans="3:10" ht="23.25" x14ac:dyDescent="0.25">
      <c r="H2" s="62" t="s">
        <v>125</v>
      </c>
    </row>
    <row r="3" spans="3:10" x14ac:dyDescent="0.25">
      <c r="H3" s="57" t="s">
        <v>97</v>
      </c>
    </row>
    <row r="4" spans="3:10" x14ac:dyDescent="0.25">
      <c r="H4" s="41" t="str">
        <f>VERSION</f>
        <v>Version de mars 2021</v>
      </c>
    </row>
    <row r="5" spans="3:10" ht="21" x14ac:dyDescent="0.35">
      <c r="E5" s="105" t="s">
        <v>75</v>
      </c>
      <c r="F5" s="168" t="str">
        <f>IF(ISBLANK('1ère année'!B3),"",'1ère année'!B3)</f>
        <v>Elèves B</v>
      </c>
      <c r="G5" s="169"/>
      <c r="H5" s="170"/>
    </row>
    <row r="6" spans="3:10" ht="21" x14ac:dyDescent="0.35">
      <c r="E6" s="105" t="s">
        <v>76</v>
      </c>
      <c r="F6" s="168">
        <f>IF(ISBLANK('1ère année'!B4),"",'1ère année'!B4)</f>
        <v>2</v>
      </c>
      <c r="G6" s="169"/>
      <c r="H6" s="170"/>
    </row>
    <row r="7" spans="3:10" ht="21" x14ac:dyDescent="0.35">
      <c r="E7" s="105" t="s">
        <v>158</v>
      </c>
      <c r="F7" s="168" t="str">
        <f>IF(ISBLANK('1ère année'!B5),"",'1ère année'!B5)</f>
        <v>TMAC2</v>
      </c>
      <c r="G7" s="169"/>
      <c r="H7" s="170"/>
    </row>
    <row r="8" spans="3:10" ht="21" x14ac:dyDescent="0.35">
      <c r="E8" s="105" t="s">
        <v>80</v>
      </c>
      <c r="F8" s="168" t="str">
        <f>IF(ISBLANK('1ère année'!B6),"",'1ère année'!B6)</f>
        <v>Une seconde chance pour la réussite</v>
      </c>
      <c r="G8" s="169"/>
      <c r="H8" s="170"/>
    </row>
    <row r="10" spans="3:10" ht="15" customHeight="1" x14ac:dyDescent="0.25">
      <c r="C10" s="171" t="s">
        <v>81</v>
      </c>
      <c r="D10" s="171"/>
      <c r="E10" s="171"/>
      <c r="F10" s="171"/>
      <c r="G10" s="171"/>
      <c r="H10" s="171"/>
      <c r="I10" s="171"/>
      <c r="J10" s="171"/>
    </row>
    <row r="11" spans="3:10" ht="15" customHeight="1" x14ac:dyDescent="0.25">
      <c r="C11" s="171"/>
      <c r="D11" s="171"/>
      <c r="E11" s="171"/>
      <c r="F11" s="171"/>
      <c r="G11" s="171"/>
      <c r="H11" s="171"/>
      <c r="I11" s="171"/>
      <c r="J11" s="171"/>
    </row>
    <row r="12" spans="3:10" ht="18.75" x14ac:dyDescent="0.3">
      <c r="C12" s="173" t="s">
        <v>163</v>
      </c>
      <c r="D12" s="173"/>
      <c r="E12" s="173"/>
      <c r="F12" s="173"/>
      <c r="G12" s="173"/>
      <c r="H12" s="173"/>
      <c r="I12" s="173"/>
      <c r="J12" s="173"/>
    </row>
    <row r="13" spans="3:10" ht="18.75" x14ac:dyDescent="0.3">
      <c r="C13" s="173"/>
      <c r="D13" s="173"/>
      <c r="E13" s="173"/>
      <c r="F13" s="173"/>
      <c r="G13" s="173"/>
      <c r="H13" s="173"/>
      <c r="I13" s="173"/>
      <c r="J13" s="173"/>
    </row>
    <row r="14" spans="3:10" x14ac:dyDescent="0.25">
      <c r="C14" s="172" t="s">
        <v>164</v>
      </c>
      <c r="D14" s="172"/>
      <c r="E14" s="172"/>
      <c r="F14" s="172"/>
      <c r="G14" s="172"/>
      <c r="H14" s="172"/>
      <c r="I14" s="172"/>
      <c r="J14" s="172"/>
    </row>
    <row r="15" spans="3:10" ht="143.25" customHeight="1" x14ac:dyDescent="0.25">
      <c r="C15" s="180" t="s">
        <v>167</v>
      </c>
      <c r="D15" s="181"/>
      <c r="E15" s="181"/>
      <c r="F15" s="181"/>
      <c r="G15" s="181"/>
      <c r="H15" s="181"/>
      <c r="I15" s="181"/>
      <c r="J15" s="181"/>
    </row>
    <row r="16" spans="3:10" ht="15.75" thickBot="1" x14ac:dyDescent="0.3">
      <c r="C16" s="55"/>
      <c r="D16" s="56"/>
      <c r="E16" s="56"/>
      <c r="F16" s="56"/>
      <c r="G16" s="56"/>
      <c r="H16" s="56"/>
      <c r="I16" s="56"/>
      <c r="J16" s="56"/>
    </row>
    <row r="17" spans="2:11" ht="60.75" thickBot="1" x14ac:dyDescent="0.3">
      <c r="C17" s="69" t="s">
        <v>91</v>
      </c>
      <c r="D17" s="67"/>
      <c r="E17" s="67"/>
      <c r="F17" s="68" t="s">
        <v>90</v>
      </c>
      <c r="G17" s="65">
        <v>1</v>
      </c>
      <c r="H17" s="65">
        <v>2</v>
      </c>
      <c r="I17" s="65">
        <v>3</v>
      </c>
      <c r="J17" s="65">
        <v>4</v>
      </c>
    </row>
    <row r="18" spans="2:11" ht="9.75" customHeight="1" x14ac:dyDescent="0.25">
      <c r="C18" s="66"/>
      <c r="F18" s="27"/>
      <c r="G18" s="65"/>
      <c r="H18" s="65"/>
      <c r="I18" s="64"/>
      <c r="J18" s="65"/>
    </row>
    <row r="19" spans="2:11" ht="18.75" customHeight="1" x14ac:dyDescent="0.25">
      <c r="B19" s="149" t="s">
        <v>139</v>
      </c>
      <c r="C19" s="150" t="s">
        <v>127</v>
      </c>
      <c r="D19" s="151"/>
      <c r="E19" s="151"/>
      <c r="F19" s="151"/>
      <c r="G19" s="151"/>
      <c r="H19" s="151"/>
      <c r="I19" s="151"/>
      <c r="J19" s="152"/>
    </row>
    <row r="20" spans="2:11" ht="20.100000000000001" customHeight="1" x14ac:dyDescent="0.25">
      <c r="B20" s="149"/>
      <c r="C20" s="192" t="s">
        <v>93</v>
      </c>
      <c r="D20" s="193"/>
      <c r="E20" s="193"/>
      <c r="F20" s="194"/>
      <c r="G20" s="89"/>
      <c r="H20" s="89"/>
      <c r="I20" s="89" t="s">
        <v>107</v>
      </c>
      <c r="J20" s="89"/>
      <c r="K20" t="str">
        <f>IF(COUNTA(G20:J20)&lt;&gt;1,"Saisie incorrecte","")</f>
        <v/>
      </c>
    </row>
    <row r="21" spans="2:11" ht="20.100000000000001" customHeight="1" x14ac:dyDescent="0.25">
      <c r="B21" s="149"/>
      <c r="C21" s="195" t="s">
        <v>128</v>
      </c>
      <c r="D21" s="196"/>
      <c r="E21" s="196"/>
      <c r="F21" s="197"/>
      <c r="G21" s="89"/>
      <c r="H21" s="89"/>
      <c r="I21" s="89" t="s">
        <v>107</v>
      </c>
      <c r="J21" s="89"/>
      <c r="K21" t="str">
        <f>IF(COUNTA(G21:J21)&lt;&gt;1,"Saisie incorrecte","")</f>
        <v/>
      </c>
    </row>
    <row r="22" spans="2:11" ht="20.100000000000001" customHeight="1" x14ac:dyDescent="0.25">
      <c r="B22" s="149"/>
      <c r="C22" s="177" t="s">
        <v>129</v>
      </c>
      <c r="D22" s="178"/>
      <c r="E22" s="178"/>
      <c r="F22" s="179"/>
      <c r="G22" s="89"/>
      <c r="H22" s="89"/>
      <c r="I22" s="89" t="s">
        <v>107</v>
      </c>
      <c r="J22" s="89"/>
      <c r="K22" t="str">
        <f>IF(COUNTA(G22:J22)&lt;&gt;1,"Saisie incorrecte","")</f>
        <v/>
      </c>
    </row>
    <row r="23" spans="2:11" ht="20.100000000000001" customHeight="1" x14ac:dyDescent="0.25">
      <c r="B23" s="149"/>
      <c r="C23" s="177" t="s">
        <v>130</v>
      </c>
      <c r="D23" s="178"/>
      <c r="E23" s="178"/>
      <c r="F23" s="179"/>
      <c r="G23" s="89"/>
      <c r="H23" s="89"/>
      <c r="I23" s="89" t="s">
        <v>107</v>
      </c>
      <c r="J23" s="89"/>
      <c r="K23" t="str">
        <f>IF(COUNTA(G23:J23)&lt;&gt;1,"Saisie incorrecte","")</f>
        <v/>
      </c>
    </row>
    <row r="24" spans="2:11" ht="20.100000000000001" customHeight="1" x14ac:dyDescent="0.25">
      <c r="B24" s="149"/>
      <c r="C24" s="150" t="s">
        <v>131</v>
      </c>
      <c r="D24" s="151"/>
      <c r="E24" s="151"/>
      <c r="F24" s="151"/>
      <c r="G24" s="151"/>
      <c r="H24" s="151"/>
      <c r="I24" s="151"/>
      <c r="J24" s="152"/>
    </row>
    <row r="25" spans="2:11" ht="20.100000000000001" customHeight="1" x14ac:dyDescent="0.25">
      <c r="B25" s="149"/>
      <c r="C25" s="174" t="s">
        <v>94</v>
      </c>
      <c r="D25" s="175"/>
      <c r="E25" s="175"/>
      <c r="F25" s="175"/>
      <c r="G25" s="89"/>
      <c r="H25" s="89"/>
      <c r="I25" s="89"/>
      <c r="J25" s="89" t="s">
        <v>107</v>
      </c>
      <c r="K25" t="str">
        <f t="shared" ref="K25:K39" si="0">IF(COUNTA(G25:J25)&lt;&gt;1,"Saisie incorrecte","")</f>
        <v/>
      </c>
    </row>
    <row r="26" spans="2:11" s="71" customFormat="1" ht="20.100000000000001" customHeight="1" x14ac:dyDescent="0.25">
      <c r="B26" s="149"/>
      <c r="C26" s="176" t="s">
        <v>92</v>
      </c>
      <c r="D26" s="175"/>
      <c r="E26" s="175"/>
      <c r="F26" s="175"/>
      <c r="G26" s="89"/>
      <c r="H26" s="89"/>
      <c r="I26" s="89" t="s">
        <v>107</v>
      </c>
      <c r="J26" s="89"/>
      <c r="K26" t="str">
        <f t="shared" si="0"/>
        <v/>
      </c>
    </row>
    <row r="27" spans="2:11" s="71" customFormat="1" ht="20.100000000000001" customHeight="1" x14ac:dyDescent="0.25">
      <c r="B27" s="149"/>
      <c r="C27" s="150" t="s">
        <v>82</v>
      </c>
      <c r="D27" s="151"/>
      <c r="E27" s="151"/>
      <c r="F27" s="151"/>
      <c r="G27" s="151"/>
      <c r="H27" s="151"/>
      <c r="I27" s="151"/>
      <c r="J27" s="152"/>
      <c r="K27"/>
    </row>
    <row r="28" spans="2:11" ht="20.100000000000001" customHeight="1" x14ac:dyDescent="0.25">
      <c r="B28" s="149"/>
      <c r="C28" s="165" t="s">
        <v>95</v>
      </c>
      <c r="D28" s="166"/>
      <c r="E28" s="166"/>
      <c r="F28" s="167"/>
      <c r="G28" s="89"/>
      <c r="H28" s="89"/>
      <c r="I28" s="89" t="s">
        <v>107</v>
      </c>
      <c r="J28" s="89"/>
      <c r="K28" t="str">
        <f t="shared" si="0"/>
        <v/>
      </c>
    </row>
    <row r="29" spans="2:11" s="56" customFormat="1" ht="27.75" customHeight="1" x14ac:dyDescent="0.25">
      <c r="C29" s="83"/>
      <c r="D29" s="84"/>
      <c r="E29" s="84"/>
      <c r="F29" s="85"/>
      <c r="G29" s="86"/>
      <c r="H29" s="86"/>
      <c r="I29" s="86"/>
      <c r="J29" s="86"/>
      <c r="K29"/>
    </row>
    <row r="30" spans="2:11" s="56" customFormat="1" ht="20.100000000000001" customHeight="1" x14ac:dyDescent="0.25">
      <c r="B30" s="149" t="s">
        <v>166</v>
      </c>
      <c r="C30" s="153" t="s">
        <v>132</v>
      </c>
      <c r="D30" s="154"/>
      <c r="E30" s="154"/>
      <c r="F30" s="154"/>
      <c r="G30" s="154"/>
      <c r="H30" s="154"/>
      <c r="I30" s="154"/>
      <c r="J30" s="155"/>
      <c r="K30"/>
    </row>
    <row r="31" spans="2:11" ht="20.100000000000001" customHeight="1" x14ac:dyDescent="0.25">
      <c r="B31" s="149"/>
      <c r="C31" s="159" t="s">
        <v>104</v>
      </c>
      <c r="D31" s="160"/>
      <c r="E31" s="160"/>
      <c r="F31" s="161"/>
      <c r="G31" s="89"/>
      <c r="H31" s="89"/>
      <c r="I31" s="89"/>
      <c r="J31" s="89" t="s">
        <v>107</v>
      </c>
      <c r="K31" t="str">
        <f t="shared" si="0"/>
        <v/>
      </c>
    </row>
    <row r="32" spans="2:11" ht="20.100000000000001" customHeight="1" x14ac:dyDescent="0.25">
      <c r="B32" s="149"/>
      <c r="C32" s="162" t="s">
        <v>105</v>
      </c>
      <c r="D32" s="163"/>
      <c r="E32" s="163"/>
      <c r="F32" s="164"/>
      <c r="G32" s="89"/>
      <c r="H32" s="89"/>
      <c r="I32" s="89" t="s">
        <v>107</v>
      </c>
      <c r="J32" s="89"/>
      <c r="K32" t="str">
        <f t="shared" si="0"/>
        <v/>
      </c>
    </row>
    <row r="33" spans="2:11" ht="20.100000000000001" customHeight="1" x14ac:dyDescent="0.25">
      <c r="B33" s="149"/>
      <c r="C33" s="150" t="s">
        <v>133</v>
      </c>
      <c r="D33" s="151"/>
      <c r="E33" s="151"/>
      <c r="F33" s="151"/>
      <c r="G33" s="151"/>
      <c r="H33" s="151"/>
      <c r="I33" s="151"/>
      <c r="J33" s="152"/>
    </row>
    <row r="34" spans="2:11" ht="20.100000000000001" customHeight="1" x14ac:dyDescent="0.25">
      <c r="B34" s="149"/>
      <c r="C34" s="192" t="s">
        <v>134</v>
      </c>
      <c r="D34" s="193"/>
      <c r="E34" s="193"/>
      <c r="F34" s="194"/>
      <c r="G34" s="89"/>
      <c r="H34" s="89"/>
      <c r="I34" s="89" t="s">
        <v>107</v>
      </c>
      <c r="J34" s="89"/>
      <c r="K34" t="str">
        <f t="shared" si="0"/>
        <v/>
      </c>
    </row>
    <row r="35" spans="2:11" ht="20.100000000000001" customHeight="1" x14ac:dyDescent="0.25">
      <c r="B35" s="149"/>
      <c r="C35" s="153" t="s">
        <v>135</v>
      </c>
      <c r="D35" s="154"/>
      <c r="E35" s="154"/>
      <c r="F35" s="154"/>
      <c r="G35" s="154"/>
      <c r="H35" s="154"/>
      <c r="I35" s="154"/>
      <c r="J35" s="155"/>
    </row>
    <row r="36" spans="2:11" ht="20.100000000000001" customHeight="1" x14ac:dyDescent="0.25">
      <c r="B36" s="149"/>
      <c r="C36" s="159" t="s">
        <v>106</v>
      </c>
      <c r="D36" s="160"/>
      <c r="E36" s="160"/>
      <c r="F36" s="161"/>
      <c r="G36" s="89"/>
      <c r="H36" s="89"/>
      <c r="I36" s="89"/>
      <c r="J36" s="89" t="s">
        <v>107</v>
      </c>
      <c r="K36" t="str">
        <f t="shared" si="0"/>
        <v/>
      </c>
    </row>
    <row r="37" spans="2:11" ht="20.100000000000001" customHeight="1" x14ac:dyDescent="0.25">
      <c r="B37" s="149"/>
      <c r="C37" s="156" t="s">
        <v>140</v>
      </c>
      <c r="D37" s="157"/>
      <c r="E37" s="157"/>
      <c r="F37" s="157"/>
      <c r="G37" s="157"/>
      <c r="H37" s="157"/>
      <c r="I37" s="157"/>
      <c r="J37" s="158"/>
    </row>
    <row r="38" spans="2:11" ht="20.100000000000001" customHeight="1" x14ac:dyDescent="0.25">
      <c r="B38" s="149"/>
      <c r="C38" s="192" t="s">
        <v>137</v>
      </c>
      <c r="D38" s="193"/>
      <c r="E38" s="193"/>
      <c r="F38" s="194"/>
      <c r="G38" s="89"/>
      <c r="H38" s="89"/>
      <c r="I38" s="89" t="s">
        <v>107</v>
      </c>
      <c r="J38" s="89"/>
      <c r="K38" t="str">
        <f t="shared" si="0"/>
        <v/>
      </c>
    </row>
    <row r="39" spans="2:11" ht="20.100000000000001" customHeight="1" x14ac:dyDescent="0.25">
      <c r="B39" s="149"/>
      <c r="C39" s="198" t="s">
        <v>138</v>
      </c>
      <c r="D39" s="199"/>
      <c r="E39" s="199"/>
      <c r="F39" s="200"/>
      <c r="G39" s="89"/>
      <c r="H39" s="89"/>
      <c r="I39" s="89"/>
      <c r="J39" s="89" t="s">
        <v>107</v>
      </c>
      <c r="K39" t="str">
        <f t="shared" si="0"/>
        <v/>
      </c>
    </row>
    <row r="41" spans="2:11" x14ac:dyDescent="0.25">
      <c r="C41" s="191" t="s">
        <v>98</v>
      </c>
      <c r="D41" s="191"/>
      <c r="E41" s="191"/>
      <c r="F41" s="191"/>
      <c r="G41" s="191"/>
      <c r="H41" s="191"/>
      <c r="I41" s="191"/>
      <c r="J41" s="191"/>
    </row>
    <row r="42" spans="2:11" x14ac:dyDescent="0.25">
      <c r="C42" s="75" t="s">
        <v>99</v>
      </c>
      <c r="H42" s="64" t="s">
        <v>100</v>
      </c>
      <c r="I42" s="64"/>
      <c r="J42" s="64" t="s">
        <v>101</v>
      </c>
    </row>
    <row r="43" spans="2:11" x14ac:dyDescent="0.25">
      <c r="C43" t="s">
        <v>75</v>
      </c>
      <c r="D43" s="91"/>
      <c r="F43" s="57" t="s">
        <v>162</v>
      </c>
      <c r="H43" s="90" t="s">
        <v>107</v>
      </c>
      <c r="J43" s="90"/>
    </row>
    <row r="44" spans="2:11" x14ac:dyDescent="0.25">
      <c r="C44" t="s">
        <v>76</v>
      </c>
      <c r="D44" s="91"/>
      <c r="F44" s="57"/>
      <c r="H44" s="74"/>
      <c r="J44" s="74"/>
    </row>
    <row r="45" spans="2:11" x14ac:dyDescent="0.25">
      <c r="C45" s="75" t="s">
        <v>102</v>
      </c>
      <c r="F45" s="57"/>
      <c r="H45" s="64" t="s">
        <v>100</v>
      </c>
      <c r="I45" s="64"/>
      <c r="J45" s="64" t="s">
        <v>101</v>
      </c>
    </row>
    <row r="46" spans="2:11" x14ac:dyDescent="0.25">
      <c r="C46" t="s">
        <v>103</v>
      </c>
      <c r="D46" s="91"/>
      <c r="F46" s="57" t="s">
        <v>162</v>
      </c>
      <c r="H46" s="90" t="s">
        <v>107</v>
      </c>
      <c r="J46" s="90"/>
    </row>
    <row r="47" spans="2:11" x14ac:dyDescent="0.25">
      <c r="C47" t="s">
        <v>76</v>
      </c>
      <c r="D47" s="91"/>
      <c r="F47" s="57"/>
      <c r="H47" s="79"/>
      <c r="J47" s="79"/>
    </row>
    <row r="48" spans="2:11" ht="15.75" thickBot="1" x14ac:dyDescent="0.3"/>
    <row r="49" spans="3:12" x14ac:dyDescent="0.25">
      <c r="C49" s="182" t="s">
        <v>165</v>
      </c>
      <c r="D49" s="183"/>
      <c r="E49" s="183"/>
      <c r="F49" s="183"/>
      <c r="G49" s="183"/>
      <c r="H49" s="183"/>
      <c r="I49" s="183"/>
      <c r="J49" s="184"/>
    </row>
    <row r="50" spans="3:12" x14ac:dyDescent="0.25">
      <c r="C50" s="185"/>
      <c r="D50" s="186"/>
      <c r="E50" s="186"/>
      <c r="F50" s="186"/>
      <c r="G50" s="186"/>
      <c r="H50" s="186"/>
      <c r="I50" s="186"/>
      <c r="J50" s="187"/>
    </row>
    <row r="51" spans="3:12" x14ac:dyDescent="0.25">
      <c r="C51" s="185"/>
      <c r="D51" s="186"/>
      <c r="E51" s="186"/>
      <c r="F51" s="186"/>
      <c r="G51" s="186"/>
      <c r="H51" s="186"/>
      <c r="I51" s="186"/>
      <c r="J51" s="187"/>
      <c r="L51" s="73"/>
    </row>
    <row r="52" spans="3:12" x14ac:dyDescent="0.25">
      <c r="C52" s="185"/>
      <c r="D52" s="186"/>
      <c r="E52" s="186"/>
      <c r="F52" s="186"/>
      <c r="G52" s="186"/>
      <c r="H52" s="186"/>
      <c r="I52" s="186"/>
      <c r="J52" s="187"/>
    </row>
    <row r="53" spans="3:12" ht="33.75" customHeight="1" thickBot="1" x14ac:dyDescent="0.3">
      <c r="C53" s="188"/>
      <c r="D53" s="189"/>
      <c r="E53" s="189"/>
      <c r="F53" s="189"/>
      <c r="G53" s="189"/>
      <c r="H53" s="189"/>
      <c r="I53" s="189"/>
      <c r="J53" s="190"/>
    </row>
  </sheetData>
  <mergeCells count="33">
    <mergeCell ref="C49:J53"/>
    <mergeCell ref="C41:J41"/>
    <mergeCell ref="C20:F20"/>
    <mergeCell ref="C21:F21"/>
    <mergeCell ref="C34:F34"/>
    <mergeCell ref="C38:F38"/>
    <mergeCell ref="C39:F39"/>
    <mergeCell ref="C14:J14"/>
    <mergeCell ref="C12:J12"/>
    <mergeCell ref="C13:J13"/>
    <mergeCell ref="C25:F25"/>
    <mergeCell ref="C26:F26"/>
    <mergeCell ref="C22:F22"/>
    <mergeCell ref="C23:F23"/>
    <mergeCell ref="C15:J15"/>
    <mergeCell ref="F5:H5"/>
    <mergeCell ref="F6:H6"/>
    <mergeCell ref="F7:H7"/>
    <mergeCell ref="F8:H8"/>
    <mergeCell ref="C10:J11"/>
    <mergeCell ref="B19:B28"/>
    <mergeCell ref="B30:B39"/>
    <mergeCell ref="C24:J24"/>
    <mergeCell ref="C19:J19"/>
    <mergeCell ref="C27:J27"/>
    <mergeCell ref="C30:J30"/>
    <mergeCell ref="C33:J33"/>
    <mergeCell ref="C35:J35"/>
    <mergeCell ref="C37:J37"/>
    <mergeCell ref="C31:F31"/>
    <mergeCell ref="C32:F32"/>
    <mergeCell ref="C36:F36"/>
    <mergeCell ref="C28:F28"/>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20"/>
  <sheetViews>
    <sheetView showGridLines="0" tabSelected="1" workbookViewId="0">
      <selection activeCell="E8" sqref="E8:G8"/>
    </sheetView>
  </sheetViews>
  <sheetFormatPr baseColWidth="10" defaultRowHeight="15" x14ac:dyDescent="0.25"/>
  <cols>
    <col min="7" max="7" width="24.140625" customWidth="1"/>
  </cols>
  <sheetData>
    <row r="2" spans="2:8" ht="21" x14ac:dyDescent="0.25">
      <c r="G2" s="82" t="s">
        <v>126</v>
      </c>
    </row>
    <row r="3" spans="2:8" x14ac:dyDescent="0.25">
      <c r="G3" s="57" t="s">
        <v>87</v>
      </c>
    </row>
    <row r="4" spans="2:8" x14ac:dyDescent="0.25">
      <c r="G4" s="41" t="str">
        <f>VERSION</f>
        <v>Version de mars 2021</v>
      </c>
    </row>
    <row r="5" spans="2:8" ht="21" x14ac:dyDescent="0.35">
      <c r="D5" s="105" t="s">
        <v>75</v>
      </c>
      <c r="E5" s="201" t="str">
        <f>IF(ISBLANK('1ère année'!B3),"",'1ère année'!B3)</f>
        <v>Elèves B</v>
      </c>
      <c r="F5" s="202"/>
      <c r="G5" s="203"/>
    </row>
    <row r="6" spans="2:8" ht="21" x14ac:dyDescent="0.35">
      <c r="D6" s="105" t="s">
        <v>76</v>
      </c>
      <c r="E6" s="201">
        <f>IF(ISBLANK('1ère année'!B4),"",'1ère année'!B4)</f>
        <v>2</v>
      </c>
      <c r="F6" s="202"/>
      <c r="G6" s="203"/>
    </row>
    <row r="7" spans="2:8" ht="21" x14ac:dyDescent="0.35">
      <c r="D7" s="105" t="s">
        <v>158</v>
      </c>
      <c r="E7" s="201" t="str">
        <f>IF(ISBLANK('1ère année'!B5),"",'1ère année'!B5)</f>
        <v>TMAC2</v>
      </c>
      <c r="F7" s="202"/>
      <c r="G7" s="203"/>
    </row>
    <row r="8" spans="2:8" ht="21" x14ac:dyDescent="0.35">
      <c r="D8" s="105" t="s">
        <v>80</v>
      </c>
      <c r="E8" s="201" t="str">
        <f>IF(ISBLANK('1ère année'!B6),"",'1ère année'!B6)</f>
        <v>Une seconde chance pour la réussite</v>
      </c>
      <c r="F8" s="202"/>
      <c r="G8" s="203"/>
    </row>
    <row r="9" spans="2:8" ht="15.75" thickBot="1" x14ac:dyDescent="0.3">
      <c r="D9" s="57"/>
      <c r="E9" s="63"/>
      <c r="F9" s="63"/>
      <c r="G9" s="63"/>
    </row>
    <row r="10" spans="2:8" ht="21.75" thickBot="1" x14ac:dyDescent="0.4">
      <c r="B10" s="207" t="s">
        <v>88</v>
      </c>
      <c r="C10" s="208"/>
      <c r="D10" s="209"/>
      <c r="F10" s="213" t="s">
        <v>89</v>
      </c>
      <c r="G10" s="214"/>
      <c r="H10" s="106"/>
    </row>
    <row r="11" spans="2:8" ht="15.75" thickBot="1" x14ac:dyDescent="0.3"/>
    <row r="12" spans="2:8" ht="21.75" thickBot="1" x14ac:dyDescent="0.4">
      <c r="B12" s="210" t="s">
        <v>83</v>
      </c>
      <c r="C12" s="211"/>
      <c r="D12" s="212"/>
      <c r="G12" s="57" t="str" cm="1">
        <f t="array" ref="G12">NOTE_1</f>
        <v>Non évalué</v>
      </c>
    </row>
    <row r="13" spans="2:8" ht="15.75" thickBot="1" x14ac:dyDescent="0.3">
      <c r="G13" s="57"/>
    </row>
    <row r="14" spans="2:8" ht="21.75" thickBot="1" x14ac:dyDescent="0.4">
      <c r="B14" s="210" t="s">
        <v>84</v>
      </c>
      <c r="C14" s="211"/>
      <c r="D14" s="212"/>
      <c r="G14" s="57" cm="1">
        <f t="array" ref="G14">NOTE_2</f>
        <v>19</v>
      </c>
    </row>
    <row r="15" spans="2:8" ht="15.75" thickBot="1" x14ac:dyDescent="0.3">
      <c r="G15" s="57"/>
    </row>
    <row r="16" spans="2:8" ht="21.75" thickBot="1" x14ac:dyDescent="0.4">
      <c r="B16" s="210" t="s">
        <v>85</v>
      </c>
      <c r="C16" s="211"/>
      <c r="D16" s="212"/>
      <c r="G16" s="57">
        <f>MOYENNE_LIVRET</f>
        <v>19</v>
      </c>
    </row>
    <row r="17" spans="2:7" ht="15.75" thickBot="1" x14ac:dyDescent="0.3">
      <c r="G17" s="57"/>
    </row>
    <row r="18" spans="2:7" ht="21.75" thickBot="1" x14ac:dyDescent="0.4">
      <c r="B18" s="210" t="s">
        <v>81</v>
      </c>
      <c r="C18" s="211"/>
      <c r="D18" s="212"/>
      <c r="G18" s="57">
        <f>NOTE_ORAL</f>
        <v>16</v>
      </c>
    </row>
    <row r="19" spans="2:7" ht="15.75" thickBot="1" x14ac:dyDescent="0.3">
      <c r="G19" s="57"/>
    </row>
    <row r="20" spans="2:7" ht="21.75" thickBot="1" x14ac:dyDescent="0.4">
      <c r="B20" s="204" t="s">
        <v>86</v>
      </c>
      <c r="C20" s="205"/>
      <c r="D20" s="206"/>
      <c r="G20" s="57">
        <f>NOTE_FINALE</f>
        <v>17.5</v>
      </c>
    </row>
  </sheetData>
  <mergeCells count="11">
    <mergeCell ref="E5:G5"/>
    <mergeCell ref="E6:G6"/>
    <mergeCell ref="E7:G7"/>
    <mergeCell ref="E8:G8"/>
    <mergeCell ref="B20:D20"/>
    <mergeCell ref="B10:D10"/>
    <mergeCell ref="B14:D14"/>
    <mergeCell ref="B12:D12"/>
    <mergeCell ref="B16:D16"/>
    <mergeCell ref="B18:D18"/>
    <mergeCell ref="F10:G10"/>
  </mergeCell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FF00"/>
  </sheetPr>
  <dimension ref="A1:H13"/>
  <sheetViews>
    <sheetView topLeftCell="B1" workbookViewId="0">
      <selection activeCell="B1" sqref="B1"/>
    </sheetView>
  </sheetViews>
  <sheetFormatPr baseColWidth="10" defaultRowHeight="15" x14ac:dyDescent="0.25"/>
  <cols>
    <col min="1" max="1" width="0" hidden="1" customWidth="1"/>
    <col min="2" max="2" width="38.85546875" customWidth="1"/>
    <col min="3" max="3" width="26.28515625" customWidth="1"/>
    <col min="4" max="7" width="46.140625" customWidth="1"/>
    <col min="8" max="8" width="16.7109375" hidden="1" customWidth="1"/>
  </cols>
  <sheetData>
    <row r="1" spans="1:8" ht="36.75" customHeight="1" thickTop="1" thickBot="1" x14ac:dyDescent="0.3">
      <c r="C1" s="76" t="s">
        <v>155</v>
      </c>
      <c r="D1" s="76" t="s">
        <v>6</v>
      </c>
      <c r="E1" s="76" t="s">
        <v>7</v>
      </c>
      <c r="F1" s="76" t="s">
        <v>8</v>
      </c>
      <c r="G1" s="76" t="s">
        <v>9</v>
      </c>
      <c r="H1" s="4" t="s">
        <v>5</v>
      </c>
    </row>
    <row r="2" spans="1:8" ht="21.75" thickTop="1" x14ac:dyDescent="0.25">
      <c r="A2" t="s">
        <v>43</v>
      </c>
      <c r="B2" s="53" t="s">
        <v>15</v>
      </c>
      <c r="C2" s="81"/>
      <c r="D2" s="51"/>
      <c r="E2" s="54"/>
      <c r="F2" s="54"/>
      <c r="G2" s="54"/>
      <c r="H2" s="5"/>
    </row>
    <row r="3" spans="1:8" ht="47.25" x14ac:dyDescent="0.25">
      <c r="A3">
        <v>1</v>
      </c>
      <c r="B3" s="48" t="s">
        <v>10</v>
      </c>
      <c r="C3" s="49" t="s">
        <v>142</v>
      </c>
      <c r="D3" s="49" t="s">
        <v>14</v>
      </c>
      <c r="E3" s="49" t="s">
        <v>25</v>
      </c>
      <c r="F3" s="49" t="s">
        <v>31</v>
      </c>
      <c r="G3" s="49" t="s">
        <v>13</v>
      </c>
      <c r="H3" s="11" t="s">
        <v>5</v>
      </c>
    </row>
    <row r="4" spans="1:8" ht="47.25" x14ac:dyDescent="0.25">
      <c r="A4">
        <v>2</v>
      </c>
      <c r="B4" s="48" t="s">
        <v>42</v>
      </c>
      <c r="C4" s="49" t="s">
        <v>142</v>
      </c>
      <c r="D4" s="49" t="s">
        <v>20</v>
      </c>
      <c r="E4" s="49" t="s">
        <v>26</v>
      </c>
      <c r="F4" s="49" t="s">
        <v>32</v>
      </c>
      <c r="G4" s="49" t="s">
        <v>36</v>
      </c>
      <c r="H4" s="11" t="s">
        <v>5</v>
      </c>
    </row>
    <row r="5" spans="1:8" ht="21" x14ac:dyDescent="0.25">
      <c r="A5" t="s">
        <v>44</v>
      </c>
      <c r="B5" s="50" t="s">
        <v>16</v>
      </c>
      <c r="C5" s="81"/>
      <c r="D5" s="51"/>
      <c r="E5" s="52"/>
      <c r="F5" s="52"/>
      <c r="G5" s="52"/>
      <c r="H5" s="6"/>
    </row>
    <row r="6" spans="1:8" ht="25.5" x14ac:dyDescent="0.25">
      <c r="A6">
        <v>3</v>
      </c>
      <c r="B6" s="48" t="s">
        <v>0</v>
      </c>
      <c r="C6" s="49" t="s">
        <v>142</v>
      </c>
      <c r="D6" s="49" t="s">
        <v>143</v>
      </c>
      <c r="E6" s="49" t="s">
        <v>144</v>
      </c>
      <c r="F6" s="49" t="s">
        <v>145</v>
      </c>
      <c r="G6" s="49" t="s">
        <v>146</v>
      </c>
      <c r="H6" s="12" t="s">
        <v>5</v>
      </c>
    </row>
    <row r="7" spans="1:8" ht="38.25" x14ac:dyDescent="0.25">
      <c r="A7">
        <v>4</v>
      </c>
      <c r="B7" s="48" t="s">
        <v>1</v>
      </c>
      <c r="C7" s="49" t="s">
        <v>142</v>
      </c>
      <c r="D7" s="49" t="s">
        <v>147</v>
      </c>
      <c r="E7" s="49" t="s">
        <v>149</v>
      </c>
      <c r="F7" s="49" t="s">
        <v>150</v>
      </c>
      <c r="G7" s="49" t="s">
        <v>148</v>
      </c>
      <c r="H7" s="12" t="s">
        <v>5</v>
      </c>
    </row>
    <row r="8" spans="1:8" ht="51" x14ac:dyDescent="0.25">
      <c r="A8">
        <v>5</v>
      </c>
      <c r="B8" s="48" t="s">
        <v>2</v>
      </c>
      <c r="C8" s="49" t="s">
        <v>142</v>
      </c>
      <c r="D8" s="49" t="s">
        <v>21</v>
      </c>
      <c r="E8" s="49" t="s">
        <v>27</v>
      </c>
      <c r="F8" s="49" t="s">
        <v>33</v>
      </c>
      <c r="G8" s="49" t="s">
        <v>37</v>
      </c>
      <c r="H8" s="12" t="s">
        <v>5</v>
      </c>
    </row>
    <row r="9" spans="1:8" ht="31.5" x14ac:dyDescent="0.25">
      <c r="A9">
        <v>6</v>
      </c>
      <c r="B9" s="48" t="s">
        <v>11</v>
      </c>
      <c r="C9" s="49" t="s">
        <v>142</v>
      </c>
      <c r="D9" s="49" t="s">
        <v>22</v>
      </c>
      <c r="E9" s="49" t="s">
        <v>28</v>
      </c>
      <c r="F9" s="49" t="s">
        <v>34</v>
      </c>
      <c r="G9" s="49" t="s">
        <v>38</v>
      </c>
      <c r="H9" s="12" t="s">
        <v>5</v>
      </c>
    </row>
    <row r="10" spans="1:8" ht="21" x14ac:dyDescent="0.25">
      <c r="A10" t="s">
        <v>45</v>
      </c>
      <c r="B10" s="50" t="s">
        <v>17</v>
      </c>
      <c r="C10" s="81"/>
      <c r="D10" s="51"/>
      <c r="E10" s="52"/>
      <c r="F10" s="52"/>
      <c r="G10" s="52"/>
      <c r="H10" s="7"/>
    </row>
    <row r="11" spans="1:8" ht="47.25" x14ac:dyDescent="0.25">
      <c r="A11">
        <v>7</v>
      </c>
      <c r="B11" s="48" t="s">
        <v>12</v>
      </c>
      <c r="C11" s="49" t="s">
        <v>142</v>
      </c>
      <c r="D11" s="49" t="s">
        <v>23</v>
      </c>
      <c r="E11" s="49" t="s">
        <v>29</v>
      </c>
      <c r="F11" s="49" t="s">
        <v>41</v>
      </c>
      <c r="G11" s="49" t="s">
        <v>39</v>
      </c>
      <c r="H11" s="13" t="s">
        <v>5</v>
      </c>
    </row>
    <row r="12" spans="1:8" ht="51" x14ac:dyDescent="0.25">
      <c r="A12">
        <v>8</v>
      </c>
      <c r="B12" s="48" t="s">
        <v>3</v>
      </c>
      <c r="C12" s="49" t="s">
        <v>142</v>
      </c>
      <c r="D12" s="49" t="s">
        <v>151</v>
      </c>
      <c r="E12" s="49" t="s">
        <v>152</v>
      </c>
      <c r="F12" s="49" t="s">
        <v>153</v>
      </c>
      <c r="G12" s="49" t="s">
        <v>154</v>
      </c>
      <c r="H12" s="13" t="s">
        <v>5</v>
      </c>
    </row>
    <row r="13" spans="1:8" ht="31.5" x14ac:dyDescent="0.25">
      <c r="A13">
        <v>9</v>
      </c>
      <c r="B13" s="48" t="s">
        <v>4</v>
      </c>
      <c r="C13" s="49" t="s">
        <v>142</v>
      </c>
      <c r="D13" s="49" t="s">
        <v>24</v>
      </c>
      <c r="E13" s="49" t="s">
        <v>30</v>
      </c>
      <c r="F13" s="49" t="s">
        <v>35</v>
      </c>
      <c r="G13" s="49" t="s">
        <v>40</v>
      </c>
      <c r="H13" s="13" t="s">
        <v>5</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FF00"/>
  </sheetPr>
  <dimension ref="A1:G26"/>
  <sheetViews>
    <sheetView topLeftCell="B16" workbookViewId="0">
      <selection activeCell="C3" sqref="C3"/>
    </sheetView>
  </sheetViews>
  <sheetFormatPr baseColWidth="10" defaultRowHeight="15" x14ac:dyDescent="0.25"/>
  <cols>
    <col min="1" max="1" width="11.42578125" hidden="1" customWidth="1"/>
    <col min="2" max="2" width="91.7109375" customWidth="1"/>
    <col min="3" max="4" width="16.85546875" customWidth="1"/>
    <col min="5" max="5" width="28.5703125" customWidth="1"/>
    <col min="6" max="6" width="36.140625" customWidth="1"/>
    <col min="7" max="7" width="0" hidden="1" customWidth="1"/>
  </cols>
  <sheetData>
    <row r="1" spans="1:6" ht="38.25" customHeight="1" x14ac:dyDescent="0.25">
      <c r="B1" s="215" t="s">
        <v>111</v>
      </c>
      <c r="C1" s="215"/>
      <c r="D1" s="215"/>
    </row>
    <row r="2" spans="1:6" ht="35.25" customHeight="1" x14ac:dyDescent="0.25">
      <c r="B2" s="78" t="s">
        <v>51</v>
      </c>
      <c r="C2" s="16" t="s">
        <v>49</v>
      </c>
      <c r="D2" s="16" t="s">
        <v>50</v>
      </c>
    </row>
    <row r="3" spans="1:6" ht="32.25" customHeight="1" x14ac:dyDescent="0.25">
      <c r="A3" t="s">
        <v>43</v>
      </c>
      <c r="B3" s="77" t="s">
        <v>46</v>
      </c>
      <c r="C3" s="95">
        <v>0.4</v>
      </c>
      <c r="D3" s="95">
        <v>0.4</v>
      </c>
    </row>
    <row r="4" spans="1:6" ht="32.25" customHeight="1" x14ac:dyDescent="0.25">
      <c r="A4" t="s">
        <v>44</v>
      </c>
      <c r="B4" s="77" t="s">
        <v>47</v>
      </c>
      <c r="C4" s="95">
        <v>0.3</v>
      </c>
      <c r="D4" s="95">
        <v>0.3</v>
      </c>
    </row>
    <row r="5" spans="1:6" ht="32.25" customHeight="1" x14ac:dyDescent="0.25">
      <c r="A5" t="s">
        <v>45</v>
      </c>
      <c r="B5" s="77" t="s">
        <v>48</v>
      </c>
      <c r="C5" s="70">
        <f>1-C4-C3</f>
        <v>0.29999999999999993</v>
      </c>
      <c r="D5" s="70">
        <f>1-D4-D3</f>
        <v>0.29999999999999993</v>
      </c>
      <c r="E5" s="20" t="s">
        <v>157</v>
      </c>
      <c r="F5" s="20"/>
    </row>
    <row r="6" spans="1:6" ht="35.25" customHeight="1" x14ac:dyDescent="0.25">
      <c r="B6" s="78" t="s">
        <v>79</v>
      </c>
      <c r="C6" s="16" t="s">
        <v>49</v>
      </c>
      <c r="D6" s="16" t="s">
        <v>50</v>
      </c>
      <c r="E6" s="15"/>
      <c r="F6" s="15"/>
    </row>
    <row r="7" spans="1:6" ht="24" customHeight="1" thickBot="1" x14ac:dyDescent="0.3">
      <c r="A7">
        <v>1</v>
      </c>
      <c r="B7" s="8" t="s">
        <v>10</v>
      </c>
      <c r="C7" s="96">
        <v>0.5</v>
      </c>
      <c r="D7" s="96">
        <v>0.5</v>
      </c>
    </row>
    <row r="8" spans="1:6" ht="24" customHeight="1" thickBot="1" x14ac:dyDescent="0.3">
      <c r="A8">
        <v>2</v>
      </c>
      <c r="B8" s="17" t="s">
        <v>42</v>
      </c>
      <c r="C8" s="23">
        <f>1-C7</f>
        <v>0.5</v>
      </c>
      <c r="D8" s="24">
        <f>1-D7</f>
        <v>0.5</v>
      </c>
      <c r="E8" s="20" t="s">
        <v>157</v>
      </c>
      <c r="F8" s="20"/>
    </row>
    <row r="9" spans="1:6" ht="24" customHeight="1" x14ac:dyDescent="0.25">
      <c r="A9">
        <v>3</v>
      </c>
      <c r="B9" s="9" t="s">
        <v>0</v>
      </c>
      <c r="C9" s="97">
        <v>0.25</v>
      </c>
      <c r="D9" s="97">
        <v>0.25</v>
      </c>
    </row>
    <row r="10" spans="1:6" ht="24" customHeight="1" x14ac:dyDescent="0.25">
      <c r="A10">
        <v>4</v>
      </c>
      <c r="B10" s="9" t="s">
        <v>1</v>
      </c>
      <c r="C10" s="98">
        <v>0.25</v>
      </c>
      <c r="D10" s="98">
        <v>0.25</v>
      </c>
    </row>
    <row r="11" spans="1:6" ht="24" customHeight="1" thickBot="1" x14ac:dyDescent="0.3">
      <c r="A11">
        <v>5</v>
      </c>
      <c r="B11" s="9" t="s">
        <v>2</v>
      </c>
      <c r="C11" s="99">
        <v>0.25</v>
      </c>
      <c r="D11" s="99">
        <v>0.25</v>
      </c>
    </row>
    <row r="12" spans="1:6" ht="24" customHeight="1" thickBot="1" x14ac:dyDescent="0.3">
      <c r="A12">
        <v>6</v>
      </c>
      <c r="B12" s="14" t="s">
        <v>11</v>
      </c>
      <c r="C12" s="21">
        <f>1-SUM(C9:C11)</f>
        <v>0.25</v>
      </c>
      <c r="D12" s="22">
        <f>1-SUM(D9:D11)</f>
        <v>0.25</v>
      </c>
      <c r="E12" s="20" t="s">
        <v>157</v>
      </c>
      <c r="F12" s="20"/>
    </row>
    <row r="13" spans="1:6" ht="24" customHeight="1" x14ac:dyDescent="0.25">
      <c r="A13">
        <v>7</v>
      </c>
      <c r="B13" s="10" t="s">
        <v>12</v>
      </c>
      <c r="C13" s="100">
        <v>0.33</v>
      </c>
      <c r="D13" s="100">
        <v>0.33</v>
      </c>
    </row>
    <row r="14" spans="1:6" ht="24" customHeight="1" thickBot="1" x14ac:dyDescent="0.3">
      <c r="A14">
        <v>8</v>
      </c>
      <c r="B14" s="10" t="s">
        <v>3</v>
      </c>
      <c r="C14" s="101">
        <v>0.33</v>
      </c>
      <c r="D14" s="101">
        <v>0.33</v>
      </c>
    </row>
    <row r="15" spans="1:6" ht="24" customHeight="1" thickBot="1" x14ac:dyDescent="0.3">
      <c r="A15">
        <v>9</v>
      </c>
      <c r="B15" s="18" t="s">
        <v>4</v>
      </c>
      <c r="C15" s="25">
        <f>1-SUM(C13:C14)</f>
        <v>0.33999999999999997</v>
      </c>
      <c r="D15" s="26">
        <f>1-SUM(D13:D14)</f>
        <v>0.33999999999999997</v>
      </c>
      <c r="E15" s="20" t="s">
        <v>157</v>
      </c>
      <c r="F15" s="20"/>
    </row>
    <row r="16" spans="1:6" ht="35.25" customHeight="1" x14ac:dyDescent="0.25">
      <c r="B16" s="78" t="s">
        <v>52</v>
      </c>
      <c r="C16" s="16" t="s">
        <v>49</v>
      </c>
      <c r="D16" s="16" t="s">
        <v>50</v>
      </c>
    </row>
    <row r="17" spans="2:7" ht="15" customHeight="1" x14ac:dyDescent="0.25">
      <c r="B17" t="s">
        <v>155</v>
      </c>
      <c r="C17" s="102">
        <v>0.25</v>
      </c>
      <c r="D17" s="102">
        <v>0.1</v>
      </c>
      <c r="G17">
        <v>0.5</v>
      </c>
    </row>
    <row r="18" spans="2:7" x14ac:dyDescent="0.25">
      <c r="B18" t="s">
        <v>6</v>
      </c>
      <c r="C18" s="103">
        <v>0.5</v>
      </c>
      <c r="D18" s="103">
        <v>0.25</v>
      </c>
      <c r="E18" s="217" t="str">
        <f>CONCATENATE("L'élève qui atteint le palier 2 dans toutes les compétences évaluées aura ",TEXT(C19*20,"@"),"/20 s'il est en première année.")</f>
        <v>L'élève qui atteint le palier 2 dans toutes les compétences évaluées aura 20/20 s'il est en première année.</v>
      </c>
      <c r="F18" s="217"/>
      <c r="G18">
        <v>1</v>
      </c>
    </row>
    <row r="19" spans="2:7" x14ac:dyDescent="0.25">
      <c r="B19" t="s">
        <v>7</v>
      </c>
      <c r="C19" s="103">
        <v>1</v>
      </c>
      <c r="D19" s="103">
        <v>0.5</v>
      </c>
      <c r="E19" s="217"/>
      <c r="F19" s="217"/>
      <c r="G19">
        <v>2</v>
      </c>
    </row>
    <row r="20" spans="2:7" x14ac:dyDescent="0.25">
      <c r="B20" t="s">
        <v>8</v>
      </c>
      <c r="C20" s="103">
        <v>1</v>
      </c>
      <c r="D20" s="103">
        <v>0.75</v>
      </c>
      <c r="E20" s="218" t="str">
        <f>CONCATENATE("Il aura ",TEXT(D19*20,"@"),"/20 s'il est en deuxième année.")</f>
        <v>Il aura 10/20 s'il est en deuxième année.</v>
      </c>
      <c r="F20" s="218"/>
      <c r="G20">
        <v>3</v>
      </c>
    </row>
    <row r="21" spans="2:7" x14ac:dyDescent="0.25">
      <c r="B21" t="s">
        <v>9</v>
      </c>
      <c r="C21" s="103">
        <v>1</v>
      </c>
      <c r="D21" s="103">
        <v>1</v>
      </c>
      <c r="E21" s="218"/>
      <c r="F21" s="218"/>
      <c r="G21">
        <v>4</v>
      </c>
    </row>
    <row r="22" spans="2:7" ht="58.5" customHeight="1" x14ac:dyDescent="0.25">
      <c r="B22" s="216" t="s">
        <v>112</v>
      </c>
      <c r="C22" s="215"/>
      <c r="D22" s="215"/>
    </row>
    <row r="23" spans="2:7" x14ac:dyDescent="0.25">
      <c r="B23" t="s">
        <v>116</v>
      </c>
      <c r="C23" s="103">
        <v>0</v>
      </c>
      <c r="E23" t="s">
        <v>117</v>
      </c>
    </row>
    <row r="24" spans="2:7" x14ac:dyDescent="0.25">
      <c r="B24" t="s">
        <v>113</v>
      </c>
      <c r="C24" s="103">
        <f>1/3</f>
        <v>0.33333333333333331</v>
      </c>
    </row>
    <row r="25" spans="2:7" x14ac:dyDescent="0.25">
      <c r="B25" t="s">
        <v>114</v>
      </c>
      <c r="C25" s="103">
        <f>2/3</f>
        <v>0.66666666666666663</v>
      </c>
      <c r="E25" t="str">
        <f>CONCATENATE(TEXT(C25*20,"@"),"/20")</f>
        <v>13,33333333/20</v>
      </c>
    </row>
    <row r="26" spans="2:7" x14ac:dyDescent="0.25">
      <c r="B26" t="s">
        <v>115</v>
      </c>
      <c r="C26" s="103">
        <f>1</f>
        <v>1</v>
      </c>
    </row>
  </sheetData>
  <mergeCells count="4">
    <mergeCell ref="B1:D1"/>
    <mergeCell ref="B22:D22"/>
    <mergeCell ref="E18:F19"/>
    <mergeCell ref="E20:F21"/>
  </mergeCell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9"/>
  <sheetViews>
    <sheetView workbookViewId="0">
      <selection activeCell="B1" sqref="B1"/>
    </sheetView>
  </sheetViews>
  <sheetFormatPr baseColWidth="10" defaultRowHeight="15" x14ac:dyDescent="0.25"/>
  <cols>
    <col min="1" max="1" width="96.140625" style="28" bestFit="1" customWidth="1"/>
    <col min="2" max="2" width="16.7109375" customWidth="1"/>
    <col min="3" max="3" width="11.85546875" customWidth="1"/>
    <col min="4" max="4" width="9.42578125" customWidth="1"/>
    <col min="5" max="5" width="14.140625" customWidth="1"/>
    <col min="6" max="6" width="16.140625" customWidth="1"/>
    <col min="7" max="7" width="11.85546875" customWidth="1"/>
    <col min="8" max="11" width="8.28515625" customWidth="1"/>
  </cols>
  <sheetData>
    <row r="1" spans="1:11" ht="26.25" x14ac:dyDescent="0.4">
      <c r="A1" s="45" t="s">
        <v>77</v>
      </c>
      <c r="B1" t="s">
        <v>156</v>
      </c>
    </row>
    <row r="2" spans="1:11" ht="48.75" customHeight="1" x14ac:dyDescent="0.25">
      <c r="A2" s="28">
        <v>2</v>
      </c>
      <c r="B2" s="27" t="s">
        <v>54</v>
      </c>
      <c r="C2" s="27" t="s">
        <v>53</v>
      </c>
      <c r="D2" s="27" t="s">
        <v>55</v>
      </c>
      <c r="E2" s="27" t="s">
        <v>57</v>
      </c>
      <c r="F2" s="27" t="s">
        <v>18</v>
      </c>
      <c r="G2" s="27" t="s">
        <v>60</v>
      </c>
      <c r="H2" s="27" t="s">
        <v>58</v>
      </c>
      <c r="I2" s="27" t="s">
        <v>59</v>
      </c>
      <c r="J2" s="27" t="s">
        <v>61</v>
      </c>
      <c r="K2" s="27" t="s">
        <v>62</v>
      </c>
    </row>
    <row r="3" spans="1:11" ht="21" x14ac:dyDescent="0.25">
      <c r="A3" s="29" t="s">
        <v>46</v>
      </c>
      <c r="B3">
        <f t="shared" ref="B3:B14" si="0">VLOOKUP(A3,PLAGE_BAREME,$A$2,0)</f>
        <v>0.4</v>
      </c>
      <c r="C3" t="b">
        <f>AND(C6,C7)</f>
        <v>1</v>
      </c>
      <c r="D3">
        <f>IF(NOT(C3),B3,0)</f>
        <v>0</v>
      </c>
      <c r="E3" t="b">
        <f>IF(EST_EVALUE_ANNEE_1,D3/SUM($D$3:$D$5))</f>
        <v>0</v>
      </c>
      <c r="H3">
        <f>20*E3</f>
        <v>0</v>
      </c>
    </row>
    <row r="4" spans="1:11" ht="21" x14ac:dyDescent="0.25">
      <c r="A4" s="31" t="s">
        <v>47</v>
      </c>
      <c r="B4">
        <f t="shared" si="0"/>
        <v>0.3</v>
      </c>
      <c r="C4" t="b">
        <f>AND(C8,C9,C10,C11)</f>
        <v>1</v>
      </c>
      <c r="D4">
        <f t="shared" ref="D4:D14" si="1">IF(NOT(C4),B4,0)</f>
        <v>0</v>
      </c>
      <c r="E4" t="b">
        <f>IF(EST_EVALUE_ANNEE_1,D4/SUM($D$3:$D$5))</f>
        <v>0</v>
      </c>
      <c r="H4">
        <f t="shared" ref="H4:H5" si="2">20*E4</f>
        <v>0</v>
      </c>
    </row>
    <row r="5" spans="1:11" ht="21" x14ac:dyDescent="0.25">
      <c r="A5" s="33" t="s">
        <v>48</v>
      </c>
      <c r="B5">
        <f t="shared" si="0"/>
        <v>0.29999999999999993</v>
      </c>
      <c r="C5" t="b">
        <f>AND(C12,C13,C14)</f>
        <v>1</v>
      </c>
      <c r="D5">
        <f t="shared" si="1"/>
        <v>0</v>
      </c>
      <c r="E5" t="b">
        <f>IF(EST_EVALUE_ANNEE_1,D5/SUM($D$3:$D$5))</f>
        <v>0</v>
      </c>
      <c r="H5">
        <f t="shared" si="2"/>
        <v>0</v>
      </c>
    </row>
    <row r="6" spans="1:11" ht="15.75" x14ac:dyDescent="0.25">
      <c r="A6" s="30" t="s">
        <v>10</v>
      </c>
      <c r="B6">
        <f t="shared" si="0"/>
        <v>0.5</v>
      </c>
      <c r="C6" t="b">
        <f t="shared" ref="C6:C14" si="3">IF(VLOOKUP(A6,PLAGE_POSITIONNEMENT_1,2,0)="Non évalué",TRUE,FALSE)</f>
        <v>1</v>
      </c>
      <c r="D6">
        <f t="shared" si="1"/>
        <v>0</v>
      </c>
      <c r="E6">
        <f>IF(C3,0,D6/SUM($D$6:$D$7))</f>
        <v>0</v>
      </c>
      <c r="F6" t="str">
        <f t="shared" ref="F6:F14" si="4">IF(C6,"",VLOOKUP(A6,PLAGE_POSITIONNEMENT_1,2,0))</f>
        <v/>
      </c>
      <c r="G6">
        <f t="shared" ref="G6:G14" si="5">IF(C6,,VLOOKUP(F6,PLAGE_BAREME,2,0))</f>
        <v>0</v>
      </c>
      <c r="I6">
        <f>G6*E6*$H$3</f>
        <v>0</v>
      </c>
      <c r="J6" t="str">
        <f>IF(C6,"",ROUNDUP(I6,1))</f>
        <v/>
      </c>
      <c r="K6">
        <f>IF(C6,0,VLOOKUP(F6,CODAGE,2,0))</f>
        <v>0</v>
      </c>
    </row>
    <row r="7" spans="1:11" ht="15.75" x14ac:dyDescent="0.25">
      <c r="A7" s="30" t="s">
        <v>42</v>
      </c>
      <c r="B7">
        <f t="shared" si="0"/>
        <v>0.5</v>
      </c>
      <c r="C7" t="b">
        <f t="shared" si="3"/>
        <v>1</v>
      </c>
      <c r="D7">
        <f t="shared" si="1"/>
        <v>0</v>
      </c>
      <c r="E7">
        <f>IF($C$3,0,D7/SUM($D$6:$D$7))</f>
        <v>0</v>
      </c>
      <c r="F7" t="str">
        <f t="shared" si="4"/>
        <v/>
      </c>
      <c r="G7">
        <f t="shared" si="5"/>
        <v>0</v>
      </c>
      <c r="I7">
        <f>G7*E7*$H$3</f>
        <v>0</v>
      </c>
      <c r="J7" t="str">
        <f t="shared" ref="J7:J14" si="6">IF(C7,"",ROUNDUP(I7,1))</f>
        <v/>
      </c>
      <c r="K7">
        <f t="shared" ref="K7:K14" si="7">IF(C7,0,VLOOKUP(F7,CODAGE,2,0))</f>
        <v>0</v>
      </c>
    </row>
    <row r="8" spans="1:11" ht="15.75" x14ac:dyDescent="0.25">
      <c r="A8" s="32" t="s">
        <v>0</v>
      </c>
      <c r="B8">
        <f t="shared" si="0"/>
        <v>0.25</v>
      </c>
      <c r="C8" t="b">
        <f t="shared" si="3"/>
        <v>1</v>
      </c>
      <c r="D8">
        <f t="shared" si="1"/>
        <v>0</v>
      </c>
      <c r="E8">
        <f>IF($C$4,0,D8/SUM($D$8:$D$11))</f>
        <v>0</v>
      </c>
      <c r="F8" t="str">
        <f t="shared" si="4"/>
        <v/>
      </c>
      <c r="G8">
        <f t="shared" si="5"/>
        <v>0</v>
      </c>
      <c r="I8">
        <f>G8*E8*$H$4</f>
        <v>0</v>
      </c>
      <c r="J8" t="str">
        <f t="shared" si="6"/>
        <v/>
      </c>
      <c r="K8">
        <f t="shared" si="7"/>
        <v>0</v>
      </c>
    </row>
    <row r="9" spans="1:11" ht="15.75" x14ac:dyDescent="0.25">
      <c r="A9" s="32" t="s">
        <v>1</v>
      </c>
      <c r="B9">
        <f t="shared" si="0"/>
        <v>0.25</v>
      </c>
      <c r="C9" t="b">
        <f t="shared" si="3"/>
        <v>1</v>
      </c>
      <c r="D9">
        <f t="shared" si="1"/>
        <v>0</v>
      </c>
      <c r="E9">
        <f t="shared" ref="E9:E11" si="8">IF($C$4,0,D9/SUM($D$8:$D$11))</f>
        <v>0</v>
      </c>
      <c r="F9" t="str">
        <f t="shared" si="4"/>
        <v/>
      </c>
      <c r="G9">
        <f t="shared" si="5"/>
        <v>0</v>
      </c>
      <c r="I9">
        <f>G9*E9*$H$4</f>
        <v>0</v>
      </c>
      <c r="J9" t="str">
        <f t="shared" si="6"/>
        <v/>
      </c>
      <c r="K9">
        <f t="shared" si="7"/>
        <v>0</v>
      </c>
    </row>
    <row r="10" spans="1:11" ht="15.75" x14ac:dyDescent="0.25">
      <c r="A10" s="32" t="s">
        <v>2</v>
      </c>
      <c r="B10">
        <f t="shared" si="0"/>
        <v>0.25</v>
      </c>
      <c r="C10" t="b">
        <f t="shared" si="3"/>
        <v>1</v>
      </c>
      <c r="D10">
        <f t="shared" si="1"/>
        <v>0</v>
      </c>
      <c r="E10">
        <f t="shared" si="8"/>
        <v>0</v>
      </c>
      <c r="F10" t="str">
        <f t="shared" si="4"/>
        <v/>
      </c>
      <c r="G10">
        <f t="shared" si="5"/>
        <v>0</v>
      </c>
      <c r="I10">
        <f>G10*E10*$H$4</f>
        <v>0</v>
      </c>
      <c r="J10" t="str">
        <f t="shared" si="6"/>
        <v/>
      </c>
      <c r="K10">
        <f t="shared" si="7"/>
        <v>0</v>
      </c>
    </row>
    <row r="11" spans="1:11" ht="15.75" x14ac:dyDescent="0.25">
      <c r="A11" s="32" t="s">
        <v>11</v>
      </c>
      <c r="B11">
        <f t="shared" si="0"/>
        <v>0.25</v>
      </c>
      <c r="C11" t="b">
        <f t="shared" si="3"/>
        <v>1</v>
      </c>
      <c r="D11">
        <f t="shared" si="1"/>
        <v>0</v>
      </c>
      <c r="E11">
        <f t="shared" si="8"/>
        <v>0</v>
      </c>
      <c r="F11" t="str">
        <f t="shared" si="4"/>
        <v/>
      </c>
      <c r="G11">
        <f t="shared" si="5"/>
        <v>0</v>
      </c>
      <c r="I11">
        <f>G11*E11*$H$4</f>
        <v>0</v>
      </c>
      <c r="J11" t="str">
        <f t="shared" si="6"/>
        <v/>
      </c>
      <c r="K11">
        <f t="shared" si="7"/>
        <v>0</v>
      </c>
    </row>
    <row r="12" spans="1:11" ht="15.75" x14ac:dyDescent="0.25">
      <c r="A12" s="34" t="s">
        <v>12</v>
      </c>
      <c r="B12">
        <f t="shared" si="0"/>
        <v>0.33</v>
      </c>
      <c r="C12" t="b">
        <f t="shared" si="3"/>
        <v>1</v>
      </c>
      <c r="D12">
        <f t="shared" si="1"/>
        <v>0</v>
      </c>
      <c r="E12">
        <f>IF($C$5,0,D12/SUM($D$12:$D$14))</f>
        <v>0</v>
      </c>
      <c r="F12" t="str">
        <f t="shared" si="4"/>
        <v/>
      </c>
      <c r="G12">
        <f t="shared" si="5"/>
        <v>0</v>
      </c>
      <c r="I12">
        <f>G12*E12*$H$5</f>
        <v>0</v>
      </c>
      <c r="J12" t="str">
        <f t="shared" si="6"/>
        <v/>
      </c>
      <c r="K12">
        <f t="shared" si="7"/>
        <v>0</v>
      </c>
    </row>
    <row r="13" spans="1:11" ht="15.75" x14ac:dyDescent="0.25">
      <c r="A13" s="34" t="s">
        <v>3</v>
      </c>
      <c r="B13">
        <f t="shared" si="0"/>
        <v>0.33</v>
      </c>
      <c r="C13" t="b">
        <f t="shared" si="3"/>
        <v>1</v>
      </c>
      <c r="D13">
        <f t="shared" si="1"/>
        <v>0</v>
      </c>
      <c r="E13">
        <f t="shared" ref="E13:E14" si="9">IF($C$5,0,D13/SUM($D$12:$D$14))</f>
        <v>0</v>
      </c>
      <c r="F13" t="str">
        <f t="shared" si="4"/>
        <v/>
      </c>
      <c r="G13">
        <f t="shared" si="5"/>
        <v>0</v>
      </c>
      <c r="I13">
        <f>G13*E13*$H$5</f>
        <v>0</v>
      </c>
      <c r="J13" t="str">
        <f t="shared" si="6"/>
        <v/>
      </c>
      <c r="K13">
        <f t="shared" si="7"/>
        <v>0</v>
      </c>
    </row>
    <row r="14" spans="1:11" ht="15.75" x14ac:dyDescent="0.25">
      <c r="A14" s="34" t="s">
        <v>4</v>
      </c>
      <c r="B14">
        <f t="shared" si="0"/>
        <v>0.33999999999999997</v>
      </c>
      <c r="C14" t="b">
        <f t="shared" si="3"/>
        <v>1</v>
      </c>
      <c r="D14">
        <f t="shared" si="1"/>
        <v>0</v>
      </c>
      <c r="E14">
        <f t="shared" si="9"/>
        <v>0</v>
      </c>
      <c r="F14" t="str">
        <f t="shared" si="4"/>
        <v/>
      </c>
      <c r="G14">
        <f t="shared" si="5"/>
        <v>0</v>
      </c>
      <c r="I14">
        <f>G14*E14*$H$5</f>
        <v>0</v>
      </c>
      <c r="J14" t="str">
        <f t="shared" si="6"/>
        <v/>
      </c>
      <c r="K14">
        <f t="shared" si="7"/>
        <v>0</v>
      </c>
    </row>
    <row r="16" spans="1:11" x14ac:dyDescent="0.25">
      <c r="A16" s="36" t="s">
        <v>56</v>
      </c>
    </row>
    <row r="17" spans="1:11" x14ac:dyDescent="0.25">
      <c r="A17" s="35" t="b">
        <f>NOT(AND(C6,C7,C8,C9,C10,C11,C12,C13,C14))</f>
        <v>0</v>
      </c>
    </row>
    <row r="18" spans="1:11" s="46" customFormat="1" ht="26.25" x14ac:dyDescent="0.4">
      <c r="A18" s="45" t="s">
        <v>78</v>
      </c>
    </row>
    <row r="19" spans="1:11" ht="34.5" customHeight="1" x14ac:dyDescent="0.25">
      <c r="A19" s="28">
        <v>3</v>
      </c>
      <c r="B19" s="27" t="s">
        <v>54</v>
      </c>
      <c r="C19" s="27" t="s">
        <v>53</v>
      </c>
      <c r="D19" s="27" t="s">
        <v>55</v>
      </c>
      <c r="E19" s="27" t="s">
        <v>57</v>
      </c>
      <c r="F19" s="27" t="s">
        <v>18</v>
      </c>
      <c r="G19" s="27" t="s">
        <v>60</v>
      </c>
      <c r="H19" s="27" t="s">
        <v>58</v>
      </c>
      <c r="I19" s="27" t="s">
        <v>59</v>
      </c>
      <c r="J19" s="27" t="s">
        <v>61</v>
      </c>
      <c r="K19" s="27" t="s">
        <v>62</v>
      </c>
    </row>
    <row r="20" spans="1:11" ht="21" x14ac:dyDescent="0.25">
      <c r="A20" s="29" t="s">
        <v>46</v>
      </c>
      <c r="B20">
        <f t="shared" ref="B20:B31" si="10">VLOOKUP(A20,PLAGE_BAREME,$A$19,0)</f>
        <v>0.4</v>
      </c>
      <c r="C20" t="b">
        <f>AND(C23,C24)</f>
        <v>0</v>
      </c>
      <c r="D20">
        <f>IF(NOT(C20),B20,0)</f>
        <v>0.4</v>
      </c>
      <c r="E20">
        <f>IF(EST_EVALUE_ANNEE_2,D20/SUM($D$20:$D$22))</f>
        <v>0.40000000000000008</v>
      </c>
      <c r="H20">
        <f>20*E20</f>
        <v>8.0000000000000018</v>
      </c>
    </row>
    <row r="21" spans="1:11" ht="21" x14ac:dyDescent="0.25">
      <c r="A21" s="31" t="s">
        <v>47</v>
      </c>
      <c r="B21">
        <f t="shared" si="10"/>
        <v>0.3</v>
      </c>
      <c r="C21" t="b">
        <f>AND(C25,C26,C27,C28)</f>
        <v>0</v>
      </c>
      <c r="D21">
        <f t="shared" ref="D21:D31" si="11">IF(NOT(C21),B21,0)</f>
        <v>0.3</v>
      </c>
      <c r="E21">
        <f>IF(EST_EVALUE_ANNEE_2,D21/SUM($D$20:$D$22))</f>
        <v>0.30000000000000004</v>
      </c>
      <c r="H21">
        <f t="shared" ref="H21:H22" si="12">20*E21</f>
        <v>6.0000000000000009</v>
      </c>
    </row>
    <row r="22" spans="1:11" ht="21" x14ac:dyDescent="0.25">
      <c r="A22" s="33" t="s">
        <v>48</v>
      </c>
      <c r="B22">
        <f t="shared" si="10"/>
        <v>0.29999999999999993</v>
      </c>
      <c r="C22" t="b">
        <f>AND(C29,C30,C31)</f>
        <v>0</v>
      </c>
      <c r="D22">
        <f t="shared" si="11"/>
        <v>0.29999999999999993</v>
      </c>
      <c r="E22">
        <f>IF(EST_EVALUE_ANNEE_2,D22/SUM($D$20:$D$22))</f>
        <v>0.3</v>
      </c>
      <c r="H22">
        <f t="shared" si="12"/>
        <v>6</v>
      </c>
    </row>
    <row r="23" spans="1:11" ht="15.75" x14ac:dyDescent="0.25">
      <c r="A23" s="30" t="s">
        <v>10</v>
      </c>
      <c r="B23">
        <f t="shared" si="10"/>
        <v>0.5</v>
      </c>
      <c r="C23" t="b">
        <f t="shared" ref="C23:C31" si="13">IF(VLOOKUP(A23,PLAGE_POSITIONNEMENT_2,2,0)="Non évalué",TRUE,FALSE)</f>
        <v>0</v>
      </c>
      <c r="D23">
        <f t="shared" si="11"/>
        <v>0.5</v>
      </c>
      <c r="E23">
        <f>IF(C20,0,D23/SUM(D23:D24))</f>
        <v>0.5</v>
      </c>
      <c r="F23" t="str">
        <f t="shared" ref="F23:F31" si="14">IF(C23,"",VLOOKUP(A23,PLAGE_POSITIONNEMENT_2,2,0))</f>
        <v>3 - Entre dans l'autonomie</v>
      </c>
      <c r="G23">
        <f t="shared" ref="G23:G31" si="15">IF(C23,,VLOOKUP(F23,PLAGE_BAREME,3,0))</f>
        <v>0.75</v>
      </c>
      <c r="I23">
        <f>G23*E23*H20</f>
        <v>3.0000000000000009</v>
      </c>
      <c r="J23">
        <f>IF(C23,"",ROUNDUP(I23,1))</f>
        <v>3</v>
      </c>
      <c r="K23">
        <f t="shared" ref="K23:K31" si="16">IF(C23,0,VLOOKUP(F23,CODAGE,2,0))</f>
        <v>3</v>
      </c>
    </row>
    <row r="24" spans="1:11" ht="15.75" x14ac:dyDescent="0.25">
      <c r="A24" s="30" t="s">
        <v>42</v>
      </c>
      <c r="B24">
        <f t="shared" si="10"/>
        <v>0.5</v>
      </c>
      <c r="C24" t="b">
        <f t="shared" si="13"/>
        <v>0</v>
      </c>
      <c r="D24">
        <f t="shared" si="11"/>
        <v>0.5</v>
      </c>
      <c r="E24">
        <f>IF(C20,0,D24/SUM(D23:D24))</f>
        <v>0.5</v>
      </c>
      <c r="F24" t="str">
        <f t="shared" si="14"/>
        <v>4 - Maîtrise</v>
      </c>
      <c r="G24">
        <f t="shared" si="15"/>
        <v>1</v>
      </c>
      <c r="I24">
        <f>G24*E24*H20</f>
        <v>4.0000000000000009</v>
      </c>
      <c r="J24">
        <f t="shared" ref="J24:J31" si="17">IF(C24,"",ROUNDUP(I24,1))</f>
        <v>4</v>
      </c>
      <c r="K24">
        <f t="shared" si="16"/>
        <v>4</v>
      </c>
    </row>
    <row r="25" spans="1:11" ht="15.75" x14ac:dyDescent="0.25">
      <c r="A25" s="32" t="s">
        <v>0</v>
      </c>
      <c r="B25">
        <f t="shared" si="10"/>
        <v>0.25</v>
      </c>
      <c r="C25" t="b">
        <f t="shared" si="13"/>
        <v>0</v>
      </c>
      <c r="D25">
        <f t="shared" si="11"/>
        <v>0.25</v>
      </c>
      <c r="E25">
        <f>IF(C21,0,D25/SUM(D25:D28))</f>
        <v>0.25</v>
      </c>
      <c r="F25" t="str">
        <f t="shared" si="14"/>
        <v>3 - Entre dans l'autonomie</v>
      </c>
      <c r="G25">
        <f t="shared" si="15"/>
        <v>0.75</v>
      </c>
      <c r="I25">
        <f>G25*E25*H21</f>
        <v>1.1250000000000002</v>
      </c>
      <c r="J25">
        <f t="shared" si="17"/>
        <v>1.2000000000000002</v>
      </c>
      <c r="K25">
        <f t="shared" si="16"/>
        <v>3</v>
      </c>
    </row>
    <row r="26" spans="1:11" ht="15.75" x14ac:dyDescent="0.25">
      <c r="A26" s="32" t="s">
        <v>1</v>
      </c>
      <c r="B26">
        <f t="shared" si="10"/>
        <v>0.25</v>
      </c>
      <c r="C26" t="b">
        <f t="shared" si="13"/>
        <v>0</v>
      </c>
      <c r="D26">
        <f t="shared" si="11"/>
        <v>0.25</v>
      </c>
      <c r="E26">
        <f>IF(C21,0,D26/SUM(D25:D28))</f>
        <v>0.25</v>
      </c>
      <c r="F26" t="str">
        <f t="shared" si="14"/>
        <v>4 - Maîtrise</v>
      </c>
      <c r="G26">
        <f t="shared" si="15"/>
        <v>1</v>
      </c>
      <c r="I26">
        <f>G26*E26*H21</f>
        <v>1.5000000000000002</v>
      </c>
      <c r="J26">
        <f t="shared" si="17"/>
        <v>1.5</v>
      </c>
      <c r="K26">
        <f t="shared" si="16"/>
        <v>4</v>
      </c>
    </row>
    <row r="27" spans="1:11" ht="15.75" x14ac:dyDescent="0.25">
      <c r="A27" s="32" t="s">
        <v>2</v>
      </c>
      <c r="B27">
        <f t="shared" si="10"/>
        <v>0.25</v>
      </c>
      <c r="C27" t="b">
        <f t="shared" si="13"/>
        <v>0</v>
      </c>
      <c r="D27">
        <f t="shared" si="11"/>
        <v>0.25</v>
      </c>
      <c r="E27">
        <f>IF(C21,0,D27/SUM(D25:D28))</f>
        <v>0.25</v>
      </c>
      <c r="F27" t="str">
        <f t="shared" si="14"/>
        <v>4 - Maîtrise</v>
      </c>
      <c r="G27">
        <f t="shared" si="15"/>
        <v>1</v>
      </c>
      <c r="I27">
        <f>G27*E27*H21</f>
        <v>1.5000000000000002</v>
      </c>
      <c r="J27">
        <f t="shared" si="17"/>
        <v>1.5</v>
      </c>
      <c r="K27">
        <f t="shared" si="16"/>
        <v>4</v>
      </c>
    </row>
    <row r="28" spans="1:11" ht="15.75" x14ac:dyDescent="0.25">
      <c r="A28" s="32" t="s">
        <v>11</v>
      </c>
      <c r="B28">
        <f t="shared" si="10"/>
        <v>0.25</v>
      </c>
      <c r="C28" t="b">
        <f t="shared" si="13"/>
        <v>0</v>
      </c>
      <c r="D28">
        <f t="shared" si="11"/>
        <v>0.25</v>
      </c>
      <c r="E28">
        <f>IF(C21,0,D28/SUM(D25:D28))</f>
        <v>0.25</v>
      </c>
      <c r="F28" t="str">
        <f t="shared" si="14"/>
        <v>4 - Maîtrise</v>
      </c>
      <c r="G28">
        <f t="shared" si="15"/>
        <v>1</v>
      </c>
      <c r="I28">
        <f>G28*E28*H21</f>
        <v>1.5000000000000002</v>
      </c>
      <c r="J28">
        <f t="shared" si="17"/>
        <v>1.5</v>
      </c>
      <c r="K28">
        <f t="shared" si="16"/>
        <v>4</v>
      </c>
    </row>
    <row r="29" spans="1:11" ht="15.75" x14ac:dyDescent="0.25">
      <c r="A29" s="34" t="s">
        <v>12</v>
      </c>
      <c r="B29">
        <f t="shared" si="10"/>
        <v>0.33</v>
      </c>
      <c r="C29" t="b">
        <f t="shared" si="13"/>
        <v>0</v>
      </c>
      <c r="D29">
        <f t="shared" si="11"/>
        <v>0.33</v>
      </c>
      <c r="E29">
        <f>IF(C22,0,D29/SUM(D29:D31))</f>
        <v>0.33</v>
      </c>
      <c r="F29" t="str">
        <f t="shared" si="14"/>
        <v>4 - Maîtrise</v>
      </c>
      <c r="G29">
        <f t="shared" si="15"/>
        <v>1</v>
      </c>
      <c r="I29">
        <f>G29*E29*H22</f>
        <v>1.98</v>
      </c>
      <c r="J29">
        <f t="shared" si="17"/>
        <v>2</v>
      </c>
      <c r="K29">
        <f t="shared" si="16"/>
        <v>4</v>
      </c>
    </row>
    <row r="30" spans="1:11" ht="15.75" x14ac:dyDescent="0.25">
      <c r="A30" s="34" t="s">
        <v>3</v>
      </c>
      <c r="B30">
        <f t="shared" si="10"/>
        <v>0.33</v>
      </c>
      <c r="C30" t="b">
        <f t="shared" si="13"/>
        <v>0</v>
      </c>
      <c r="D30">
        <f t="shared" si="11"/>
        <v>0.33</v>
      </c>
      <c r="E30">
        <f>IF(C22,0,D30/SUM(D29:D31))</f>
        <v>0.33</v>
      </c>
      <c r="F30" t="str">
        <f t="shared" si="14"/>
        <v>4 - Maîtrise</v>
      </c>
      <c r="G30">
        <f t="shared" si="15"/>
        <v>1</v>
      </c>
      <c r="I30">
        <f>G30*E30*H22</f>
        <v>1.98</v>
      </c>
      <c r="J30">
        <f t="shared" si="17"/>
        <v>2</v>
      </c>
      <c r="K30">
        <f t="shared" si="16"/>
        <v>4</v>
      </c>
    </row>
    <row r="31" spans="1:11" ht="15.75" x14ac:dyDescent="0.25">
      <c r="A31" s="34" t="s">
        <v>4</v>
      </c>
      <c r="B31">
        <f t="shared" si="10"/>
        <v>0.33999999999999997</v>
      </c>
      <c r="C31" t="b">
        <f t="shared" si="13"/>
        <v>0</v>
      </c>
      <c r="D31">
        <f t="shared" si="11"/>
        <v>0.33999999999999997</v>
      </c>
      <c r="E31">
        <f>IF(C22,0,D31/SUM(D29:D31))</f>
        <v>0.33999999999999997</v>
      </c>
      <c r="F31" t="str">
        <f t="shared" si="14"/>
        <v>4 - Maîtrise</v>
      </c>
      <c r="G31">
        <f t="shared" si="15"/>
        <v>1</v>
      </c>
      <c r="I31">
        <f>G31*E31*H22</f>
        <v>2.04</v>
      </c>
      <c r="J31">
        <f t="shared" si="17"/>
        <v>2.1</v>
      </c>
      <c r="K31">
        <f t="shared" si="16"/>
        <v>4</v>
      </c>
    </row>
    <row r="33" spans="1:7" x14ac:dyDescent="0.25">
      <c r="A33" s="36" t="s">
        <v>56</v>
      </c>
    </row>
    <row r="34" spans="1:7" x14ac:dyDescent="0.25">
      <c r="A34" s="35" t="b">
        <f>NOT(AND(C23,C24,C25,C26,C27,C28,C29,C30,C31))</f>
        <v>1</v>
      </c>
    </row>
    <row r="35" spans="1:7" ht="26.25" x14ac:dyDescent="0.4">
      <c r="A35" s="45" t="s">
        <v>108</v>
      </c>
    </row>
    <row r="36" spans="1:7" x14ac:dyDescent="0.25">
      <c r="A36" s="87" t="s">
        <v>127</v>
      </c>
      <c r="B36" s="88">
        <f>Réglages!C23</f>
        <v>0</v>
      </c>
      <c r="C36" s="88">
        <f>Réglages!C24</f>
        <v>0.33333333333333331</v>
      </c>
      <c r="D36" s="88">
        <f>Réglages!C25</f>
        <v>0.66666666666666663</v>
      </c>
      <c r="E36" s="88">
        <f>Réglages!C26</f>
        <v>1</v>
      </c>
    </row>
    <row r="37" spans="1:7" x14ac:dyDescent="0.25">
      <c r="A37" t="s">
        <v>109</v>
      </c>
      <c r="B37">
        <f>IF(ISBLANK(Oral!G20),0,B$36)</f>
        <v>0</v>
      </c>
      <c r="C37">
        <f>IF(ISBLANK(Oral!H20),0,C$36)</f>
        <v>0</v>
      </c>
      <c r="D37">
        <f>IF(ISBLANK(Oral!I20),0,D$36)</f>
        <v>0.66666666666666663</v>
      </c>
      <c r="E37">
        <f>IF(ISBLANK(Oral!J20),0,E$36)</f>
        <v>0</v>
      </c>
    </row>
    <row r="38" spans="1:7" x14ac:dyDescent="0.25">
      <c r="A38" t="s">
        <v>141</v>
      </c>
      <c r="B38">
        <f>IF(ISBLANK(Oral!G21),0,B$36)</f>
        <v>0</v>
      </c>
      <c r="C38">
        <f>IF(ISBLANK(Oral!H21),0,C$36)</f>
        <v>0</v>
      </c>
      <c r="D38">
        <f>IF(ISBLANK(Oral!I21),0,D$36)</f>
        <v>0.66666666666666663</v>
      </c>
      <c r="E38">
        <f>IF(ISBLANK(Oral!J21),0,E$36)</f>
        <v>0</v>
      </c>
    </row>
    <row r="39" spans="1:7" x14ac:dyDescent="0.25">
      <c r="A39" t="s">
        <v>129</v>
      </c>
      <c r="B39">
        <f>IF(ISBLANK(Oral!G22),0,B$36)</f>
        <v>0</v>
      </c>
      <c r="C39">
        <f>IF(ISBLANK(Oral!H22),0,C$36)</f>
        <v>0</v>
      </c>
      <c r="D39">
        <f>IF(ISBLANK(Oral!I22),0,D$36)</f>
        <v>0.66666666666666663</v>
      </c>
      <c r="E39">
        <f>IF(ISBLANK(Oral!J22),0,E$36)</f>
        <v>0</v>
      </c>
    </row>
    <row r="40" spans="1:7" x14ac:dyDescent="0.25">
      <c r="A40" t="s">
        <v>130</v>
      </c>
      <c r="B40">
        <f>IF(ISBLANK(Oral!G23),0,B$36)</f>
        <v>0</v>
      </c>
      <c r="C40">
        <f>IF(ISBLANK(Oral!H23),0,C$36)</f>
        <v>0</v>
      </c>
      <c r="D40">
        <f>IF(ISBLANK(Oral!I23),0,D$36)</f>
        <v>0.66666666666666663</v>
      </c>
      <c r="E40">
        <f>IF(ISBLANK(Oral!J23),0,E$36)</f>
        <v>0</v>
      </c>
    </row>
    <row r="41" spans="1:7" x14ac:dyDescent="0.25">
      <c r="A41" s="87" t="s">
        <v>131</v>
      </c>
      <c r="B41" s="54"/>
      <c r="C41" s="54"/>
      <c r="D41" s="54"/>
      <c r="E41" s="54"/>
    </row>
    <row r="42" spans="1:7" x14ac:dyDescent="0.25">
      <c r="A42" t="s">
        <v>94</v>
      </c>
      <c r="B42">
        <f>IF(ISBLANK(Oral!G25),0,B$36)</f>
        <v>0</v>
      </c>
      <c r="C42">
        <f>IF(ISBLANK(Oral!H25),0,C$36)</f>
        <v>0</v>
      </c>
      <c r="D42">
        <f>IF(ISBLANK(Oral!I25),0,D$36)</f>
        <v>0</v>
      </c>
      <c r="E42">
        <f>IF(ISBLANK(Oral!J25),0,E$36)</f>
        <v>1</v>
      </c>
    </row>
    <row r="43" spans="1:7" x14ac:dyDescent="0.25">
      <c r="A43" t="s">
        <v>92</v>
      </c>
      <c r="B43">
        <f>IF(ISBLANK(Oral!G26),0,B$36)</f>
        <v>0</v>
      </c>
      <c r="C43">
        <f>IF(ISBLANK(Oral!H26),0,C$36)</f>
        <v>0</v>
      </c>
      <c r="D43">
        <f>IF(ISBLANK(Oral!I26),0,D$36)</f>
        <v>0.66666666666666663</v>
      </c>
      <c r="E43">
        <f>IF(ISBLANK(Oral!J26),0,E$36)</f>
        <v>0</v>
      </c>
    </row>
    <row r="44" spans="1:7" x14ac:dyDescent="0.25">
      <c r="A44" s="87" t="s">
        <v>82</v>
      </c>
      <c r="B44" s="54"/>
      <c r="C44" s="54"/>
      <c r="D44" s="54"/>
      <c r="E44" s="54"/>
    </row>
    <row r="45" spans="1:7" x14ac:dyDescent="0.25">
      <c r="A45" t="s">
        <v>95</v>
      </c>
      <c r="B45">
        <f>IF(ISBLANK(Oral!G28),0,B$36)</f>
        <v>0</v>
      </c>
      <c r="C45">
        <f>IF(ISBLANK(Oral!H28),0,C$36)</f>
        <v>0</v>
      </c>
      <c r="D45">
        <f>IF(ISBLANK(Oral!I28),0,D$36)</f>
        <v>0.66666666666666663</v>
      </c>
      <c r="E45">
        <f>IF(ISBLANK(Oral!J28),0,E$36)</f>
        <v>0</v>
      </c>
      <c r="F45">
        <f>SUM(B37:E45)/7*10</f>
        <v>7.1428571428571432</v>
      </c>
      <c r="G45" s="80">
        <v>0.5</v>
      </c>
    </row>
    <row r="46" spans="1:7" x14ac:dyDescent="0.25">
      <c r="A46"/>
    </row>
    <row r="47" spans="1:7" x14ac:dyDescent="0.25">
      <c r="A47" s="87" t="s">
        <v>132</v>
      </c>
      <c r="B47" s="54"/>
      <c r="C47" s="54"/>
      <c r="D47" s="54"/>
      <c r="E47" s="54"/>
    </row>
    <row r="48" spans="1:7" x14ac:dyDescent="0.25">
      <c r="A48" t="s">
        <v>104</v>
      </c>
      <c r="B48">
        <f>IF(ISBLANK(Oral!G31),0,B$36)</f>
        <v>0</v>
      </c>
      <c r="C48">
        <f>IF(ISBLANK(Oral!H31),0,C$36)</f>
        <v>0</v>
      </c>
      <c r="D48">
        <f>IF(ISBLANK(Oral!I31),0,D$36)</f>
        <v>0</v>
      </c>
      <c r="E48">
        <f>IF(ISBLANK(Oral!J31),0,E$36)</f>
        <v>1</v>
      </c>
    </row>
    <row r="49" spans="1:7" x14ac:dyDescent="0.25">
      <c r="A49" t="s">
        <v>110</v>
      </c>
      <c r="B49">
        <f>IF(ISBLANK(Oral!G32),0,B$36)</f>
        <v>0</v>
      </c>
      <c r="C49">
        <f>IF(ISBLANK(Oral!H32),0,C$36)</f>
        <v>0</v>
      </c>
      <c r="D49">
        <f>IF(ISBLANK(Oral!I32),0,D$36)</f>
        <v>0.66666666666666663</v>
      </c>
      <c r="E49">
        <f>IF(ISBLANK(Oral!J32),0,E$36)</f>
        <v>0</v>
      </c>
    </row>
    <row r="50" spans="1:7" x14ac:dyDescent="0.25">
      <c r="A50" s="87" t="s">
        <v>133</v>
      </c>
      <c r="B50" s="54"/>
      <c r="C50" s="54"/>
      <c r="D50" s="54"/>
      <c r="E50" s="54"/>
    </row>
    <row r="51" spans="1:7" x14ac:dyDescent="0.25">
      <c r="A51" t="s">
        <v>134</v>
      </c>
      <c r="B51">
        <f>IF(ISBLANK(Oral!G34),0,B$36)</f>
        <v>0</v>
      </c>
      <c r="C51">
        <f>IF(ISBLANK(Oral!H34),0,C$36)</f>
        <v>0</v>
      </c>
      <c r="D51">
        <f>IF(ISBLANK(Oral!I34),0,D$36)</f>
        <v>0.66666666666666663</v>
      </c>
      <c r="E51">
        <f>IF(ISBLANK(Oral!J34),0,E$36)</f>
        <v>0</v>
      </c>
    </row>
    <row r="52" spans="1:7" x14ac:dyDescent="0.25">
      <c r="A52" s="87" t="s">
        <v>135</v>
      </c>
      <c r="B52" s="54"/>
      <c r="C52" s="54"/>
      <c r="D52" s="54"/>
      <c r="E52" s="54"/>
    </row>
    <row r="53" spans="1:7" x14ac:dyDescent="0.25">
      <c r="A53" t="s">
        <v>106</v>
      </c>
      <c r="B53">
        <f>IF(ISBLANK(Oral!G36),0,B$36)</f>
        <v>0</v>
      </c>
      <c r="C53">
        <f>IF(ISBLANK(Oral!H36),0,C$36)</f>
        <v>0</v>
      </c>
      <c r="D53">
        <f>IF(ISBLANK(Oral!I36),0,D$36)</f>
        <v>0</v>
      </c>
      <c r="E53">
        <f>IF(ISBLANK(Oral!J36),0,E$36)</f>
        <v>1</v>
      </c>
    </row>
    <row r="54" spans="1:7" x14ac:dyDescent="0.25">
      <c r="A54" s="87" t="s">
        <v>136</v>
      </c>
      <c r="B54" s="54"/>
      <c r="C54" s="54"/>
      <c r="D54" s="54"/>
      <c r="E54" s="54"/>
    </row>
    <row r="55" spans="1:7" x14ac:dyDescent="0.25">
      <c r="A55" t="s">
        <v>137</v>
      </c>
      <c r="B55">
        <f>IF(ISBLANK(Oral!G38),0,B$36)</f>
        <v>0</v>
      </c>
      <c r="C55">
        <f>IF(ISBLANK(Oral!H38),0,C$36)</f>
        <v>0</v>
      </c>
      <c r="D55">
        <f>IF(ISBLANK(Oral!I38),0,D$36)</f>
        <v>0.66666666666666663</v>
      </c>
      <c r="E55">
        <f>IF(ISBLANK(Oral!J38),0,E$36)</f>
        <v>0</v>
      </c>
    </row>
    <row r="56" spans="1:7" x14ac:dyDescent="0.25">
      <c r="A56" t="s">
        <v>138</v>
      </c>
      <c r="B56">
        <f>IF(ISBLANK(Oral!G39),0,B$36)</f>
        <v>0</v>
      </c>
      <c r="C56">
        <f>IF(ISBLANK(Oral!H39),0,C$36)</f>
        <v>0</v>
      </c>
      <c r="D56">
        <f>IF(ISBLANK(Oral!I39),0,D$36)</f>
        <v>0</v>
      </c>
      <c r="E56">
        <f>IF(ISBLANK(Oral!J39),0,E$36)</f>
        <v>1</v>
      </c>
      <c r="F56">
        <f>SUM(B48:E56)/6*10</f>
        <v>8.3333333333333339</v>
      </c>
      <c r="G56" s="80">
        <v>0.5</v>
      </c>
    </row>
    <row r="57" spans="1:7" x14ac:dyDescent="0.25">
      <c r="E57">
        <f>IF(COUNTIF(Oral!K20:K32,"Saisie incorrecte")&lt;&gt;0,"Saisie incorrecte",ROUNDUP(F45+F56,0))</f>
        <v>16</v>
      </c>
    </row>
    <row r="58" spans="1:7" ht="26.25" x14ac:dyDescent="0.4">
      <c r="A58" s="45" t="s">
        <v>118</v>
      </c>
      <c r="B58" s="28"/>
    </row>
    <row r="59" spans="1:7" x14ac:dyDescent="0.25">
      <c r="A59" s="28" t="str" cm="1">
        <f t="array" ref="A59">NOTE_1</f>
        <v>Non évalué</v>
      </c>
    </row>
    <row r="60" spans="1:7" x14ac:dyDescent="0.25">
      <c r="A60" s="28" cm="1">
        <f t="array" ref="A60">NOTE_2</f>
        <v>19</v>
      </c>
    </row>
    <row r="61" spans="1:7" x14ac:dyDescent="0.25">
      <c r="A61" s="28" t="s">
        <v>119</v>
      </c>
      <c r="B61">
        <f>2-COUNTIF(A59:A60,"Non évalué")</f>
        <v>1</v>
      </c>
    </row>
    <row r="62" spans="1:7" x14ac:dyDescent="0.25">
      <c r="A62" s="28" t="s">
        <v>120</v>
      </c>
      <c r="B62">
        <f>SUM(A59:A60)</f>
        <v>19</v>
      </c>
    </row>
    <row r="63" spans="1:7" x14ac:dyDescent="0.25">
      <c r="A63" s="28" t="s">
        <v>121</v>
      </c>
      <c r="B63">
        <f>IF(B61,B62/B61,"Non évalué")</f>
        <v>19</v>
      </c>
    </row>
    <row r="64" spans="1:7" ht="26.25" x14ac:dyDescent="0.4">
      <c r="A64" s="45" t="s">
        <v>122</v>
      </c>
    </row>
    <row r="65" spans="1:2" x14ac:dyDescent="0.25">
      <c r="A65" s="28">
        <f>MOYENNE_LIVRET</f>
        <v>19</v>
      </c>
      <c r="B65">
        <f>IF(ISNUMBER(A65),1,0)</f>
        <v>1</v>
      </c>
    </row>
    <row r="66" spans="1:2" x14ac:dyDescent="0.25">
      <c r="A66" s="28">
        <f>NOTE_ORAL</f>
        <v>16</v>
      </c>
      <c r="B66">
        <f>IF(ISNUMBER(A66),1,0)</f>
        <v>1</v>
      </c>
    </row>
    <row r="67" spans="1:2" x14ac:dyDescent="0.25">
      <c r="A67" s="28" t="s">
        <v>119</v>
      </c>
      <c r="B67">
        <f>SUM(B65:B66)</f>
        <v>2</v>
      </c>
    </row>
    <row r="68" spans="1:2" x14ac:dyDescent="0.25">
      <c r="A68" s="28" t="s">
        <v>120</v>
      </c>
      <c r="B68">
        <f>SUM(A65:A66)</f>
        <v>35</v>
      </c>
    </row>
    <row r="69" spans="1:2" x14ac:dyDescent="0.25">
      <c r="A69" s="28" t="s">
        <v>121</v>
      </c>
      <c r="B69">
        <f>IF(B67,B68/B67,"Calcul impossible")</f>
        <v>17.5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workbookViewId="0">
      <selection activeCell="E39" sqref="E39"/>
    </sheetView>
  </sheetViews>
  <sheetFormatPr baseColWidth="10" defaultRowHeight="15" x14ac:dyDescent="0.25"/>
  <cols>
    <col min="1" max="1" width="40.28515625" customWidth="1"/>
    <col min="3" max="3" width="7.42578125" customWidth="1"/>
    <col min="4" max="4" width="35.85546875" bestFit="1" customWidth="1"/>
  </cols>
  <sheetData>
    <row r="1" spans="1:4" x14ac:dyDescent="0.25">
      <c r="A1" s="37" t="s">
        <v>63</v>
      </c>
      <c r="D1" s="37" t="s">
        <v>64</v>
      </c>
    </row>
    <row r="2" spans="1:4" x14ac:dyDescent="0.25">
      <c r="A2" t="s">
        <v>5</v>
      </c>
      <c r="D2" t="s">
        <v>65</v>
      </c>
    </row>
    <row r="3" spans="1:4" x14ac:dyDescent="0.25">
      <c r="A3" t="s">
        <v>155</v>
      </c>
      <c r="B3">
        <v>0.5</v>
      </c>
      <c r="D3" t="s">
        <v>66</v>
      </c>
    </row>
    <row r="4" spans="1:4" x14ac:dyDescent="0.25">
      <c r="A4" t="s">
        <v>6</v>
      </c>
      <c r="B4" s="28">
        <v>1</v>
      </c>
      <c r="D4" t="s">
        <v>67</v>
      </c>
    </row>
    <row r="5" spans="1:4" x14ac:dyDescent="0.25">
      <c r="A5" t="s">
        <v>7</v>
      </c>
      <c r="B5" s="28">
        <v>2</v>
      </c>
      <c r="D5" t="s">
        <v>68</v>
      </c>
    </row>
    <row r="6" spans="1:4" x14ac:dyDescent="0.25">
      <c r="A6" t="s">
        <v>8</v>
      </c>
      <c r="B6" s="28">
        <v>3</v>
      </c>
      <c r="D6" t="s">
        <v>69</v>
      </c>
    </row>
    <row r="7" spans="1:4" x14ac:dyDescent="0.25">
      <c r="A7" t="s">
        <v>9</v>
      </c>
      <c r="B7" s="28">
        <v>4</v>
      </c>
      <c r="D7" t="s">
        <v>70</v>
      </c>
    </row>
    <row r="8" spans="1:4" x14ac:dyDescent="0.25">
      <c r="D8" t="s">
        <v>71</v>
      </c>
    </row>
    <row r="9" spans="1:4" x14ac:dyDescent="0.25">
      <c r="A9" s="37" t="s">
        <v>123</v>
      </c>
      <c r="D9" t="s">
        <v>72</v>
      </c>
    </row>
    <row r="10" spans="1:4" x14ac:dyDescent="0.25">
      <c r="A10">
        <v>1</v>
      </c>
      <c r="B10">
        <f>VLOOKUP(1,Réglages!$C$17:$G$21,5,0)</f>
        <v>2</v>
      </c>
      <c r="D10" t="s">
        <v>73</v>
      </c>
    </row>
    <row r="11" spans="1:4" x14ac:dyDescent="0.25">
      <c r="A11">
        <v>2</v>
      </c>
      <c r="B11">
        <f>VLOOKUP(1,Réglages!$C$17:$G$21,5,0)</f>
        <v>2</v>
      </c>
    </row>
    <row r="12" spans="1:4" x14ac:dyDescent="0.25">
      <c r="A12">
        <v>3</v>
      </c>
      <c r="B12">
        <f>VLOOKUP(1,Réglages!$C$17:$G$21,5,0)</f>
        <v>2</v>
      </c>
    </row>
    <row r="13" spans="1:4" x14ac:dyDescent="0.25">
      <c r="A13">
        <v>4</v>
      </c>
      <c r="B13">
        <f>VLOOKUP(1,Réglages!$C$17:$G$21,5,0)</f>
        <v>2</v>
      </c>
    </row>
    <row r="14" spans="1:4" x14ac:dyDescent="0.25">
      <c r="A14">
        <v>5</v>
      </c>
      <c r="B14">
        <f>VLOOKUP(1,Réglages!$C$17:$G$21,5,0)</f>
        <v>2</v>
      </c>
    </row>
    <row r="15" spans="1:4" x14ac:dyDescent="0.25">
      <c r="A15">
        <v>6</v>
      </c>
      <c r="B15">
        <f>VLOOKUP(1,Réglages!$C$17:$G$21,5,0)</f>
        <v>2</v>
      </c>
    </row>
    <row r="16" spans="1:4" x14ac:dyDescent="0.25">
      <c r="A16">
        <v>7</v>
      </c>
      <c r="B16">
        <f>VLOOKUP(1,Réglages!$C$17:$G$21,5,0)</f>
        <v>2</v>
      </c>
    </row>
    <row r="17" spans="1:2" x14ac:dyDescent="0.25">
      <c r="A17">
        <v>8</v>
      </c>
      <c r="B17">
        <f>VLOOKUP(1,Réglages!$C$17:$G$21,5,0)</f>
        <v>2</v>
      </c>
    </row>
    <row r="18" spans="1:2" x14ac:dyDescent="0.25">
      <c r="A18">
        <v>9</v>
      </c>
      <c r="B18">
        <f>VLOOKUP(1,Réglages!$C$17:$G$21,5,0)</f>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17</vt:i4>
      </vt:variant>
    </vt:vector>
  </HeadingPairs>
  <TitlesOfParts>
    <vt:vector size="28" baseType="lpstr">
      <vt:lpstr>Notice</vt:lpstr>
      <vt:lpstr>CLASSES</vt:lpstr>
      <vt:lpstr>IDENTIFICATION</vt:lpstr>
      <vt:lpstr>1ère année</vt:lpstr>
      <vt:lpstr>2ème année</vt:lpstr>
      <vt:lpstr>Oral</vt:lpstr>
      <vt:lpstr>Notation</vt:lpstr>
      <vt:lpstr>Descripteurs</vt:lpstr>
      <vt:lpstr>Réglages</vt:lpstr>
      <vt:lpstr>Calcul notes</vt:lpstr>
      <vt:lpstr>Onglet technique radar</vt:lpstr>
      <vt:lpstr>CODAGE</vt:lpstr>
      <vt:lpstr>EST_EVALUE_ANNEE_1</vt:lpstr>
      <vt:lpstr>EST_EVALUE_ANNEE_2</vt:lpstr>
      <vt:lpstr>MOYENNE_LIVRET</vt:lpstr>
      <vt:lpstr>NOTE_FINALE</vt:lpstr>
      <vt:lpstr>NOTE_ORAL</vt:lpstr>
      <vt:lpstr>PLAGE_BAREME</vt:lpstr>
      <vt:lpstr>PLAGE_DESCRIPTEURS</vt:lpstr>
      <vt:lpstr>PLAGE_POSITIONNEMENT_1</vt:lpstr>
      <vt:lpstr>PLAGE_POSITIONNEMENT_2</vt:lpstr>
      <vt:lpstr>POINTS_OBTENUS_ANNEE_1</vt:lpstr>
      <vt:lpstr>POINTS_OBTENUS_ANNEE_2</vt:lpstr>
      <vt:lpstr>POINTS_VISES_DOMAINE_1_ANNEE_1</vt:lpstr>
      <vt:lpstr>POINTS_VISES_DOMAINE_2_ANNEE_1</vt:lpstr>
      <vt:lpstr>POINTS_VISES_DOMAINE_3_ANNEE_1</vt:lpstr>
      <vt:lpstr>Une_seconde_chance_pour_la_réussite</vt:lpstr>
      <vt:lpstr>VERSION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dc:creator>
  <cp:lastModifiedBy>Pupitre Salle 215</cp:lastModifiedBy>
  <dcterms:created xsi:type="dcterms:W3CDTF">2021-03-04T17:05:59Z</dcterms:created>
  <dcterms:modified xsi:type="dcterms:W3CDTF">2022-05-06T09:47:28Z</dcterms:modified>
</cp:coreProperties>
</file>