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7986BEE-860B-43F4-9BA4-305A72B70C8A}" xr6:coauthVersionLast="47" xr6:coauthVersionMax="47" xr10:uidLastSave="{00000000-0000-0000-0000-000000000000}"/>
  <bookViews>
    <workbookView xWindow="-120" yWindow="-120" windowWidth="29040" windowHeight="15990" tabRatio="755" activeTab="1" xr2:uid="{00000000-000D-0000-FFFF-FFFF00000000}"/>
  </bookViews>
  <sheets>
    <sheet name="Cours" sheetId="6" r:id="rId1"/>
    <sheet name="Gantt" sheetId="11" r:id="rId2"/>
    <sheet name="Hebdomadaire" sheetId="7" r:id="rId3"/>
    <sheet name="Mensuel" sheetId="8" r:id="rId4"/>
    <sheet name="Parametres" sheetId="10" state="hidden" r:id="rId5"/>
    <sheet name="JFP" sheetId="9" state="hidden" r:id="rId6"/>
  </sheets>
  <functionGroups builtInGroupCount="19"/>
  <definedNames>
    <definedName name="_xleta.COUNT" hidden="1" xlm="1">#NAME?</definedName>
    <definedName name="_xleta.COUNTIF" hidden="1" xlm="1">#NAME?</definedName>
    <definedName name="_xleta.MOD" hidden="1" xlm="1">#NAME?</definedName>
    <definedName name="_xlpm.debut" hidden="1" xlm="1">#NAME?</definedName>
    <definedName name="_xlpm.m" hidden="1" xlm="1">#NAME?</definedName>
    <definedName name="_xlpm.rng" hidden="1" xlm="1">#NAME?</definedName>
    <definedName name="_xlpm.Trop" hidden="1" xlm="1">#NAME?</definedName>
    <definedName name="_xlpm.x" hidden="1" xlm="1">#NAME?</definedName>
    <definedName name="fichierICS">#REF!</definedName>
    <definedName name="masemaine">Hebdomadaire!$B$7:$H$7</definedName>
    <definedName name="rangsemaine">Parametres!$B$1:$G$1</definedName>
    <definedName name="semaine">Hebdomadaire!$C$2</definedName>
  </definedNames>
  <calcPr calcId="191029"/>
  <pivotCaches>
    <pivotCache cacheId="0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" i="11" l="1" a="1"/>
  <c r="C1" i="11" s="1"/>
  <c r="H8" i="6"/>
  <c r="D11" i="6"/>
  <c r="D20" i="6"/>
  <c r="F34" i="6"/>
  <c r="H46" i="6"/>
  <c r="G48" i="6"/>
  <c r="H56" i="6"/>
  <c r="H80" i="6"/>
  <c r="I94" i="6"/>
  <c r="D104" i="6"/>
  <c r="D52" i="6"/>
  <c r="Y2" i="6"/>
  <c r="Q500" i="6"/>
  <c r="Q347" i="6"/>
  <c r="Q434" i="6"/>
  <c r="Q445" i="6"/>
  <c r="Q17" i="6"/>
  <c r="Q116" i="6"/>
  <c r="Q58" i="6"/>
  <c r="Q518" i="6"/>
  <c r="Q607" i="6"/>
  <c r="Q332" i="6"/>
  <c r="Q272" i="6"/>
  <c r="Q167" i="6"/>
  <c r="E1" i="6"/>
  <c r="Q418" i="6" s="1"/>
  <c r="F1" i="6"/>
  <c r="G1" i="6"/>
  <c r="Q385" i="6" s="1"/>
  <c r="H1" i="6"/>
  <c r="Q154" i="6" s="1"/>
  <c r="I1" i="6"/>
  <c r="Q176" i="6" s="1"/>
  <c r="D1" i="6"/>
  <c r="D9" i="6"/>
  <c r="H17" i="6"/>
  <c r="G18" i="6"/>
  <c r="H30" i="6"/>
  <c r="I37" i="6"/>
  <c r="D38" i="6"/>
  <c r="D45" i="6"/>
  <c r="F50" i="6"/>
  <c r="E54" i="6"/>
  <c r="I58" i="6"/>
  <c r="F61" i="6"/>
  <c r="G66" i="6"/>
  <c r="I70" i="6"/>
  <c r="D78" i="6"/>
  <c r="H82" i="6"/>
  <c r="I89" i="6"/>
  <c r="D90" i="6"/>
  <c r="G106" i="6"/>
  <c r="I13" i="6"/>
  <c r="H13" i="6"/>
  <c r="G13" i="6"/>
  <c r="F13" i="6"/>
  <c r="E13" i="6"/>
  <c r="D13" i="6"/>
  <c r="I5" i="6"/>
  <c r="H5" i="6"/>
  <c r="G5" i="6"/>
  <c r="F5" i="6"/>
  <c r="E5" i="6"/>
  <c r="D5" i="6"/>
  <c r="Q644" i="6" l="1"/>
  <c r="Q23" i="6"/>
  <c r="Q594" i="6"/>
  <c r="Q55" i="6"/>
  <c r="Q6" i="6"/>
  <c r="Q262" i="6"/>
  <c r="Q363" i="6"/>
  <c r="Q10" i="6"/>
  <c r="Q303" i="6"/>
  <c r="Q297" i="6"/>
  <c r="Q621" i="6"/>
  <c r="Q64" i="6"/>
  <c r="Q217" i="6"/>
  <c r="Q319" i="6"/>
  <c r="Q502" i="6"/>
  <c r="Q539" i="6"/>
  <c r="Q62" i="6"/>
  <c r="Q343" i="6"/>
  <c r="Q354" i="6"/>
  <c r="Q137" i="6"/>
  <c r="Q32" i="6"/>
  <c r="Q243" i="6"/>
  <c r="Q542" i="6"/>
  <c r="Q439" i="6"/>
  <c r="Q443" i="6"/>
  <c r="Q288" i="6"/>
  <c r="Q56" i="6"/>
  <c r="Q591" i="6"/>
  <c r="Q295" i="6"/>
  <c r="Q65" i="6"/>
  <c r="Q273" i="6"/>
  <c r="Q27" i="6"/>
  <c r="Q178" i="6"/>
  <c r="Q481" i="6"/>
  <c r="Q391" i="6"/>
  <c r="Q529" i="6"/>
  <c r="Q627" i="6"/>
  <c r="Q22" i="6"/>
  <c r="Q399" i="6"/>
  <c r="Q73" i="6"/>
  <c r="Q371" i="6"/>
  <c r="Q254" i="6"/>
  <c r="Q147" i="6"/>
  <c r="Q16" i="6"/>
  <c r="Q195" i="6"/>
  <c r="Q34" i="6"/>
  <c r="Q230" i="6"/>
  <c r="Q45" i="6"/>
  <c r="Q338" i="6"/>
  <c r="Q526" i="6"/>
  <c r="Q463" i="6"/>
  <c r="Q236" i="6"/>
  <c r="Q554" i="6"/>
  <c r="Q492" i="6"/>
  <c r="Q229" i="6"/>
  <c r="Q74" i="6"/>
  <c r="Q142" i="6"/>
  <c r="Q491" i="6"/>
  <c r="Q386" i="6"/>
  <c r="Q125" i="6"/>
  <c r="Q523" i="6"/>
  <c r="Q376" i="6"/>
  <c r="Q643" i="6"/>
  <c r="Q234" i="6"/>
  <c r="Q237" i="6"/>
  <c r="Q37" i="6"/>
  <c r="Q580" i="6"/>
  <c r="Q63" i="6"/>
  <c r="Q9" i="6"/>
  <c r="Q551" i="6"/>
  <c r="Q570" i="6"/>
  <c r="Q435" i="6"/>
  <c r="Q69" i="6"/>
  <c r="Q556" i="6"/>
  <c r="Q496" i="6"/>
  <c r="Q94" i="6"/>
  <c r="Q586" i="6"/>
  <c r="Q322" i="6"/>
  <c r="Q558" i="6"/>
  <c r="Q632" i="6"/>
  <c r="Q39" i="6"/>
  <c r="Q484" i="6"/>
  <c r="Q364" i="6"/>
  <c r="Q477" i="6"/>
  <c r="Q211" i="6"/>
  <c r="Q156" i="6"/>
  <c r="Q454" i="6"/>
  <c r="Q581" i="6"/>
  <c r="Q296" i="6"/>
  <c r="Q148" i="6"/>
  <c r="Q567" i="6"/>
  <c r="Q192" i="6"/>
  <c r="Q337" i="6"/>
  <c r="Q592" i="6"/>
  <c r="Q13" i="6"/>
  <c r="Q474" i="6"/>
  <c r="Q82" i="6"/>
  <c r="Q299" i="6"/>
  <c r="Q261" i="6"/>
  <c r="Q620" i="6"/>
  <c r="Q188" i="6"/>
  <c r="Q598" i="6"/>
  <c r="Q618" i="6"/>
  <c r="Q121" i="6"/>
  <c r="Q15" i="6"/>
  <c r="Q602" i="6"/>
  <c r="Q305" i="6"/>
  <c r="Q579" i="6"/>
  <c r="Q660" i="6"/>
  <c r="Q324" i="6"/>
  <c r="Q457" i="6"/>
  <c r="Q201" i="6"/>
  <c r="Q471" i="6"/>
  <c r="Q635" i="6"/>
  <c r="Q576" i="6"/>
  <c r="Q307" i="6"/>
  <c r="Q625" i="6"/>
  <c r="Q210" i="6"/>
  <c r="Q367" i="6"/>
  <c r="Q153" i="6"/>
  <c r="Q50" i="6"/>
  <c r="Q197" i="6"/>
  <c r="Q423" i="6"/>
  <c r="Q505" i="6"/>
  <c r="Q584" i="6"/>
  <c r="Q527" i="6"/>
  <c r="Q284" i="6"/>
  <c r="Q475" i="6"/>
  <c r="Q173" i="6"/>
  <c r="Q127" i="6"/>
  <c r="Q631" i="6"/>
  <c r="Q642" i="6"/>
  <c r="Q179" i="6"/>
  <c r="Q119" i="6"/>
  <c r="Q368" i="6"/>
  <c r="Q113" i="6"/>
  <c r="Q36" i="6"/>
  <c r="Q601" i="6"/>
  <c r="Q370" i="6"/>
  <c r="Q181" i="6"/>
  <c r="Q270" i="6"/>
  <c r="Q451" i="6"/>
  <c r="Q170" i="6"/>
  <c r="Q209" i="6"/>
  <c r="Q416" i="6"/>
  <c r="Q504" i="6"/>
  <c r="Q215" i="6"/>
  <c r="Q342" i="6"/>
  <c r="Q403" i="6"/>
  <c r="Q446" i="6"/>
  <c r="Q258" i="6"/>
  <c r="Q256" i="6"/>
  <c r="Q255" i="6"/>
  <c r="Q132" i="6"/>
  <c r="Q566" i="6"/>
  <c r="Q650" i="6"/>
  <c r="Q104" i="6"/>
  <c r="Q633" i="6"/>
  <c r="Q205" i="6"/>
  <c r="Q300" i="6"/>
  <c r="Q655" i="6"/>
  <c r="Q115" i="6"/>
  <c r="Q329" i="6"/>
  <c r="Q151" i="6"/>
  <c r="Q304" i="6"/>
  <c r="Q293" i="6"/>
  <c r="Q389" i="6"/>
  <c r="Q70" i="6"/>
  <c r="Q265" i="6"/>
  <c r="Q459" i="6"/>
  <c r="Q595" i="6"/>
  <c r="Q372" i="6"/>
  <c r="Q212" i="6"/>
  <c r="Q424" i="6"/>
  <c r="Q640" i="6"/>
  <c r="Q271" i="6"/>
  <c r="Q220" i="6"/>
  <c r="Q321" i="6"/>
  <c r="Q390" i="6"/>
  <c r="Q381" i="6"/>
  <c r="Q663" i="6"/>
  <c r="Q528" i="6"/>
  <c r="Q49" i="6"/>
  <c r="Q626" i="6"/>
  <c r="Q274" i="6"/>
  <c r="Q494" i="6"/>
  <c r="Q469" i="6"/>
  <c r="Q124" i="6"/>
  <c r="Q67" i="6"/>
  <c r="Q531" i="6"/>
  <c r="Q485" i="6"/>
  <c r="Q117" i="6"/>
  <c r="Q559" i="6"/>
  <c r="Q568" i="6"/>
  <c r="Q498" i="6"/>
  <c r="Q629" i="6"/>
  <c r="Q384" i="6"/>
  <c r="Q106" i="6"/>
  <c r="Q433" i="6"/>
  <c r="Q26" i="6"/>
  <c r="Q574" i="6"/>
  <c r="Q291" i="6"/>
  <c r="Q564" i="6"/>
  <c r="Q266" i="6"/>
  <c r="Q412" i="6"/>
  <c r="Q246" i="6"/>
  <c r="Q44" i="6"/>
  <c r="Q410" i="6"/>
  <c r="Q659" i="6"/>
  <c r="Q158" i="6"/>
  <c r="Q540" i="6"/>
  <c r="Q508" i="6"/>
  <c r="Q222" i="6"/>
  <c r="Q35" i="6"/>
  <c r="Q61" i="6"/>
  <c r="Q380" i="6"/>
  <c r="Q101" i="6"/>
  <c r="Q41" i="6"/>
  <c r="Q84" i="6"/>
  <c r="Q141" i="6"/>
  <c r="Q21" i="6"/>
  <c r="Q301" i="6"/>
  <c r="Q378" i="6"/>
  <c r="Q183" i="6"/>
  <c r="Q590" i="6"/>
  <c r="Q365" i="6"/>
  <c r="Q430" i="6"/>
  <c r="Q12" i="6"/>
  <c r="Q578" i="6"/>
  <c r="Q549" i="6"/>
  <c r="Q429" i="6"/>
  <c r="Q639" i="6"/>
  <c r="Q420" i="6"/>
  <c r="Q501" i="6"/>
  <c r="Q140" i="6"/>
  <c r="Q128" i="6"/>
  <c r="Q98" i="6"/>
  <c r="Q75" i="6"/>
  <c r="Q275" i="6"/>
  <c r="Q139" i="6"/>
  <c r="Q83" i="6"/>
  <c r="Q552" i="6"/>
  <c r="Q38" i="6"/>
  <c r="Q287" i="6"/>
  <c r="Q467" i="6"/>
  <c r="Q152" i="6"/>
  <c r="Q357" i="6"/>
  <c r="Q48" i="6"/>
  <c r="Q294" i="6"/>
  <c r="Q186" i="6"/>
  <c r="Q184" i="6"/>
  <c r="Q89" i="6"/>
  <c r="Q375" i="6"/>
  <c r="Q286" i="6"/>
  <c r="Q240" i="6"/>
  <c r="Q466" i="6"/>
  <c r="Q136" i="6"/>
  <c r="Q336" i="6"/>
  <c r="Q232" i="6"/>
  <c r="Q560" i="6"/>
  <c r="Q427" i="6"/>
  <c r="Q533" i="6"/>
  <c r="Q495" i="6"/>
  <c r="Q361" i="6"/>
  <c r="Q450" i="6"/>
  <c r="Q571" i="6"/>
  <c r="Q355" i="6"/>
  <c r="Q577" i="6"/>
  <c r="Q223" i="6"/>
  <c r="Q25" i="6"/>
  <c r="Q247" i="6"/>
  <c r="Q513" i="6"/>
  <c r="Q422" i="6"/>
  <c r="Q249" i="6"/>
  <c r="Q97" i="6"/>
  <c r="Q563" i="6"/>
  <c r="Q506" i="6"/>
  <c r="Q194" i="6"/>
  <c r="Q458" i="6"/>
  <c r="Q515" i="6"/>
  <c r="Q541" i="6"/>
  <c r="Q224" i="6"/>
  <c r="Q545" i="6"/>
  <c r="Q191" i="6"/>
  <c r="Q310" i="6"/>
  <c r="Q544" i="6"/>
  <c r="Q18" i="6"/>
  <c r="Q488" i="6"/>
  <c r="Q447" i="6"/>
  <c r="Q91" i="6"/>
  <c r="Q441" i="6"/>
  <c r="Q100" i="6"/>
  <c r="Q118" i="6"/>
  <c r="Q221" i="6"/>
  <c r="Q421" i="6"/>
  <c r="Q129" i="6"/>
  <c r="Q279" i="6"/>
  <c r="Q460" i="6"/>
  <c r="Q461" i="6"/>
  <c r="Q402" i="6"/>
  <c r="Q31" i="6"/>
  <c r="Q377" i="6"/>
  <c r="Q204" i="6"/>
  <c r="Q47" i="6"/>
  <c r="Q657" i="6"/>
  <c r="Q29" i="6"/>
  <c r="Q174" i="6"/>
  <c r="Q487" i="6"/>
  <c r="Q666" i="6"/>
  <c r="Q573" i="6"/>
  <c r="Q538" i="6"/>
  <c r="Q479" i="6"/>
  <c r="Q606" i="6"/>
  <c r="Q406" i="6"/>
  <c r="Q260" i="6"/>
  <c r="Q144" i="6"/>
  <c r="Q87" i="6"/>
  <c r="Q603" i="6"/>
  <c r="Q369" i="6"/>
  <c r="Q182" i="6"/>
  <c r="Q59" i="6"/>
  <c r="Q600" i="6"/>
  <c r="Q320" i="6"/>
  <c r="Q341" i="6"/>
  <c r="Q548" i="6"/>
  <c r="Q388" i="6"/>
  <c r="Q440" i="6"/>
  <c r="Q417" i="6"/>
  <c r="Q96" i="6"/>
  <c r="Q619" i="6"/>
  <c r="Q374" i="6"/>
  <c r="Q462" i="6"/>
  <c r="Q200" i="6"/>
  <c r="Q263" i="6"/>
  <c r="Q315" i="6"/>
  <c r="Q350" i="6"/>
  <c r="Q146" i="6"/>
  <c r="Q95" i="6"/>
  <c r="Q582" i="6"/>
  <c r="Q535" i="6"/>
  <c r="Q394" i="6"/>
  <c r="Q348" i="6"/>
  <c r="Q250" i="6"/>
  <c r="Q646" i="6"/>
  <c r="Q92" i="6"/>
  <c r="Q235" i="6"/>
  <c r="Q572" i="6"/>
  <c r="Q428" i="6"/>
  <c r="Q309" i="6"/>
  <c r="Q353" i="6"/>
  <c r="Q561" i="6"/>
  <c r="Q233" i="6"/>
  <c r="Q565" i="6"/>
  <c r="Q453" i="6"/>
  <c r="Q415" i="6"/>
  <c r="Q109" i="6"/>
  <c r="Q285" i="6"/>
  <c r="Q157" i="6"/>
  <c r="Q532" i="6"/>
  <c r="Q172" i="6"/>
  <c r="Q90" i="6"/>
  <c r="Q248" i="6"/>
  <c r="Q102" i="6"/>
  <c r="Q653" i="6"/>
  <c r="Q114" i="6"/>
  <c r="Q14" i="6"/>
  <c r="Q149" i="6"/>
  <c r="Q432" i="6"/>
  <c r="Q312" i="6"/>
  <c r="Q81" i="6"/>
  <c r="Q664" i="6"/>
  <c r="Q609" i="6"/>
  <c r="Q395" i="6"/>
  <c r="Q400" i="6"/>
  <c r="Q630" i="6"/>
  <c r="Q86" i="6"/>
  <c r="Q593" i="6"/>
  <c r="Q514" i="6"/>
  <c r="Q30" i="6"/>
  <c r="Q636" i="6"/>
  <c r="Q334" i="6"/>
  <c r="Q290" i="6"/>
  <c r="Q550" i="6"/>
  <c r="Q522" i="6"/>
  <c r="Q419" i="6"/>
  <c r="Q168" i="6"/>
  <c r="Q456" i="6"/>
  <c r="Q281" i="6"/>
  <c r="Q107" i="6"/>
  <c r="Q437" i="6"/>
  <c r="Q396" i="6"/>
  <c r="Q298" i="6"/>
  <c r="Q267" i="6"/>
  <c r="Q455" i="6"/>
  <c r="Q80" i="6"/>
  <c r="Q517" i="6"/>
  <c r="Q497" i="6"/>
  <c r="Q589" i="6"/>
  <c r="Q213" i="6"/>
  <c r="Q323" i="6"/>
  <c r="Q280" i="6"/>
  <c r="Q239" i="6"/>
  <c r="Q351" i="6"/>
  <c r="Q103" i="6"/>
  <c r="Q155" i="6"/>
  <c r="Q175" i="6"/>
  <c r="Q511" i="6"/>
  <c r="Q349" i="6"/>
  <c r="Q470" i="6"/>
  <c r="Q622" i="6"/>
  <c r="Q382" i="6"/>
  <c r="Q472" i="6"/>
  <c r="Q302" i="6"/>
  <c r="Q77" i="6"/>
  <c r="Q668" i="6"/>
  <c r="Q169" i="6"/>
  <c r="Q397" i="6"/>
  <c r="Q464" i="6"/>
  <c r="Q652" i="6"/>
  <c r="Q615" i="6"/>
  <c r="Q316" i="6"/>
  <c r="Q575" i="6"/>
  <c r="Q359" i="6"/>
  <c r="Q306" i="6"/>
  <c r="Q344" i="6"/>
  <c r="Q317" i="6"/>
  <c r="Q43" i="6"/>
  <c r="Q486" i="6"/>
  <c r="Q669" i="6"/>
  <c r="Q99" i="6"/>
  <c r="Q244" i="6"/>
  <c r="Q543" i="6"/>
  <c r="Q360" i="6"/>
  <c r="Q88" i="6"/>
  <c r="Q383" i="6"/>
  <c r="Q269" i="6"/>
  <c r="Q20" i="6"/>
  <c r="Q509" i="6"/>
  <c r="Q480" i="6"/>
  <c r="Q413" i="6"/>
  <c r="Q126" i="6"/>
  <c r="Q238" i="6"/>
  <c r="Q231" i="6"/>
  <c r="Q68" i="6"/>
  <c r="Q207" i="6"/>
  <c r="Q358" i="6"/>
  <c r="Q163" i="6"/>
  <c r="Q283" i="6"/>
  <c r="Q190" i="6"/>
  <c r="Q662" i="6"/>
  <c r="Q252" i="6"/>
  <c r="Q645" i="6"/>
  <c r="Q187" i="6"/>
  <c r="Q242" i="6"/>
  <c r="Q164" i="6"/>
  <c r="Q42" i="6"/>
  <c r="Q431" i="6"/>
  <c r="Q444" i="6"/>
  <c r="Q54" i="6"/>
  <c r="Q122" i="6"/>
  <c r="Q11" i="6"/>
  <c r="Q138" i="6"/>
  <c r="Q489" i="6"/>
  <c r="Q405" i="6"/>
  <c r="Q5" i="6"/>
  <c r="Q214" i="6"/>
  <c r="Q196" i="6"/>
  <c r="Q438" i="6"/>
  <c r="Q534" i="6"/>
  <c r="Q110" i="6"/>
  <c r="Q325" i="6"/>
  <c r="Q340" i="6"/>
  <c r="Q651" i="6"/>
  <c r="Q66" i="6"/>
  <c r="Q345" i="6"/>
  <c r="Q656" i="6"/>
  <c r="Q387" i="6"/>
  <c r="Q313" i="6"/>
  <c r="Q278" i="6"/>
  <c r="Q520" i="6"/>
  <c r="Q276" i="6"/>
  <c r="Q225" i="6"/>
  <c r="Q46" i="6"/>
  <c r="Q328" i="6"/>
  <c r="Q78" i="6"/>
  <c r="Q206" i="6"/>
  <c r="Q587" i="6"/>
  <c r="Q131" i="6"/>
  <c r="Q599" i="6"/>
  <c r="Q392" i="6"/>
  <c r="Q123" i="6"/>
  <c r="Q449" i="6"/>
  <c r="Q516" i="6"/>
  <c r="Q473" i="6"/>
  <c r="Q228" i="6"/>
  <c r="Q524" i="6"/>
  <c r="Q393" i="6"/>
  <c r="Q654" i="6"/>
  <c r="Q597" i="6"/>
  <c r="Q665" i="6"/>
  <c r="Q162" i="6"/>
  <c r="Q202" i="6"/>
  <c r="Q318" i="6"/>
  <c r="Q326" i="6"/>
  <c r="Q53" i="6"/>
  <c r="Q24" i="6"/>
  <c r="Q628" i="6"/>
  <c r="Q330" i="6"/>
  <c r="Q198" i="6"/>
  <c r="Q623" i="6"/>
  <c r="Q562" i="6"/>
  <c r="Q398" i="6"/>
  <c r="Q327" i="6"/>
  <c r="Q93" i="6"/>
  <c r="Q120" i="6"/>
  <c r="Q352" i="6"/>
  <c r="Q608" i="6"/>
  <c r="Q426" i="6"/>
  <c r="Q245" i="6"/>
  <c r="Q553" i="6"/>
  <c r="Q478" i="6"/>
  <c r="Q408" i="6"/>
  <c r="Q339" i="6"/>
  <c r="Q409" i="6"/>
  <c r="Q647" i="6"/>
  <c r="Q159" i="6"/>
  <c r="Q483" i="6"/>
  <c r="Q199" i="6"/>
  <c r="Q112" i="6"/>
  <c r="Q133" i="6"/>
  <c r="Q180" i="6"/>
  <c r="Q583" i="6"/>
  <c r="Q411" i="6"/>
  <c r="Q150" i="6"/>
  <c r="Q637" i="6"/>
  <c r="Q555" i="6"/>
  <c r="Q638" i="6"/>
  <c r="Q259" i="6"/>
  <c r="Q401" i="6"/>
  <c r="Q452" i="6"/>
  <c r="Q292" i="6"/>
  <c r="Q145" i="6"/>
  <c r="Q537" i="6"/>
  <c r="Q203" i="6"/>
  <c r="Q604" i="6"/>
  <c r="Q658" i="6"/>
  <c r="Q648" i="6"/>
  <c r="Q185" i="6"/>
  <c r="Q414" i="6"/>
  <c r="Q468" i="6"/>
  <c r="Q617" i="6"/>
  <c r="Q634" i="6"/>
  <c r="Q227" i="6"/>
  <c r="Q161" i="6"/>
  <c r="Q366" i="6"/>
  <c r="Q268" i="6"/>
  <c r="Q356" i="6"/>
  <c r="Q79" i="6"/>
  <c r="Q546" i="6"/>
  <c r="Q507" i="6"/>
  <c r="Q557" i="6"/>
  <c r="Q72" i="6"/>
  <c r="Q641" i="6"/>
  <c r="Q52" i="6"/>
  <c r="Q33" i="6"/>
  <c r="Q407" i="6"/>
  <c r="Q605" i="6"/>
  <c r="Q19" i="6"/>
  <c r="Q530" i="6"/>
  <c r="Q51" i="6"/>
  <c r="Q547" i="6"/>
  <c r="Q611" i="6"/>
  <c r="Q277" i="6"/>
  <c r="Q111" i="6"/>
  <c r="Q226" i="6"/>
  <c r="Q165" i="6"/>
  <c r="Q193" i="6"/>
  <c r="Q519" i="6"/>
  <c r="Q624" i="6"/>
  <c r="Q216" i="6"/>
  <c r="Q311" i="6"/>
  <c r="Q442" i="6"/>
  <c r="Q166" i="6"/>
  <c r="Q264" i="6"/>
  <c r="Q649" i="6"/>
  <c r="Q208" i="6"/>
  <c r="Q8" i="6"/>
  <c r="Q493" i="6"/>
  <c r="Q135" i="6"/>
  <c r="Q253" i="6"/>
  <c r="Q379" i="6"/>
  <c r="Q614" i="6"/>
  <c r="Q490" i="6"/>
  <c r="Q134" i="6"/>
  <c r="Q616" i="6"/>
  <c r="Q28" i="6"/>
  <c r="Q436" i="6"/>
  <c r="Q257" i="6"/>
  <c r="Q40" i="6"/>
  <c r="Q373" i="6"/>
  <c r="Q76" i="6"/>
  <c r="Q314" i="6"/>
  <c r="Q525" i="6"/>
  <c r="Q588" i="6"/>
  <c r="Q661" i="6"/>
  <c r="Q105" i="6"/>
  <c r="Q482" i="6"/>
  <c r="Q612" i="6"/>
  <c r="Q241" i="6"/>
  <c r="Q510" i="6"/>
  <c r="Q667" i="6"/>
  <c r="Q289" i="6"/>
  <c r="Q503" i="6"/>
  <c r="Q189" i="6"/>
  <c r="Q177" i="6"/>
  <c r="Q585" i="6"/>
  <c r="Q465" i="6"/>
  <c r="Q171" i="6"/>
  <c r="Q569" i="6"/>
  <c r="Q282" i="6"/>
  <c r="Q425" i="6"/>
  <c r="Q448" i="6"/>
  <c r="Q335" i="6"/>
  <c r="Q346" i="6"/>
  <c r="Q499" i="6"/>
  <c r="Q362" i="6"/>
  <c r="Q143" i="6"/>
  <c r="Q610" i="6"/>
  <c r="Q7" i="6"/>
  <c r="Q308" i="6"/>
  <c r="Q219" i="6"/>
  <c r="Q521" i="6"/>
  <c r="Q512" i="6"/>
  <c r="Q596" i="6"/>
  <c r="Q476" i="6"/>
  <c r="Q71" i="6"/>
  <c r="Q57" i="6"/>
  <c r="Q613" i="6"/>
  <c r="Q536" i="6"/>
  <c r="Q404" i="6"/>
  <c r="Q333" i="6"/>
  <c r="Q108" i="6"/>
  <c r="Q160" i="6"/>
  <c r="Q331" i="6"/>
  <c r="Q130" i="6"/>
  <c r="Q85" i="6"/>
  <c r="Q218" i="6"/>
  <c r="Q60" i="6"/>
  <c r="Q251" i="6"/>
  <c r="F52" i="6"/>
  <c r="E80" i="6"/>
  <c r="G34" i="6"/>
  <c r="E45" i="6"/>
  <c r="G94" i="6"/>
  <c r="D66" i="6"/>
  <c r="F17" i="6"/>
  <c r="G61" i="6"/>
  <c r="H107" i="6"/>
  <c r="D107" i="6"/>
  <c r="E107" i="6"/>
  <c r="F107" i="6"/>
  <c r="I107" i="6"/>
  <c r="G107" i="6"/>
  <c r="H103" i="6"/>
  <c r="D103" i="6"/>
  <c r="G103" i="6"/>
  <c r="I103" i="6"/>
  <c r="F103" i="6"/>
  <c r="E103" i="6"/>
  <c r="H99" i="6"/>
  <c r="D99" i="6"/>
  <c r="E99" i="6"/>
  <c r="I99" i="6"/>
  <c r="G99" i="6"/>
  <c r="F99" i="6"/>
  <c r="H95" i="6"/>
  <c r="D95" i="6"/>
  <c r="G95" i="6"/>
  <c r="F95" i="6"/>
  <c r="E95" i="6"/>
  <c r="I95" i="6"/>
  <c r="H91" i="6"/>
  <c r="D91" i="6"/>
  <c r="E91" i="6"/>
  <c r="I91" i="6"/>
  <c r="G91" i="6"/>
  <c r="F91" i="6"/>
  <c r="H87" i="6"/>
  <c r="D87" i="6"/>
  <c r="G87" i="6"/>
  <c r="E87" i="6"/>
  <c r="I87" i="6"/>
  <c r="F87" i="6"/>
  <c r="H83" i="6"/>
  <c r="D83" i="6"/>
  <c r="E83" i="6"/>
  <c r="G83" i="6"/>
  <c r="F83" i="6"/>
  <c r="I83" i="6"/>
  <c r="H79" i="6"/>
  <c r="D79" i="6"/>
  <c r="G79" i="6"/>
  <c r="I79" i="6"/>
  <c r="F79" i="6"/>
  <c r="E79" i="6"/>
  <c r="H75" i="6"/>
  <c r="D75" i="6"/>
  <c r="E75" i="6"/>
  <c r="F75" i="6"/>
  <c r="I75" i="6"/>
  <c r="G75" i="6"/>
  <c r="H71" i="6"/>
  <c r="D71" i="6"/>
  <c r="G71" i="6"/>
  <c r="I71" i="6"/>
  <c r="F71" i="6"/>
  <c r="E71" i="6"/>
  <c r="H67" i="6"/>
  <c r="D67" i="6"/>
  <c r="E67" i="6"/>
  <c r="I67" i="6"/>
  <c r="G67" i="6"/>
  <c r="F67" i="6"/>
  <c r="H63" i="6"/>
  <c r="D63" i="6"/>
  <c r="G63" i="6"/>
  <c r="F63" i="6"/>
  <c r="E63" i="6"/>
  <c r="I63" i="6"/>
  <c r="H59" i="6"/>
  <c r="D59" i="6"/>
  <c r="E59" i="6"/>
  <c r="I59" i="6"/>
  <c r="G59" i="6"/>
  <c r="F59" i="6"/>
  <c r="H55" i="6"/>
  <c r="D55" i="6"/>
  <c r="G55" i="6"/>
  <c r="E55" i="6"/>
  <c r="I55" i="6"/>
  <c r="F55" i="6"/>
  <c r="G51" i="6"/>
  <c r="I51" i="6"/>
  <c r="D51" i="6"/>
  <c r="H51" i="6"/>
  <c r="F51" i="6"/>
  <c r="E51" i="6"/>
  <c r="G47" i="6"/>
  <c r="F47" i="6"/>
  <c r="E47" i="6"/>
  <c r="I47" i="6"/>
  <c r="H47" i="6"/>
  <c r="D47" i="6"/>
  <c r="G43" i="6"/>
  <c r="I43" i="6"/>
  <c r="D43" i="6"/>
  <c r="H43" i="6"/>
  <c r="F43" i="6"/>
  <c r="E43" i="6"/>
  <c r="G39" i="6"/>
  <c r="F39" i="6"/>
  <c r="E39" i="6"/>
  <c r="D39" i="6"/>
  <c r="I39" i="6"/>
  <c r="H39" i="6"/>
  <c r="G35" i="6"/>
  <c r="I35" i="6"/>
  <c r="D35" i="6"/>
  <c r="H35" i="6"/>
  <c r="F35" i="6"/>
  <c r="E35" i="6"/>
  <c r="G31" i="6"/>
  <c r="F31" i="6"/>
  <c r="E31" i="6"/>
  <c r="I31" i="6"/>
  <c r="H31" i="6"/>
  <c r="D31" i="6"/>
  <c r="G27" i="6"/>
  <c r="I27" i="6"/>
  <c r="D27" i="6"/>
  <c r="H27" i="6"/>
  <c r="F27" i="6"/>
  <c r="E27" i="6"/>
  <c r="G23" i="6"/>
  <c r="F23" i="6"/>
  <c r="E23" i="6"/>
  <c r="D23" i="6"/>
  <c r="I23" i="6"/>
  <c r="H23" i="6"/>
  <c r="G19" i="6"/>
  <c r="I19" i="6"/>
  <c r="D19" i="6"/>
  <c r="H19" i="6"/>
  <c r="F19" i="6"/>
  <c r="E19" i="6"/>
  <c r="G15" i="6"/>
  <c r="F15" i="6"/>
  <c r="I15" i="6"/>
  <c r="H15" i="6"/>
  <c r="E15" i="6"/>
  <c r="D15" i="6"/>
  <c r="I10" i="6"/>
  <c r="E10" i="6"/>
  <c r="F10" i="6"/>
  <c r="H10" i="6"/>
  <c r="G10" i="6"/>
  <c r="D10" i="6"/>
  <c r="D6" i="6"/>
  <c r="I6" i="6"/>
  <c r="E6" i="6"/>
  <c r="H6" i="6"/>
  <c r="G6" i="6"/>
  <c r="F6" i="6"/>
  <c r="H105" i="6"/>
  <c r="D105" i="6"/>
  <c r="F105" i="6"/>
  <c r="I105" i="6"/>
  <c r="G105" i="6"/>
  <c r="E105" i="6"/>
  <c r="H101" i="6"/>
  <c r="D101" i="6"/>
  <c r="I101" i="6"/>
  <c r="F101" i="6"/>
  <c r="E101" i="6"/>
  <c r="G101" i="6"/>
  <c r="H97" i="6"/>
  <c r="D97" i="6"/>
  <c r="F97" i="6"/>
  <c r="I97" i="6"/>
  <c r="G97" i="6"/>
  <c r="E97" i="6"/>
  <c r="H93" i="6"/>
  <c r="D93" i="6"/>
  <c r="I93" i="6"/>
  <c r="E93" i="6"/>
  <c r="G93" i="6"/>
  <c r="F93" i="6"/>
  <c r="H89" i="6"/>
  <c r="D89" i="6"/>
  <c r="F89" i="6"/>
  <c r="G89" i="6"/>
  <c r="E89" i="6"/>
  <c r="H85" i="6"/>
  <c r="D85" i="6"/>
  <c r="I85" i="6"/>
  <c r="G85" i="6"/>
  <c r="H81" i="6"/>
  <c r="D81" i="6"/>
  <c r="F81" i="6"/>
  <c r="E81" i="6"/>
  <c r="I81" i="6"/>
  <c r="G81" i="6"/>
  <c r="H77" i="6"/>
  <c r="D77" i="6"/>
  <c r="I77" i="6"/>
  <c r="G77" i="6"/>
  <c r="F77" i="6"/>
  <c r="E77" i="6"/>
  <c r="H73" i="6"/>
  <c r="D73" i="6"/>
  <c r="F73" i="6"/>
  <c r="I73" i="6"/>
  <c r="G73" i="6"/>
  <c r="E73" i="6"/>
  <c r="H69" i="6"/>
  <c r="D69" i="6"/>
  <c r="I69" i="6"/>
  <c r="F69" i="6"/>
  <c r="E69" i="6"/>
  <c r="G69" i="6"/>
  <c r="H65" i="6"/>
  <c r="D65" i="6"/>
  <c r="F65" i="6"/>
  <c r="I65" i="6"/>
  <c r="G65" i="6"/>
  <c r="E65" i="6"/>
  <c r="H61" i="6"/>
  <c r="D61" i="6"/>
  <c r="I61" i="6"/>
  <c r="E61" i="6"/>
  <c r="H57" i="6"/>
  <c r="D57" i="6"/>
  <c r="F57" i="6"/>
  <c r="G57" i="6"/>
  <c r="E57" i="6"/>
  <c r="I57" i="6"/>
  <c r="H53" i="6"/>
  <c r="D53" i="6"/>
  <c r="I53" i="6"/>
  <c r="G53" i="6"/>
  <c r="F53" i="6"/>
  <c r="E53" i="6"/>
  <c r="G49" i="6"/>
  <c r="E49" i="6"/>
  <c r="I49" i="6"/>
  <c r="D49" i="6"/>
  <c r="H49" i="6"/>
  <c r="F49" i="6"/>
  <c r="G45" i="6"/>
  <c r="H45" i="6"/>
  <c r="F45" i="6"/>
  <c r="I45" i="6"/>
  <c r="G41" i="6"/>
  <c r="E41" i="6"/>
  <c r="I41" i="6"/>
  <c r="D41" i="6"/>
  <c r="G37" i="6"/>
  <c r="H37" i="6"/>
  <c r="F37" i="6"/>
  <c r="E37" i="6"/>
  <c r="D37" i="6"/>
  <c r="G33" i="6"/>
  <c r="E33" i="6"/>
  <c r="I33" i="6"/>
  <c r="D33" i="6"/>
  <c r="H33" i="6"/>
  <c r="F33" i="6"/>
  <c r="G29" i="6"/>
  <c r="H29" i="6"/>
  <c r="F29" i="6"/>
  <c r="I29" i="6"/>
  <c r="E29" i="6"/>
  <c r="D29" i="6"/>
  <c r="G25" i="6"/>
  <c r="E25" i="6"/>
  <c r="I25" i="6"/>
  <c r="D25" i="6"/>
  <c r="H25" i="6"/>
  <c r="F25" i="6"/>
  <c r="G21" i="6"/>
  <c r="H21" i="6"/>
  <c r="F21" i="6"/>
  <c r="E21" i="6"/>
  <c r="D21" i="6"/>
  <c r="I21" i="6"/>
  <c r="G17" i="6"/>
  <c r="E17" i="6"/>
  <c r="D17" i="6"/>
  <c r="I17" i="6"/>
  <c r="I12" i="6"/>
  <c r="E12" i="6"/>
  <c r="D12" i="6"/>
  <c r="H12" i="6"/>
  <c r="F12" i="6"/>
  <c r="I8" i="6"/>
  <c r="E8" i="6"/>
  <c r="G8" i="6"/>
  <c r="F8" i="6"/>
  <c r="D8" i="6"/>
  <c r="F41" i="6"/>
  <c r="E85" i="6"/>
  <c r="F108" i="6"/>
  <c r="I108" i="6"/>
  <c r="D108" i="6"/>
  <c r="H108" i="6"/>
  <c r="G108" i="6"/>
  <c r="E108" i="6"/>
  <c r="F104" i="6"/>
  <c r="G104" i="6"/>
  <c r="I104" i="6"/>
  <c r="H104" i="6"/>
  <c r="F100" i="6"/>
  <c r="I100" i="6"/>
  <c r="D100" i="6"/>
  <c r="E100" i="6"/>
  <c r="H100" i="6"/>
  <c r="G100" i="6"/>
  <c r="F96" i="6"/>
  <c r="G96" i="6"/>
  <c r="H96" i="6"/>
  <c r="E96" i="6"/>
  <c r="D96" i="6"/>
  <c r="I96" i="6"/>
  <c r="F92" i="6"/>
  <c r="I92" i="6"/>
  <c r="D92" i="6"/>
  <c r="H92" i="6"/>
  <c r="G92" i="6"/>
  <c r="E92" i="6"/>
  <c r="F88" i="6"/>
  <c r="G88" i="6"/>
  <c r="E88" i="6"/>
  <c r="D88" i="6"/>
  <c r="I88" i="6"/>
  <c r="H88" i="6"/>
  <c r="F84" i="6"/>
  <c r="I84" i="6"/>
  <c r="D84" i="6"/>
  <c r="H84" i="6"/>
  <c r="G84" i="6"/>
  <c r="E84" i="6"/>
  <c r="F80" i="6"/>
  <c r="G80" i="6"/>
  <c r="D80" i="6"/>
  <c r="I80" i="6"/>
  <c r="F76" i="6"/>
  <c r="I76" i="6"/>
  <c r="D76" i="6"/>
  <c r="G76" i="6"/>
  <c r="E76" i="6"/>
  <c r="H76" i="6"/>
  <c r="F72" i="6"/>
  <c r="G72" i="6"/>
  <c r="I72" i="6"/>
  <c r="H72" i="6"/>
  <c r="E72" i="6"/>
  <c r="D72" i="6"/>
  <c r="F68" i="6"/>
  <c r="I68" i="6"/>
  <c r="D68" i="6"/>
  <c r="E68" i="6"/>
  <c r="H68" i="6"/>
  <c r="G68" i="6"/>
  <c r="F64" i="6"/>
  <c r="G64" i="6"/>
  <c r="H64" i="6"/>
  <c r="E64" i="6"/>
  <c r="I64" i="6"/>
  <c r="D64" i="6"/>
  <c r="F60" i="6"/>
  <c r="I60" i="6"/>
  <c r="D60" i="6"/>
  <c r="H60" i="6"/>
  <c r="G60" i="6"/>
  <c r="E60" i="6"/>
  <c r="F56" i="6"/>
  <c r="G56" i="6"/>
  <c r="E56" i="6"/>
  <c r="D56" i="6"/>
  <c r="I52" i="6"/>
  <c r="E52" i="6"/>
  <c r="H52" i="6"/>
  <c r="G52" i="6"/>
  <c r="I48" i="6"/>
  <c r="E48" i="6"/>
  <c r="F48" i="6"/>
  <c r="D48" i="6"/>
  <c r="I44" i="6"/>
  <c r="E44" i="6"/>
  <c r="H44" i="6"/>
  <c r="G44" i="6"/>
  <c r="F44" i="6"/>
  <c r="D44" i="6"/>
  <c r="I40" i="6"/>
  <c r="E40" i="6"/>
  <c r="F40" i="6"/>
  <c r="D40" i="6"/>
  <c r="H40" i="6"/>
  <c r="G40" i="6"/>
  <c r="I36" i="6"/>
  <c r="E36" i="6"/>
  <c r="H36" i="6"/>
  <c r="G36" i="6"/>
  <c r="F36" i="6"/>
  <c r="D36" i="6"/>
  <c r="I32" i="6"/>
  <c r="E32" i="6"/>
  <c r="F32" i="6"/>
  <c r="D32" i="6"/>
  <c r="H32" i="6"/>
  <c r="G32" i="6"/>
  <c r="I28" i="6"/>
  <c r="E28" i="6"/>
  <c r="H28" i="6"/>
  <c r="G28" i="6"/>
  <c r="F28" i="6"/>
  <c r="D28" i="6"/>
  <c r="I24" i="6"/>
  <c r="E24" i="6"/>
  <c r="F24" i="6"/>
  <c r="D24" i="6"/>
  <c r="H24" i="6"/>
  <c r="G24" i="6"/>
  <c r="I20" i="6"/>
  <c r="E20" i="6"/>
  <c r="H20" i="6"/>
  <c r="G20" i="6"/>
  <c r="I16" i="6"/>
  <c r="E16" i="6"/>
  <c r="F16" i="6"/>
  <c r="H16" i="6"/>
  <c r="G16" i="6"/>
  <c r="D16" i="6"/>
  <c r="G11" i="6"/>
  <c r="E11" i="6"/>
  <c r="I11" i="6"/>
  <c r="H11" i="6"/>
  <c r="F11" i="6"/>
  <c r="G7" i="6"/>
  <c r="H7" i="6"/>
  <c r="E7" i="6"/>
  <c r="D7" i="6"/>
  <c r="F7" i="6"/>
  <c r="I7" i="6"/>
  <c r="G12" i="6"/>
  <c r="F20" i="6"/>
  <c r="H41" i="6"/>
  <c r="H48" i="6"/>
  <c r="I56" i="6"/>
  <c r="F85" i="6"/>
  <c r="E104" i="6"/>
  <c r="F106" i="6"/>
  <c r="E106" i="6"/>
  <c r="D106" i="6"/>
  <c r="I106" i="6"/>
  <c r="F102" i="6"/>
  <c r="H102" i="6"/>
  <c r="G102" i="6"/>
  <c r="E102" i="6"/>
  <c r="I102" i="6"/>
  <c r="F98" i="6"/>
  <c r="E98" i="6"/>
  <c r="I98" i="6"/>
  <c r="H98" i="6"/>
  <c r="G98" i="6"/>
  <c r="D98" i="6"/>
  <c r="F94" i="6"/>
  <c r="H94" i="6"/>
  <c r="E94" i="6"/>
  <c r="D94" i="6"/>
  <c r="F90" i="6"/>
  <c r="E90" i="6"/>
  <c r="H90" i="6"/>
  <c r="G90" i="6"/>
  <c r="I90" i="6"/>
  <c r="F86" i="6"/>
  <c r="H86" i="6"/>
  <c r="D86" i="6"/>
  <c r="I86" i="6"/>
  <c r="G86" i="6"/>
  <c r="E86" i="6"/>
  <c r="F82" i="6"/>
  <c r="E82" i="6"/>
  <c r="G82" i="6"/>
  <c r="D82" i="6"/>
  <c r="F78" i="6"/>
  <c r="H78" i="6"/>
  <c r="I78" i="6"/>
  <c r="G78" i="6"/>
  <c r="F74" i="6"/>
  <c r="E74" i="6"/>
  <c r="D74" i="6"/>
  <c r="I74" i="6"/>
  <c r="H74" i="6"/>
  <c r="G74" i="6"/>
  <c r="F70" i="6"/>
  <c r="H70" i="6"/>
  <c r="G70" i="6"/>
  <c r="E70" i="6"/>
  <c r="D70" i="6"/>
  <c r="F66" i="6"/>
  <c r="E66" i="6"/>
  <c r="I66" i="6"/>
  <c r="H66" i="6"/>
  <c r="F62" i="6"/>
  <c r="H62" i="6"/>
  <c r="E62" i="6"/>
  <c r="D62" i="6"/>
  <c r="I62" i="6"/>
  <c r="G62" i="6"/>
  <c r="F58" i="6"/>
  <c r="E58" i="6"/>
  <c r="H58" i="6"/>
  <c r="G58" i="6"/>
  <c r="D58" i="6"/>
  <c r="F54" i="6"/>
  <c r="H54" i="6"/>
  <c r="D54" i="6"/>
  <c r="I54" i="6"/>
  <c r="I50" i="6"/>
  <c r="E50" i="6"/>
  <c r="D50" i="6"/>
  <c r="H50" i="6"/>
  <c r="I46" i="6"/>
  <c r="E46" i="6"/>
  <c r="G46" i="6"/>
  <c r="F46" i="6"/>
  <c r="D46" i="6"/>
  <c r="I42" i="6"/>
  <c r="E42" i="6"/>
  <c r="D42" i="6"/>
  <c r="H42" i="6"/>
  <c r="G42" i="6"/>
  <c r="F42" i="6"/>
  <c r="I38" i="6"/>
  <c r="E38" i="6"/>
  <c r="G38" i="6"/>
  <c r="F38" i="6"/>
  <c r="H38" i="6"/>
  <c r="I34" i="6"/>
  <c r="E34" i="6"/>
  <c r="D34" i="6"/>
  <c r="H34" i="6"/>
  <c r="I30" i="6"/>
  <c r="E30" i="6"/>
  <c r="G30" i="6"/>
  <c r="F30" i="6"/>
  <c r="D30" i="6"/>
  <c r="I26" i="6"/>
  <c r="E26" i="6"/>
  <c r="D26" i="6"/>
  <c r="H26" i="6"/>
  <c r="G26" i="6"/>
  <c r="F26" i="6"/>
  <c r="I22" i="6"/>
  <c r="E22" i="6"/>
  <c r="G22" i="6"/>
  <c r="F22" i="6"/>
  <c r="H22" i="6"/>
  <c r="I18" i="6"/>
  <c r="E18" i="6"/>
  <c r="D18" i="6"/>
  <c r="F18" i="6"/>
  <c r="I14" i="6"/>
  <c r="E14" i="6"/>
  <c r="G14" i="6"/>
  <c r="H14" i="6"/>
  <c r="F14" i="6"/>
  <c r="G9" i="6"/>
  <c r="F9" i="6"/>
  <c r="H9" i="6"/>
  <c r="E9" i="6"/>
  <c r="I9" i="6"/>
  <c r="D14" i="6"/>
  <c r="H18" i="6"/>
  <c r="D22" i="6"/>
  <c r="G50" i="6"/>
  <c r="G54" i="6"/>
  <c r="E78" i="6"/>
  <c r="I82" i="6"/>
  <c r="D102" i="6"/>
  <c r="H106" i="6"/>
  <c r="B5" i="10"/>
  <c r="B4" i="10"/>
  <c r="C2" i="10"/>
  <c r="C4" i="10" s="1"/>
  <c r="C5" i="10" l="1"/>
  <c r="D2" i="10"/>
  <c r="A1" i="9"/>
  <c r="B32" i="9" s="1"/>
  <c r="C6" i="8"/>
  <c r="D2" i="8"/>
  <c r="E2" i="10" l="1"/>
  <c r="D4" i="10"/>
  <c r="D5" i="10"/>
  <c r="B6" i="8"/>
  <c r="B31" i="9"/>
  <c r="B33" i="9"/>
  <c r="B17" i="9"/>
  <c r="B5" i="9"/>
  <c r="B29" i="9"/>
  <c r="B26" i="9"/>
  <c r="B3" i="9"/>
  <c r="B11" i="9"/>
  <c r="B23" i="9"/>
  <c r="B8" i="9"/>
  <c r="B20" i="9"/>
  <c r="D6" i="8"/>
  <c r="C9" i="8"/>
  <c r="F2" i="10" l="1"/>
  <c r="E5" i="10"/>
  <c r="E4" i="10"/>
  <c r="B15" i="9"/>
  <c r="B6" i="9"/>
  <c r="B13" i="9"/>
  <c r="B14" i="9" s="1"/>
  <c r="B12" i="9"/>
  <c r="B10" i="9"/>
  <c r="B19" i="9"/>
  <c r="B21" i="9"/>
  <c r="B4" i="9"/>
  <c r="B2" i="9"/>
  <c r="B16" i="9"/>
  <c r="B18" i="9"/>
  <c r="B7" i="9"/>
  <c r="B9" i="9"/>
  <c r="B27" i="9"/>
  <c r="B25" i="9"/>
  <c r="B24" i="9"/>
  <c r="B22" i="9"/>
  <c r="B28" i="9"/>
  <c r="B30" i="9"/>
  <c r="C12" i="8"/>
  <c r="B9" i="8"/>
  <c r="D9" i="8"/>
  <c r="E6" i="8"/>
  <c r="G2" i="10" l="1"/>
  <c r="F5" i="10"/>
  <c r="F4" i="10"/>
  <c r="D7" i="8"/>
  <c r="D10" i="8"/>
  <c r="C7" i="8"/>
  <c r="C13" i="8"/>
  <c r="C10" i="8"/>
  <c r="E7" i="8"/>
  <c r="E9" i="8"/>
  <c r="E10" i="8" s="1"/>
  <c r="F6" i="8"/>
  <c r="F7" i="8" s="1"/>
  <c r="C15" i="8"/>
  <c r="C16" i="8" s="1"/>
  <c r="B12" i="8"/>
  <c r="D12" i="8"/>
  <c r="D13" i="8" s="1"/>
  <c r="B7" i="7"/>
  <c r="G4" i="10" l="1"/>
  <c r="G5" i="10"/>
  <c r="G6" i="8"/>
  <c r="G7" i="8" s="1"/>
  <c r="F9" i="8"/>
  <c r="F10" i="8" s="1"/>
  <c r="E12" i="8"/>
  <c r="E13" i="8" s="1"/>
  <c r="D15" i="8"/>
  <c r="D16" i="8" s="1"/>
  <c r="C18" i="8"/>
  <c r="C19" i="8" s="1"/>
  <c r="B15" i="8"/>
  <c r="C7" i="7"/>
  <c r="B6" i="7"/>
  <c r="C21" i="8" l="1"/>
  <c r="C22" i="8" s="1"/>
  <c r="D18" i="8"/>
  <c r="D19" i="8" s="1"/>
  <c r="B18" i="8"/>
  <c r="E15" i="8"/>
  <c r="E16" i="8" s="1"/>
  <c r="F12" i="8"/>
  <c r="F13" i="8" s="1"/>
  <c r="G9" i="8"/>
  <c r="G10" i="8" s="1"/>
  <c r="H6" i="8"/>
  <c r="H7" i="8" s="1"/>
  <c r="D7" i="7"/>
  <c r="I6" i="8" l="1"/>
  <c r="I7" i="8" s="1"/>
  <c r="E18" i="8"/>
  <c r="E19" i="8" s="1"/>
  <c r="H9" i="8"/>
  <c r="H10" i="8" s="1"/>
  <c r="G12" i="8"/>
  <c r="G13" i="8" s="1"/>
  <c r="F15" i="8"/>
  <c r="F16" i="8" s="1"/>
  <c r="B21" i="8"/>
  <c r="D21" i="8"/>
  <c r="D22" i="8" s="1"/>
  <c r="E7" i="7"/>
  <c r="G15" i="8" l="1"/>
  <c r="G16" i="8" s="1"/>
  <c r="E21" i="8"/>
  <c r="E22" i="8" s="1"/>
  <c r="H12" i="8"/>
  <c r="H13" i="8" s="1"/>
  <c r="I9" i="8"/>
  <c r="I10" i="8" s="1"/>
  <c r="F18" i="8"/>
  <c r="F19" i="8" s="1"/>
  <c r="F7" i="7"/>
  <c r="H15" i="8" l="1"/>
  <c r="H16" i="8" s="1"/>
  <c r="F21" i="8"/>
  <c r="F22" i="8" s="1"/>
  <c r="G18" i="8"/>
  <c r="G19" i="8" s="1"/>
  <c r="I12" i="8"/>
  <c r="I13" i="8" s="1"/>
  <c r="G7" i="7"/>
  <c r="H18" i="8" l="1"/>
  <c r="H19" i="8" s="1"/>
  <c r="G21" i="8"/>
  <c r="G22" i="8" s="1"/>
  <c r="I15" i="8"/>
  <c r="I16" i="8" s="1"/>
  <c r="H7" i="7"/>
  <c r="I18" i="8" l="1"/>
  <c r="I19" i="8" s="1"/>
  <c r="H21" i="8"/>
  <c r="H22" i="8" s="1"/>
  <c r="H6" i="7"/>
  <c r="I21" i="8" l="1"/>
  <c r="I22" i="8" s="1"/>
  <c r="R125" i="6" l="1" a="1"/>
  <c r="R125" i="6" s="1"/>
  <c r="V125" i="6" l="1"/>
  <c r="R222" i="6" l="1" a="1"/>
  <c r="R222" i="6" s="1"/>
  <c r="V222" i="6" l="1"/>
  <c r="R185" i="6" l="1" a="1"/>
  <c r="R185" i="6" s="1"/>
  <c r="V185" i="6" l="1"/>
  <c r="R137" i="6" l="1" a="1"/>
  <c r="R137" i="6" s="1"/>
  <c r="R284" i="6" l="1" a="1"/>
  <c r="R284" i="6" s="1"/>
  <c r="V137" i="6" l="1"/>
  <c r="V284" i="6" l="1"/>
  <c r="R282" i="6" l="1" a="1"/>
  <c r="R282" i="6" s="1"/>
  <c r="V282" i="6" l="1"/>
  <c r="R6" i="6" l="1" a="1"/>
  <c r="R6" i="6" s="1"/>
  <c r="R83" i="6" l="1" a="1"/>
  <c r="R83" i="6" s="1"/>
  <c r="V83" i="6" l="1"/>
  <c r="R12" i="6" l="1" a="1"/>
  <c r="R12" i="6" s="1"/>
  <c r="R184" i="6" a="1"/>
  <c r="R184" i="6" s="1"/>
  <c r="R369" i="6" l="1" a="1"/>
  <c r="R369" i="6" s="1"/>
  <c r="R11" i="6" l="1" a="1"/>
  <c r="R11" i="6" s="1"/>
  <c r="R138" i="6" l="1" a="1"/>
  <c r="R138" i="6" s="1"/>
  <c r="V6" i="6" l="1"/>
  <c r="R337" i="6" l="1" a="1"/>
  <c r="R337" i="6" s="1"/>
  <c r="R299" i="6" l="1" a="1"/>
  <c r="R299" i="6" s="1"/>
  <c r="V337" i="6" l="1"/>
  <c r="V299" i="6" l="1"/>
  <c r="R317" i="6" l="1" a="1"/>
  <c r="R317" i="6" s="1"/>
  <c r="R99" i="6" l="1" a="1"/>
  <c r="R99" i="6" s="1"/>
  <c r="R377" i="6" a="1"/>
  <c r="R377" i="6" s="1"/>
  <c r="R60" i="6" a="1"/>
  <c r="R60" i="6" s="1"/>
  <c r="V317" i="6" l="1"/>
  <c r="V138" i="6" l="1"/>
  <c r="R140" i="6" l="1" a="1"/>
  <c r="R140" i="6" s="1"/>
  <c r="R205" i="6" l="1" a="1"/>
  <c r="R205" i="6" s="1"/>
  <c r="R419" i="6" l="1" a="1"/>
  <c r="R419" i="6" s="1"/>
  <c r="V140" i="6" l="1"/>
  <c r="R100" i="6" l="1" a="1"/>
  <c r="R100" i="6" s="1"/>
  <c r="R102" i="6" a="1"/>
  <c r="R102" i="6" s="1"/>
  <c r="R127" i="6" l="1" a="1"/>
  <c r="R127" i="6" s="1"/>
  <c r="R221" i="6" a="1"/>
  <c r="R221" i="6" s="1"/>
  <c r="R206" i="6" a="1"/>
  <c r="R206" i="6" s="1"/>
  <c r="R420" i="6" a="1"/>
  <c r="R420" i="6" s="1"/>
  <c r="V419" i="6" l="1"/>
  <c r="R398" i="6" l="1" a="1"/>
  <c r="R398" i="6" s="1"/>
  <c r="R129" i="6" a="1"/>
  <c r="R129" i="6" s="1"/>
  <c r="R9" i="6" l="1" a="1"/>
  <c r="R9" i="6" s="1"/>
  <c r="R89" i="6" a="1"/>
  <c r="R89" i="6" s="1"/>
  <c r="R124" i="6" a="1"/>
  <c r="R124" i="6" s="1"/>
  <c r="R339" i="6" l="1" a="1"/>
  <c r="R339" i="6" s="1"/>
  <c r="R201" i="6" l="1" a="1"/>
  <c r="R201" i="6" s="1"/>
  <c r="R61" i="6" a="1"/>
  <c r="R61" i="6" s="1"/>
  <c r="R283" i="6" a="1"/>
  <c r="R283" i="6" s="1"/>
  <c r="R122" i="6" a="1"/>
  <c r="R122" i="6" s="1"/>
  <c r="R220" i="6" l="1" a="1"/>
  <c r="R220" i="6" s="1"/>
  <c r="R40" i="6" l="1" a="1"/>
  <c r="R40" i="6" s="1"/>
  <c r="R272" i="6" a="1"/>
  <c r="R272" i="6" s="1"/>
  <c r="R204" i="6" l="1" a="1"/>
  <c r="R204" i="6" s="1"/>
  <c r="R170" i="6" l="1" a="1"/>
  <c r="R170" i="6" s="1"/>
  <c r="R34" i="6" l="1" a="1"/>
  <c r="R34" i="6" s="1"/>
  <c r="R13" i="6" a="1"/>
  <c r="R13" i="6" s="1"/>
  <c r="R207" i="6" l="1" a="1"/>
  <c r="R207" i="6" s="1"/>
  <c r="R90" i="6" a="1"/>
  <c r="R90" i="6" s="1"/>
  <c r="R87" i="6" l="1" a="1"/>
  <c r="R87" i="6" s="1"/>
  <c r="R84" i="6" a="1"/>
  <c r="R84" i="6" s="1"/>
  <c r="R171" i="6" a="1"/>
  <c r="R171" i="6" s="1"/>
  <c r="V124" i="6" l="1"/>
  <c r="R31" i="6" l="1" a="1"/>
  <c r="R31" i="6" s="1"/>
  <c r="V283" i="6" l="1"/>
  <c r="R8" i="6" l="1" a="1"/>
  <c r="R8" i="6" s="1"/>
  <c r="R32" i="6" l="1" a="1"/>
  <c r="R32" i="6" s="1"/>
  <c r="V272" i="6" l="1"/>
  <c r="R338" i="6" l="1" a="1"/>
  <c r="R338" i="6" s="1"/>
  <c r="V61" i="6" l="1"/>
  <c r="V398" i="6" l="1"/>
  <c r="V89" i="6" l="1"/>
  <c r="V339" i="6" l="1"/>
  <c r="V122" i="6" l="1"/>
  <c r="V40" i="6" l="1"/>
  <c r="V201" i="6" l="1"/>
  <c r="V129" i="6" l="1"/>
  <c r="V220" i="6" l="1"/>
  <c r="V9" i="6" l="1"/>
  <c r="R219" i="6" l="1" a="1"/>
  <c r="R219" i="6" s="1"/>
  <c r="R203" i="6" a="1"/>
  <c r="R203" i="6" s="1"/>
  <c r="R271" i="6" a="1"/>
  <c r="R271" i="6" s="1"/>
  <c r="R33" i="6" l="1" a="1"/>
  <c r="R33" i="6" s="1"/>
  <c r="R316" i="6" a="1"/>
  <c r="R316" i="6" s="1"/>
  <c r="R59" i="6" a="1"/>
  <c r="R59" i="6" s="1"/>
  <c r="R301" i="6" a="1"/>
  <c r="R301" i="6" s="1"/>
  <c r="V11" i="6" l="1"/>
  <c r="R431" i="6" l="1" a="1"/>
  <c r="R431" i="6" s="1"/>
  <c r="R128" i="6" l="1" a="1"/>
  <c r="R128" i="6" s="1"/>
  <c r="R298" i="6" a="1"/>
  <c r="R298" i="6" s="1"/>
  <c r="R223" i="6" l="1" a="1"/>
  <c r="R223" i="6" s="1"/>
  <c r="R139" i="6" a="1"/>
  <c r="R139" i="6" s="1"/>
  <c r="V12" i="6" l="1"/>
  <c r="V369" i="6" l="1"/>
  <c r="R378" i="6" l="1" a="1"/>
  <c r="R378" i="6" s="1"/>
  <c r="R38" i="6" a="1"/>
  <c r="R38" i="6" s="1"/>
  <c r="V127" i="6" l="1"/>
  <c r="V184" i="6" l="1"/>
  <c r="V221" i="6" l="1"/>
  <c r="V60" i="6" l="1"/>
  <c r="V420" i="6" l="1"/>
  <c r="V99" i="6" l="1"/>
  <c r="V102" i="6" l="1"/>
  <c r="V205" i="6" l="1"/>
  <c r="V206" i="6" l="1"/>
  <c r="V100" i="6" l="1"/>
  <c r="V377" i="6" l="1"/>
  <c r="R29" i="6" l="1" a="1"/>
  <c r="R29" i="6" s="1"/>
  <c r="R21" i="6" l="1" a="1"/>
  <c r="R21" i="6" s="1"/>
  <c r="R186" i="6" l="1" a="1"/>
  <c r="R186" i="6" s="1"/>
  <c r="R86" i="6" a="1"/>
  <c r="R86" i="6" s="1"/>
  <c r="R123" i="6" l="1" a="1"/>
  <c r="R123" i="6" s="1"/>
  <c r="R432" i="6" a="1"/>
  <c r="R432" i="6" s="1"/>
  <c r="V87" i="6" l="1"/>
  <c r="R141" i="6" l="1" a="1"/>
  <c r="R141" i="6" s="1"/>
  <c r="R30" i="6" a="1"/>
  <c r="R30" i="6" s="1"/>
  <c r="R28" i="6" a="1"/>
  <c r="R28" i="6" s="1"/>
  <c r="R53" i="6" l="1" a="1"/>
  <c r="R53" i="6" s="1"/>
  <c r="V34" i="6" l="1"/>
  <c r="R183" i="6" l="1" a="1"/>
  <c r="R183" i="6" s="1"/>
  <c r="V13" i="6" l="1"/>
  <c r="R5" i="6" l="1" a="1"/>
  <c r="R5" i="6" s="1"/>
  <c r="R39" i="6" a="1"/>
  <c r="R39" i="6" s="1"/>
  <c r="V84" i="6" l="1"/>
  <c r="V171" i="6" l="1"/>
  <c r="V207" i="6" l="1"/>
  <c r="V338" i="6" l="1"/>
  <c r="V204" i="6" l="1"/>
  <c r="V32" i="6" l="1"/>
  <c r="V8" i="6" l="1"/>
  <c r="V31" i="6" l="1"/>
  <c r="V170" i="6" l="1"/>
  <c r="V90" i="6" l="1"/>
  <c r="R368" i="6" l="1" a="1"/>
  <c r="R368" i="6" s="1"/>
  <c r="V368" i="6" s="1"/>
  <c r="V59" i="6" l="1"/>
  <c r="R126" i="6" l="1" a="1"/>
  <c r="R126" i="6" s="1"/>
  <c r="V126" i="6" s="1"/>
  <c r="R397" i="6" l="1" a="1"/>
  <c r="R397" i="6" s="1"/>
  <c r="V397" i="6" s="1"/>
  <c r="R300" i="6" l="1" a="1"/>
  <c r="R300" i="6" s="1"/>
  <c r="V300" i="6" s="1"/>
  <c r="R202" i="6" a="1"/>
  <c r="R202" i="6" s="1"/>
  <c r="V202" i="6" s="1"/>
  <c r="R101" i="6" a="1"/>
  <c r="R101" i="6" s="1"/>
  <c r="V101" i="6" s="1"/>
  <c r="R380" i="6" l="1" a="1"/>
  <c r="R380" i="6" s="1"/>
  <c r="V380" i="6" s="1"/>
  <c r="R54" i="6" l="1" a="1"/>
  <c r="R54" i="6" s="1"/>
  <c r="V54" i="6" s="1"/>
  <c r="V219" i="6" l="1"/>
  <c r="R62" i="6" l="1" a="1"/>
  <c r="R62" i="6" s="1"/>
  <c r="V62" i="6" s="1"/>
  <c r="R7" i="6" a="1"/>
  <c r="R7" i="6" s="1"/>
  <c r="V7" i="6" s="1"/>
  <c r="R381" i="6" a="1"/>
  <c r="R381" i="6" s="1"/>
  <c r="V381" i="6" s="1"/>
  <c r="R169" i="6" a="1"/>
  <c r="R169" i="6" s="1"/>
  <c r="V169" i="6" s="1"/>
  <c r="V301" i="6" l="1"/>
  <c r="R88" i="6" l="1" a="1"/>
  <c r="R88" i="6" s="1"/>
  <c r="V88" i="6" s="1"/>
  <c r="R379" i="6" a="1"/>
  <c r="R379" i="6" s="1"/>
  <c r="V379" i="6" s="1"/>
  <c r="V203" i="6" l="1"/>
  <c r="V271" i="6" l="1"/>
  <c r="V316" i="6" l="1"/>
  <c r="V298" i="6" l="1"/>
  <c r="V378" i="6" l="1"/>
  <c r="V128" i="6" l="1"/>
  <c r="V38" i="6" l="1"/>
  <c r="V223" i="6" l="1"/>
  <c r="V33" i="6" l="1"/>
  <c r="V139" i="6" l="1"/>
  <c r="V431" i="6" l="1"/>
  <c r="V29" i="6" l="1"/>
  <c r="V186" i="6" l="1"/>
  <c r="V183" i="6" l="1"/>
  <c r="V86" i="6" l="1"/>
  <c r="V5" i="6" l="1"/>
  <c r="V432" i="6" l="1"/>
  <c r="V28" i="6" l="1"/>
  <c r="S5" i="6" l="1"/>
  <c r="T5" i="6" s="1"/>
  <c r="S6" i="6" l="1"/>
  <c r="T6" i="6" s="1"/>
  <c r="R23" i="6" a="1"/>
  <c r="R23" i="6" s="1"/>
  <c r="R448" i="6" a="1"/>
  <c r="R448" i="6" s="1"/>
  <c r="R50" i="6" a="1"/>
  <c r="R50" i="6" s="1"/>
  <c r="R157" i="6" a="1"/>
  <c r="R157" i="6" s="1"/>
  <c r="R10" i="6" a="1"/>
  <c r="R10" i="6" s="1"/>
  <c r="R143" i="6" a="1"/>
  <c r="R143" i="6" s="1"/>
  <c r="R63" i="6" a="1"/>
  <c r="R63" i="6" s="1"/>
  <c r="R213" i="6" a="1"/>
  <c r="R213" i="6" s="1"/>
  <c r="R107" i="6" a="1"/>
  <c r="R107" i="6" s="1"/>
  <c r="R41" i="6" a="1"/>
  <c r="R41" i="6" s="1"/>
  <c r="R43" i="6" a="1"/>
  <c r="R43" i="6" s="1"/>
  <c r="U5" i="6"/>
  <c r="R145" i="6" l="1" a="1"/>
  <c r="R145" i="6" s="1"/>
  <c r="R357" i="6" a="1"/>
  <c r="R357" i="6" s="1"/>
  <c r="R14" i="6" a="1"/>
  <c r="R14" i="6" s="1"/>
  <c r="R156" i="6" a="1"/>
  <c r="R156" i="6" s="1"/>
  <c r="R322" i="6" a="1"/>
  <c r="R322" i="6" s="1"/>
  <c r="R435" i="6" a="1"/>
  <c r="R435" i="6" s="1"/>
  <c r="R154" i="6" a="1"/>
  <c r="R154" i="6" s="1"/>
  <c r="U6" i="6"/>
  <c r="S7" i="6"/>
  <c r="T7" i="6" s="1"/>
  <c r="R132" i="6" a="1"/>
  <c r="R132" i="6" s="1"/>
  <c r="R421" i="6" a="1"/>
  <c r="R421" i="6" s="1"/>
  <c r="R15" i="6" a="1"/>
  <c r="R15" i="6" s="1"/>
  <c r="R64" i="6" a="1"/>
  <c r="R64" i="6" s="1"/>
  <c r="R391" i="6" a="1"/>
  <c r="R391" i="6" s="1"/>
  <c r="U7" i="6" l="1"/>
  <c r="S8" i="6"/>
  <c r="T8" i="6" s="1"/>
  <c r="S9" i="6" l="1"/>
  <c r="T9" i="6" s="1"/>
  <c r="R44" i="6" a="1"/>
  <c r="R44" i="6" s="1"/>
  <c r="R111" i="6" a="1"/>
  <c r="R111" i="6" s="1"/>
  <c r="R94" i="6" a="1"/>
  <c r="R94" i="6" s="1"/>
  <c r="R45" i="6" a="1"/>
  <c r="R45" i="6" s="1"/>
  <c r="R75" i="6" a="1"/>
  <c r="R75" i="6" s="1"/>
  <c r="R197" i="6" a="1"/>
  <c r="R197" i="6" s="1"/>
  <c r="R358" i="6" a="1"/>
  <c r="R358" i="6" s="1"/>
  <c r="R227" i="6" a="1"/>
  <c r="R227" i="6" s="1"/>
  <c r="R291" i="6" a="1"/>
  <c r="R291" i="6" s="1"/>
  <c r="R321" i="6" a="1"/>
  <c r="R321" i="6" s="1"/>
  <c r="R230" i="6" a="1"/>
  <c r="R230" i="6" s="1"/>
  <c r="R16" i="6" a="1"/>
  <c r="R16" i="6" s="1"/>
  <c r="R196" i="6" a="1"/>
  <c r="R196" i="6" s="1"/>
  <c r="R238" i="6" a="1"/>
  <c r="R238" i="6" s="1"/>
  <c r="R340" i="6" a="1"/>
  <c r="R340" i="6" s="1"/>
  <c r="R108" i="6" a="1"/>
  <c r="R108" i="6" s="1"/>
  <c r="R47" i="6" a="1"/>
  <c r="R47" i="6" s="1"/>
  <c r="R20" i="6" a="1"/>
  <c r="R20" i="6" s="1"/>
  <c r="R324" i="6" a="1"/>
  <c r="R324" i="6" s="1"/>
  <c r="R226" i="6" a="1"/>
  <c r="R226" i="6" s="1"/>
  <c r="U8" i="6"/>
  <c r="R214" i="6" l="1" a="1"/>
  <c r="R214" i="6" s="1"/>
  <c r="R147" i="6" a="1"/>
  <c r="R147" i="6" s="1"/>
  <c r="R19" i="6" a="1"/>
  <c r="R19" i="6" s="1"/>
  <c r="R240" i="6" a="1"/>
  <c r="R240" i="6" s="1"/>
  <c r="R18" i="6" a="1"/>
  <c r="R18" i="6" s="1"/>
  <c r="R149" i="6" a="1"/>
  <c r="R149" i="6" s="1"/>
  <c r="R392" i="6" a="1"/>
  <c r="R392" i="6" s="1"/>
  <c r="R17" i="6" a="1"/>
  <c r="R17" i="6" s="1"/>
  <c r="R239" i="6" a="1"/>
  <c r="R239" i="6" s="1"/>
  <c r="U9" i="6"/>
  <c r="S10" i="6"/>
  <c r="T10" i="6" s="1"/>
  <c r="V10" i="6" l="1"/>
  <c r="S11" i="6" l="1"/>
  <c r="T11" i="6" s="1"/>
  <c r="R91" i="6" a="1"/>
  <c r="R91" i="6" s="1"/>
  <c r="R68" i="6" a="1"/>
  <c r="R68" i="6" s="1"/>
  <c r="R212" i="6" a="1"/>
  <c r="R212" i="6" s="1"/>
  <c r="R22" i="6" a="1"/>
  <c r="R22" i="6" s="1"/>
  <c r="R160" i="6" a="1"/>
  <c r="R160" i="6" s="1"/>
  <c r="R188" i="6" a="1"/>
  <c r="R188" i="6" s="1"/>
  <c r="R471" i="6" a="1"/>
  <c r="R471" i="6" s="1"/>
  <c r="R80" i="6" a="1"/>
  <c r="R80" i="6" s="1"/>
  <c r="R262" i="6" a="1"/>
  <c r="R262" i="6" s="1"/>
  <c r="R48" i="6" a="1"/>
  <c r="R48" i="6" s="1"/>
  <c r="R70" i="6" a="1"/>
  <c r="R70" i="6" s="1"/>
  <c r="U10" i="6"/>
  <c r="U11" i="6" l="1"/>
  <c r="S12" i="6"/>
  <c r="T12" i="6" s="1"/>
  <c r="V21" i="6"/>
  <c r="U12" i="6" l="1"/>
  <c r="S13" i="6"/>
  <c r="T13" i="6" s="1"/>
  <c r="S14" i="6" l="1"/>
  <c r="T14" i="6" s="1"/>
  <c r="U13" i="6"/>
  <c r="V14" i="6" l="1"/>
  <c r="R399" i="6" l="1" a="1"/>
  <c r="R399" i="6" s="1"/>
  <c r="R209" i="6" a="1"/>
  <c r="R209" i="6" s="1"/>
  <c r="R24" i="6" a="1"/>
  <c r="R24" i="6" s="1"/>
  <c r="R463" i="6" a="1"/>
  <c r="R463" i="6" s="1"/>
  <c r="R211" i="6" a="1"/>
  <c r="R211" i="6" s="1"/>
  <c r="R190" i="6" a="1"/>
  <c r="R190" i="6" s="1"/>
  <c r="R371" i="6" a="1"/>
  <c r="R371" i="6" s="1"/>
  <c r="U14" i="6"/>
  <c r="S15" i="6"/>
  <c r="T15" i="6" s="1"/>
  <c r="R92" i="6" a="1"/>
  <c r="R92" i="6" s="1"/>
  <c r="R459" i="6" a="1"/>
  <c r="R459" i="6" s="1"/>
  <c r="R174" i="6" a="1"/>
  <c r="R174" i="6" s="1"/>
  <c r="R25" i="6" a="1"/>
  <c r="R25" i="6" s="1"/>
  <c r="R441" i="6" a="1"/>
  <c r="R441" i="6" s="1"/>
  <c r="V15" i="6" l="1"/>
  <c r="U15" i="6" l="1"/>
  <c r="S16" i="6"/>
  <c r="T16" i="6" s="1"/>
  <c r="V16" i="6" l="1"/>
  <c r="S17" i="6" l="1"/>
  <c r="T17" i="6" s="1"/>
  <c r="R253" i="6" a="1"/>
  <c r="R253" i="6" s="1"/>
  <c r="R276" i="6" a="1"/>
  <c r="R276" i="6" s="1"/>
  <c r="R152" i="6" a="1"/>
  <c r="R152" i="6" s="1"/>
  <c r="R26" i="6" a="1"/>
  <c r="R26" i="6" s="1"/>
  <c r="R373" i="6" a="1"/>
  <c r="R373" i="6" s="1"/>
  <c r="R37" i="6" a="1"/>
  <c r="R37" i="6" s="1"/>
  <c r="R279" i="6" a="1"/>
  <c r="R279" i="6" s="1"/>
  <c r="R161" i="6" a="1"/>
  <c r="R161" i="6" s="1"/>
  <c r="R354" i="6" a="1"/>
  <c r="R354" i="6" s="1"/>
  <c r="R370" i="6" a="1"/>
  <c r="R370" i="6" s="1"/>
  <c r="R71" i="6" a="1"/>
  <c r="R71" i="6" s="1"/>
  <c r="R164" i="6" a="1"/>
  <c r="R164" i="6" s="1"/>
  <c r="R74" i="6" a="1"/>
  <c r="R74" i="6" s="1"/>
  <c r="R285" i="6" a="1"/>
  <c r="R285" i="6" s="1"/>
  <c r="R382" i="6" a="1"/>
  <c r="R382" i="6" s="1"/>
  <c r="R252" i="6" a="1"/>
  <c r="R252" i="6" s="1"/>
  <c r="R400" i="6" a="1"/>
  <c r="R400" i="6" s="1"/>
  <c r="R72" i="6" a="1"/>
  <c r="R72" i="6" s="1"/>
  <c r="R103" i="6" a="1"/>
  <c r="R103" i="6" s="1"/>
  <c r="R275" i="6" a="1"/>
  <c r="R275" i="6" s="1"/>
  <c r="U16" i="6"/>
  <c r="V17" i="6" l="1"/>
  <c r="R35" i="6" l="1" a="1"/>
  <c r="R35" i="6" s="1"/>
  <c r="R442" i="6" a="1"/>
  <c r="R442" i="6" s="1"/>
  <c r="R286" i="6" a="1"/>
  <c r="R286" i="6" s="1"/>
  <c r="R192" i="6" a="1"/>
  <c r="R192" i="6" s="1"/>
  <c r="R263" i="6" a="1"/>
  <c r="R263" i="6" s="1"/>
  <c r="R36" i="6" a="1"/>
  <c r="R36" i="6" s="1"/>
  <c r="R194" i="6" a="1"/>
  <c r="R194" i="6" s="1"/>
  <c r="R27" i="6" a="1"/>
  <c r="R27" i="6" s="1"/>
  <c r="R287" i="6" a="1"/>
  <c r="R287" i="6" s="1"/>
  <c r="U17" i="6"/>
  <c r="S18" i="6"/>
  <c r="T18" i="6" s="1"/>
  <c r="V18" i="6" l="1"/>
  <c r="U18" i="6" l="1"/>
  <c r="S19" i="6"/>
  <c r="T19" i="6" s="1"/>
  <c r="V19" i="6" l="1"/>
  <c r="U19" i="6" l="1"/>
  <c r="S20" i="6"/>
  <c r="T20" i="6" s="1"/>
  <c r="V123" i="6"/>
  <c r="U20" i="6" l="1"/>
  <c r="V20" i="6"/>
  <c r="V39" i="6" l="1"/>
  <c r="S21" i="6" l="1"/>
  <c r="T21" i="6" l="1"/>
  <c r="S22" i="6" s="1"/>
  <c r="U21" i="6" l="1"/>
  <c r="T22" i="6"/>
  <c r="S23" i="6" s="1"/>
  <c r="T23" i="6" s="1"/>
  <c r="V22" i="6"/>
  <c r="R52" i="6" a="1"/>
  <c r="R52" i="6" s="1"/>
  <c r="R270" i="6" a="1"/>
  <c r="R270" i="6" s="1"/>
  <c r="R233" i="6" a="1"/>
  <c r="R233" i="6" s="1"/>
  <c r="R333" i="6" a="1"/>
  <c r="R333" i="6" s="1"/>
  <c r="R515" i="6" a="1"/>
  <c r="R515" i="6" s="1"/>
  <c r="R255" i="6" a="1"/>
  <c r="R255" i="6" s="1"/>
  <c r="R82" i="6" a="1"/>
  <c r="R82" i="6" s="1"/>
  <c r="R158" i="6" a="1"/>
  <c r="R158" i="6" s="1"/>
  <c r="R135" i="6" a="1"/>
  <c r="R135" i="6" s="1"/>
  <c r="R117" i="6" a="1"/>
  <c r="R117" i="6" s="1"/>
  <c r="R115" i="6" a="1"/>
  <c r="R115" i="6" s="1"/>
  <c r="U22" i="6"/>
  <c r="S24" i="6"/>
  <c r="T24" i="6" s="1"/>
  <c r="V23" i="6"/>
  <c r="V24" i="6" l="1"/>
  <c r="U23" i="6"/>
  <c r="R269" i="6" l="1" a="1"/>
  <c r="R269" i="6" s="1"/>
  <c r="R267" i="6" a="1"/>
  <c r="R267" i="6" s="1"/>
  <c r="R257" i="6" a="1"/>
  <c r="R257" i="6" s="1"/>
  <c r="R55" i="6" a="1"/>
  <c r="R55" i="6" s="1"/>
  <c r="R438" i="6" a="1"/>
  <c r="R438" i="6" s="1"/>
  <c r="R456" i="6" a="1"/>
  <c r="R456" i="6" s="1"/>
  <c r="R512" i="6" a="1"/>
  <c r="R512" i="6" s="1"/>
  <c r="U24" i="6"/>
  <c r="S25" i="6"/>
  <c r="T25" i="6" s="1"/>
  <c r="R481" i="6" a="1"/>
  <c r="R481" i="6" s="1"/>
  <c r="R249" i="6" a="1"/>
  <c r="R249" i="6" s="1"/>
  <c r="R56" i="6" a="1"/>
  <c r="R56" i="6" s="1"/>
  <c r="R505" i="6" a="1"/>
  <c r="R505" i="6" s="1"/>
  <c r="R159" i="6" a="1"/>
  <c r="R159" i="6" s="1"/>
  <c r="V25" i="6" l="1"/>
  <c r="U25" i="6" l="1"/>
  <c r="S26" i="6"/>
  <c r="T26" i="6" s="1"/>
  <c r="V26" i="6" l="1"/>
  <c r="S27" i="6" l="1"/>
  <c r="T27" i="6" s="1"/>
  <c r="R67" i="6" a="1"/>
  <c r="R67" i="6" s="1"/>
  <c r="R118" i="6" a="1"/>
  <c r="R118" i="6" s="1"/>
  <c r="R350" i="6" a="1"/>
  <c r="R350" i="6" s="1"/>
  <c r="R119" i="6" a="1"/>
  <c r="R119" i="6" s="1"/>
  <c r="R449" i="6" a="1"/>
  <c r="R449" i="6" s="1"/>
  <c r="R218" i="6" a="1"/>
  <c r="R218" i="6" s="1"/>
  <c r="R121" i="6" a="1"/>
  <c r="R121" i="6" s="1"/>
  <c r="R314" i="6" a="1"/>
  <c r="R314" i="6" s="1"/>
  <c r="R165" i="6" a="1"/>
  <c r="R165" i="6" s="1"/>
  <c r="R437" i="6" a="1"/>
  <c r="R437" i="6" s="1"/>
  <c r="R234" i="6" a="1"/>
  <c r="R234" i="6" s="1"/>
  <c r="R237" i="6" a="1"/>
  <c r="R237" i="6" s="1"/>
  <c r="R57" i="6" a="1"/>
  <c r="R57" i="6" s="1"/>
  <c r="R349" i="6" a="1"/>
  <c r="R349" i="6" s="1"/>
  <c r="R440" i="6" a="1"/>
  <c r="R440" i="6" s="1"/>
  <c r="R315" i="6" a="1"/>
  <c r="R315" i="6" s="1"/>
  <c r="R353" i="6" a="1"/>
  <c r="R353" i="6" s="1"/>
  <c r="R457" i="6" a="1"/>
  <c r="R457" i="6" s="1"/>
  <c r="R360" i="6" a="1"/>
  <c r="R360" i="6" s="1"/>
  <c r="R417" i="6" a="1"/>
  <c r="R417" i="6" s="1"/>
  <c r="U26" i="6"/>
  <c r="V27" i="6" l="1"/>
  <c r="R66" i="6" l="1" a="1"/>
  <c r="R66" i="6" s="1"/>
  <c r="R65" i="6" a="1"/>
  <c r="R65" i="6" s="1"/>
  <c r="R261" i="6" a="1"/>
  <c r="R261" i="6" s="1"/>
  <c r="R482" i="6" a="1"/>
  <c r="R482" i="6" s="1"/>
  <c r="R334" i="6" a="1"/>
  <c r="R334" i="6" s="1"/>
  <c r="R259" i="6" a="1"/>
  <c r="R259" i="6" s="1"/>
  <c r="R362" i="6" a="1"/>
  <c r="R362" i="6" s="1"/>
  <c r="R58" i="6" a="1"/>
  <c r="R58" i="6" s="1"/>
  <c r="R361" i="6" a="1"/>
  <c r="R361" i="6" s="1"/>
  <c r="U27" i="6"/>
  <c r="S28" i="6"/>
  <c r="T28" i="6" s="1"/>
  <c r="S29" i="6" l="1"/>
  <c r="T29" i="6" s="1"/>
  <c r="U28" i="6"/>
  <c r="V53" i="6"/>
  <c r="R447" i="6" l="1" a="1"/>
  <c r="R447" i="6" s="1"/>
  <c r="R155" i="6" a="1"/>
  <c r="R155" i="6" s="1"/>
  <c r="R148" i="6" a="1"/>
  <c r="R148" i="6" s="1"/>
  <c r="R406" i="6" a="1"/>
  <c r="R406" i="6" s="1"/>
  <c r="R242" i="6" a="1"/>
  <c r="R242" i="6" s="1"/>
  <c r="R46" i="6" a="1"/>
  <c r="R46" i="6" s="1"/>
  <c r="R49" i="6" a="1"/>
  <c r="R49" i="6" s="1"/>
  <c r="R216" i="6" a="1"/>
  <c r="R216" i="6" s="1"/>
  <c r="R42" i="6" a="1"/>
  <c r="R42" i="6" s="1"/>
  <c r="U29" i="6"/>
  <c r="V141" i="6" l="1"/>
  <c r="V30" i="6" l="1"/>
  <c r="S30" i="6" l="1"/>
  <c r="T30" i="6" l="1"/>
  <c r="S31" i="6" s="1"/>
  <c r="T31" i="6" s="1"/>
  <c r="S32" i="6" l="1"/>
  <c r="T32" i="6" s="1"/>
  <c r="U32" i="6" s="1"/>
  <c r="U31" i="6"/>
  <c r="U30" i="6"/>
  <c r="S33" i="6" l="1"/>
  <c r="T33" i="6" s="1"/>
  <c r="S34" i="6" s="1"/>
  <c r="T34" i="6" s="1"/>
  <c r="U33" i="6" l="1"/>
  <c r="S35" i="6"/>
  <c r="T35" i="6" s="1"/>
  <c r="U34" i="6"/>
  <c r="V35" i="6" l="1"/>
  <c r="U35" i="6" l="1"/>
  <c r="S36" i="6"/>
  <c r="T36" i="6" s="1"/>
  <c r="V36" i="6" l="1"/>
  <c r="U36" i="6" l="1"/>
  <c r="S37" i="6"/>
  <c r="T37" i="6" s="1"/>
  <c r="V37" i="6" l="1"/>
  <c r="U37" i="6" l="1"/>
  <c r="S38" i="6"/>
  <c r="T38" i="6" s="1"/>
  <c r="U38" i="6" l="1"/>
  <c r="S39" i="6"/>
  <c r="T39" i="6" s="1"/>
  <c r="S40" i="6" l="1"/>
  <c r="T40" i="6" s="1"/>
  <c r="U39" i="6"/>
  <c r="R422" i="6" l="1" a="1"/>
  <c r="R422" i="6" s="1"/>
  <c r="R359" i="6" a="1"/>
  <c r="R359" i="6" s="1"/>
  <c r="R51" i="6" a="1"/>
  <c r="R51" i="6" s="1"/>
  <c r="R292" i="6" a="1"/>
  <c r="R292" i="6" s="1"/>
  <c r="R144" i="6" a="1"/>
  <c r="R144" i="6" s="1"/>
  <c r="R224" i="6" a="1"/>
  <c r="R224" i="6" s="1"/>
  <c r="R110" i="6" a="1"/>
  <c r="R110" i="6" s="1"/>
  <c r="R77" i="6" a="1"/>
  <c r="R77" i="6" s="1"/>
  <c r="R142" i="6" a="1"/>
  <c r="R142" i="6" s="1"/>
  <c r="R307" i="6" a="1"/>
  <c r="R307" i="6" s="1"/>
  <c r="U40" i="6"/>
  <c r="S41" i="6"/>
  <c r="T41" i="6" s="1"/>
  <c r="V41" i="6" l="1"/>
  <c r="S42" i="6" l="1"/>
  <c r="T42" i="6" s="1"/>
  <c r="U41" i="6"/>
  <c r="V42" i="6" l="1"/>
  <c r="R210" i="6" l="1" a="1"/>
  <c r="R210" i="6" s="1"/>
  <c r="R452" i="6" a="1"/>
  <c r="R452" i="6" s="1"/>
  <c r="R470" i="6" a="1"/>
  <c r="R470" i="6" s="1"/>
  <c r="R79" i="6" a="1"/>
  <c r="R79" i="6" s="1"/>
  <c r="R193" i="6" a="1"/>
  <c r="R193" i="6" s="1"/>
  <c r="R289" i="6" a="1"/>
  <c r="R289" i="6" s="1"/>
  <c r="R73" i="6" a="1"/>
  <c r="R73" i="6" s="1"/>
  <c r="R69" i="6" a="1"/>
  <c r="R69" i="6" s="1"/>
  <c r="R265" i="6" a="1"/>
  <c r="R265" i="6" s="1"/>
  <c r="U42" i="6"/>
  <c r="S43" i="6"/>
  <c r="T43" i="6" s="1"/>
  <c r="V43" i="6" l="1"/>
  <c r="S44" i="6" l="1"/>
  <c r="T44" i="6" s="1"/>
  <c r="U43" i="6"/>
  <c r="V44" i="6" l="1"/>
  <c r="S45" i="6" l="1"/>
  <c r="T45" i="6" s="1"/>
  <c r="U44" i="6"/>
  <c r="V45" i="6" l="1"/>
  <c r="U45" i="6" l="1"/>
  <c r="S46" i="6"/>
  <c r="T46" i="6" s="1"/>
  <c r="V46" i="6" l="1"/>
  <c r="S47" i="6" l="1"/>
  <c r="T47" i="6" s="1"/>
  <c r="U46" i="6"/>
  <c r="V47" i="6" l="1"/>
  <c r="U47" i="6" l="1"/>
  <c r="S48" i="6"/>
  <c r="T48" i="6" s="1"/>
  <c r="V48" i="6" l="1"/>
  <c r="S49" i="6" l="1"/>
  <c r="T49" i="6" s="1"/>
  <c r="U48" i="6"/>
  <c r="V49" i="6" l="1"/>
  <c r="U49" i="6" l="1"/>
  <c r="S50" i="6"/>
  <c r="T50" i="6" s="1"/>
  <c r="V50" i="6" l="1"/>
  <c r="S51" i="6" l="1"/>
  <c r="T51" i="6" s="1"/>
  <c r="U50" i="6"/>
  <c r="V51" i="6" l="1"/>
  <c r="R189" i="6" l="1" a="1"/>
  <c r="R189" i="6" s="1"/>
  <c r="R460" i="6" a="1"/>
  <c r="R460" i="6" s="1"/>
  <c r="R105" i="6" a="1"/>
  <c r="R105" i="6" s="1"/>
  <c r="R163" i="6" a="1"/>
  <c r="R163" i="6" s="1"/>
  <c r="R81" i="6" a="1"/>
  <c r="R81" i="6" s="1"/>
  <c r="R355" i="6" a="1"/>
  <c r="R355" i="6" s="1"/>
  <c r="R187" i="6" a="1"/>
  <c r="R187" i="6" s="1"/>
  <c r="R366" i="6" a="1"/>
  <c r="R366" i="6" s="1"/>
  <c r="R273" i="6" a="1"/>
  <c r="R273" i="6" s="1"/>
  <c r="R401" i="6" a="1"/>
  <c r="R401" i="6" s="1"/>
  <c r="U51" i="6"/>
  <c r="S52" i="6"/>
  <c r="T52" i="6" s="1"/>
  <c r="V52" i="6" l="1"/>
  <c r="R293" i="6" l="1" a="1"/>
  <c r="R293" i="6" s="1"/>
  <c r="R178" i="6" a="1"/>
  <c r="R178" i="6" s="1"/>
  <c r="R393" i="6" a="1"/>
  <c r="R393" i="6" s="1"/>
  <c r="R150" i="6" a="1"/>
  <c r="R150" i="6" s="1"/>
  <c r="R176" i="6" a="1"/>
  <c r="R176" i="6" s="1"/>
  <c r="R85" i="6" a="1"/>
  <c r="R85" i="6" s="1"/>
  <c r="R547" i="6" a="1"/>
  <c r="R547" i="6" s="1"/>
  <c r="R326" i="6" a="1"/>
  <c r="R326" i="6" s="1"/>
  <c r="R231" i="6" a="1"/>
  <c r="R231" i="6" s="1"/>
  <c r="R199" i="6" a="1"/>
  <c r="R199" i="6" s="1"/>
  <c r="R346" i="6" a="1"/>
  <c r="R346" i="6" s="1"/>
  <c r="U52" i="6"/>
  <c r="S53" i="6"/>
  <c r="T53" i="6" s="1"/>
  <c r="S54" i="6" l="1"/>
  <c r="T54" i="6" s="1"/>
  <c r="U53" i="6"/>
  <c r="S55" i="6" l="1"/>
  <c r="T55" i="6" s="1"/>
  <c r="U54" i="6"/>
  <c r="V55" i="6" l="1"/>
  <c r="R95" i="6" l="1" a="1"/>
  <c r="R95" i="6" s="1"/>
  <c r="R328" i="6" a="1"/>
  <c r="R328" i="6" s="1"/>
  <c r="R345" i="6" a="1"/>
  <c r="R345" i="6" s="1"/>
  <c r="R478" i="6" a="1"/>
  <c r="R478" i="6" s="1"/>
  <c r="R502" i="6" a="1"/>
  <c r="R502" i="6" s="1"/>
  <c r="R539" i="6" a="1"/>
  <c r="R539" i="6" s="1"/>
  <c r="U55" i="6"/>
  <c r="S56" i="6"/>
  <c r="T56" i="6" s="1"/>
  <c r="R343" i="6" a="1"/>
  <c r="R343" i="6" s="1"/>
  <c r="R516" i="6" a="1"/>
  <c r="R516" i="6" s="1"/>
  <c r="R232" i="6" a="1"/>
  <c r="R232" i="6" s="1"/>
  <c r="R311" i="6" a="1"/>
  <c r="R311" i="6" s="1"/>
  <c r="R96" i="6" a="1"/>
  <c r="R96" i="6" s="1"/>
  <c r="R530" i="6" a="1"/>
  <c r="R530" i="6" s="1"/>
  <c r="V56" i="6" l="1"/>
  <c r="U56" i="6" l="1"/>
  <c r="S57" i="6"/>
  <c r="T57" i="6" s="1"/>
  <c r="V57" i="6" l="1"/>
  <c r="S58" i="6" l="1"/>
  <c r="T58" i="6" s="1"/>
  <c r="R294" i="6" a="1"/>
  <c r="R294" i="6" s="1"/>
  <c r="R297" i="6" a="1"/>
  <c r="R297" i="6" s="1"/>
  <c r="R180" i="6" a="1"/>
  <c r="R180" i="6" s="1"/>
  <c r="R114" i="6" a="1"/>
  <c r="R114" i="6" s="1"/>
  <c r="R461" i="6" a="1"/>
  <c r="R461" i="6" s="1"/>
  <c r="R281" i="6" a="1"/>
  <c r="R281" i="6" s="1"/>
  <c r="R416" i="6" a="1"/>
  <c r="R416" i="6" s="1"/>
  <c r="R376" i="6" a="1"/>
  <c r="R376" i="6" s="1"/>
  <c r="R423" i="6" a="1"/>
  <c r="R423" i="6" s="1"/>
  <c r="R412" i="6" a="1"/>
  <c r="R412" i="6" s="1"/>
  <c r="R182" i="6" a="1"/>
  <c r="R182" i="6" s="1"/>
  <c r="R97" i="6" a="1"/>
  <c r="R97" i="6" s="1"/>
  <c r="R179" i="6" a="1"/>
  <c r="R179" i="6" s="1"/>
  <c r="R480" i="6" a="1"/>
  <c r="R480" i="6" s="1"/>
  <c r="R243" i="6" a="1"/>
  <c r="R243" i="6" s="1"/>
  <c r="R413" i="6" a="1"/>
  <c r="R413" i="6" s="1"/>
  <c r="R375" i="6" a="1"/>
  <c r="R375" i="6" s="1"/>
  <c r="R503" i="6" a="1"/>
  <c r="R503" i="6" s="1"/>
  <c r="R487" i="6" a="1"/>
  <c r="R487" i="6" s="1"/>
  <c r="R477" i="6" a="1"/>
  <c r="R477" i="6" s="1"/>
  <c r="U57" i="6"/>
  <c r="V58" i="6" l="1"/>
  <c r="R394" i="6" l="1" a="1"/>
  <c r="R394" i="6" s="1"/>
  <c r="R113" i="6" a="1"/>
  <c r="R113" i="6" s="1"/>
  <c r="R332" i="6" a="1"/>
  <c r="R332" i="6" s="1"/>
  <c r="R112" i="6" a="1"/>
  <c r="R112" i="6" s="1"/>
  <c r="R517" i="6" a="1"/>
  <c r="R517" i="6" s="1"/>
  <c r="R98" i="6" a="1"/>
  <c r="R98" i="6" s="1"/>
  <c r="R425" i="6" a="1"/>
  <c r="R425" i="6" s="1"/>
  <c r="R424" i="6" a="1"/>
  <c r="R424" i="6" s="1"/>
  <c r="R330" i="6" a="1"/>
  <c r="R330" i="6" s="1"/>
  <c r="U58" i="6"/>
  <c r="S59" i="6"/>
  <c r="T59" i="6" s="1"/>
  <c r="S60" i="6" l="1"/>
  <c r="T60" i="6" s="1"/>
  <c r="U59" i="6"/>
  <c r="S61" i="6" l="1"/>
  <c r="T61" i="6" s="1"/>
  <c r="R131" i="6" a="1"/>
  <c r="R131" i="6" s="1"/>
  <c r="R436" i="6" a="1"/>
  <c r="R436" i="6" s="1"/>
  <c r="U60" i="6"/>
  <c r="R405" i="6" a="1"/>
  <c r="R405" i="6" s="1"/>
  <c r="R229" i="6" a="1"/>
  <c r="R229" i="6" s="1"/>
  <c r="R130" i="6" a="1"/>
  <c r="R130" i="6" s="1"/>
  <c r="R76" i="6" a="1"/>
  <c r="R76" i="6" s="1"/>
  <c r="R133" i="6" a="1"/>
  <c r="R133" i="6" s="1"/>
  <c r="R228" i="6" a="1"/>
  <c r="R228" i="6" s="1"/>
  <c r="S62" i="6" l="1"/>
  <c r="T62" i="6" s="1"/>
  <c r="U61" i="6"/>
  <c r="R323" i="6" l="1" a="1"/>
  <c r="R323" i="6" s="1"/>
  <c r="U62" i="6"/>
  <c r="R195" i="6" a="1"/>
  <c r="R195" i="6" s="1"/>
  <c r="R409" i="6" a="1"/>
  <c r="R409" i="6" s="1"/>
  <c r="R225" i="6" a="1"/>
  <c r="R225" i="6" s="1"/>
  <c r="R146" i="6" a="1"/>
  <c r="R146" i="6" s="1"/>
  <c r="R78" i="6" a="1"/>
  <c r="R78" i="6" s="1"/>
  <c r="R408" i="6" a="1"/>
  <c r="R408" i="6" s="1"/>
  <c r="R407" i="6" a="1"/>
  <c r="R407" i="6" s="1"/>
  <c r="R109" i="6" a="1"/>
  <c r="R109" i="6" s="1"/>
  <c r="S63" i="6"/>
  <c r="T63" i="6" s="1"/>
  <c r="V63" i="6" l="1"/>
  <c r="S64" i="6" l="1"/>
  <c r="T64" i="6" s="1"/>
  <c r="U63" i="6"/>
  <c r="V64" i="6" l="1"/>
  <c r="U64" i="6" l="1"/>
  <c r="S65" i="6"/>
  <c r="T65" i="6" s="1"/>
  <c r="V65" i="6" l="1"/>
  <c r="U65" i="6" l="1"/>
  <c r="S66" i="6"/>
  <c r="T66" i="6" s="1"/>
  <c r="V66" i="6" l="1"/>
  <c r="U66" i="6" l="1"/>
  <c r="S67" i="6"/>
  <c r="T67" i="6" s="1"/>
  <c r="V67" i="6" l="1"/>
  <c r="U67" i="6" l="1"/>
  <c r="S68" i="6"/>
  <c r="T68" i="6" s="1"/>
  <c r="V68" i="6" l="1"/>
  <c r="S69" i="6" l="1"/>
  <c r="T69" i="6" s="1"/>
  <c r="U68" i="6"/>
  <c r="V69" i="6" l="1"/>
  <c r="R490" i="6" l="1" a="1"/>
  <c r="R490" i="6" s="1"/>
  <c r="R364" i="6" a="1"/>
  <c r="R364" i="6" s="1"/>
  <c r="R260" i="6" a="1"/>
  <c r="R260" i="6" s="1"/>
  <c r="R134" i="6" a="1"/>
  <c r="R134" i="6" s="1"/>
  <c r="R268" i="6" a="1"/>
  <c r="R268" i="6" s="1"/>
  <c r="R514" i="6" a="1"/>
  <c r="R514" i="6" s="1"/>
  <c r="R120" i="6" a="1"/>
  <c r="R120" i="6" s="1"/>
  <c r="R116" i="6" a="1"/>
  <c r="R116" i="6" s="1"/>
  <c r="R336" i="6" a="1"/>
  <c r="R336" i="6" s="1"/>
  <c r="U69" i="6"/>
  <c r="S70" i="6"/>
  <c r="T70" i="6" s="1"/>
  <c r="V70" i="6" l="1"/>
  <c r="S71" i="6" l="1"/>
  <c r="T71" i="6" s="1"/>
  <c r="U70" i="6"/>
  <c r="V71" i="6" l="1"/>
  <c r="S72" i="6" l="1"/>
  <c r="T72" i="6" s="1"/>
  <c r="U71" i="6"/>
  <c r="V72" i="6" l="1"/>
  <c r="U72" i="6" l="1"/>
  <c r="S73" i="6"/>
  <c r="T73" i="6" s="1"/>
  <c r="V73" i="6" l="1"/>
  <c r="S74" i="6" l="1"/>
  <c r="T74" i="6" s="1"/>
  <c r="U73" i="6"/>
  <c r="V74" i="6" l="1"/>
  <c r="U74" i="6" l="1"/>
  <c r="S75" i="6"/>
  <c r="T75" i="6" s="1"/>
  <c r="V75" i="6" l="1"/>
  <c r="S76" i="6" l="1"/>
  <c r="T76" i="6" s="1"/>
  <c r="U75" i="6"/>
  <c r="V76" i="6" l="1"/>
  <c r="S77" i="6" l="1"/>
  <c r="T77" i="6" s="1"/>
  <c r="R464" i="6" a="1"/>
  <c r="R464" i="6" s="1"/>
  <c r="R278" i="6" a="1"/>
  <c r="R278" i="6" s="1"/>
  <c r="R172" i="6" a="1"/>
  <c r="R172" i="6" s="1"/>
  <c r="R277" i="6" a="1"/>
  <c r="R277" i="6" s="1"/>
  <c r="U76" i="6"/>
  <c r="R173" i="6" a="1"/>
  <c r="R173" i="6" s="1"/>
  <c r="R175" i="6" a="1"/>
  <c r="R175" i="6" s="1"/>
  <c r="R104" i="6" a="1"/>
  <c r="R104" i="6" s="1"/>
  <c r="R451" i="6" a="1"/>
  <c r="R451" i="6" s="1"/>
  <c r="V77" i="6" l="1"/>
  <c r="S78" i="6" l="1"/>
  <c r="T78" i="6" s="1"/>
  <c r="U77" i="6"/>
  <c r="V78" i="6" l="1"/>
  <c r="R372" i="6" l="1" a="1"/>
  <c r="R372" i="6" s="1"/>
  <c r="U78" i="6"/>
  <c r="R251" i="6" a="1"/>
  <c r="R251" i="6" s="1"/>
  <c r="R454" i="6" a="1"/>
  <c r="R454" i="6" s="1"/>
  <c r="R191" i="6" a="1"/>
  <c r="R191" i="6" s="1"/>
  <c r="R455" i="6" a="1"/>
  <c r="R455" i="6" s="1"/>
  <c r="R453" i="6" a="1"/>
  <c r="R453" i="6" s="1"/>
  <c r="R162" i="6" a="1"/>
  <c r="R162" i="6" s="1"/>
  <c r="R274" i="6" a="1"/>
  <c r="R274" i="6" s="1"/>
  <c r="R106" i="6" a="1"/>
  <c r="R106" i="6" s="1"/>
  <c r="S79" i="6"/>
  <c r="T79" i="6" s="1"/>
  <c r="V79" i="6" l="1"/>
  <c r="U79" i="6" l="1"/>
  <c r="S80" i="6"/>
  <c r="T80" i="6" s="1"/>
  <c r="V80" i="6" l="1"/>
  <c r="S81" i="6" l="1"/>
  <c r="T81" i="6" s="1"/>
  <c r="U80" i="6"/>
  <c r="V81" i="6" l="1"/>
  <c r="R167" i="6" l="1" a="1"/>
  <c r="R167" i="6" s="1"/>
  <c r="R236" i="6" a="1"/>
  <c r="R236" i="6" s="1"/>
  <c r="R256" i="6" a="1"/>
  <c r="R256" i="6" s="1"/>
  <c r="R347" i="6" a="1"/>
  <c r="R347" i="6" s="1"/>
  <c r="R506" i="6" a="1"/>
  <c r="R506" i="6" s="1"/>
  <c r="R429" i="6" a="1"/>
  <c r="R429" i="6" s="1"/>
  <c r="R136" i="6" a="1"/>
  <c r="R136" i="6" s="1"/>
  <c r="R254" i="6" a="1"/>
  <c r="R254" i="6" s="1"/>
  <c r="R418" i="6" a="1"/>
  <c r="R418" i="6" s="1"/>
  <c r="R458" i="6" a="1"/>
  <c r="R458" i="6" s="1"/>
  <c r="U81" i="6"/>
  <c r="S82" i="6"/>
  <c r="T82" i="6" s="1"/>
  <c r="V82" i="6" l="1"/>
  <c r="S83" i="6" l="1"/>
  <c r="T83" i="6" s="1"/>
  <c r="U82" i="6"/>
  <c r="R153" i="6" l="1" a="1"/>
  <c r="R153" i="6" s="1"/>
  <c r="R306" i="6" a="1"/>
  <c r="R306" i="6" s="1"/>
  <c r="R308" i="6" a="1"/>
  <c r="R308" i="6" s="1"/>
  <c r="R215" i="6" a="1"/>
  <c r="R215" i="6" s="1"/>
  <c r="R93" i="6" a="1"/>
  <c r="R93" i="6" s="1"/>
  <c r="R341" i="6" a="1"/>
  <c r="R341" i="6" s="1"/>
  <c r="R241" i="6" a="1"/>
  <c r="R241" i="6" s="1"/>
  <c r="U83" i="6"/>
  <c r="S84" i="6"/>
  <c r="T84" i="6" s="1"/>
  <c r="U84" i="6" l="1"/>
  <c r="S85" i="6"/>
  <c r="T85" i="6" s="1"/>
  <c r="V85" i="6" l="1"/>
  <c r="R472" i="6" l="1" a="1"/>
  <c r="R472" i="6" s="1"/>
  <c r="R403" i="6" a="1"/>
  <c r="R403" i="6" s="1"/>
  <c r="R384" i="6" a="1"/>
  <c r="R384" i="6" s="1"/>
  <c r="R593" i="6" a="1"/>
  <c r="R593" i="6" s="1"/>
  <c r="R495" i="6" a="1"/>
  <c r="R495" i="6" s="1"/>
  <c r="R526" i="6" a="1"/>
  <c r="R526" i="6" s="1"/>
  <c r="R356" i="6" a="1"/>
  <c r="R356" i="6" s="1"/>
  <c r="R511" i="6" a="1"/>
  <c r="R511" i="6" s="1"/>
  <c r="R290" i="6" a="1"/>
  <c r="R290" i="6" s="1"/>
  <c r="R386" i="6" a="1"/>
  <c r="R386" i="6" s="1"/>
  <c r="R433" i="6" a="1"/>
  <c r="R433" i="6" s="1"/>
  <c r="S86" i="6"/>
  <c r="T86" i="6" s="1"/>
  <c r="U85" i="6"/>
  <c r="S87" i="6" l="1"/>
  <c r="T87" i="6" s="1"/>
  <c r="U86" i="6"/>
  <c r="S88" i="6" l="1"/>
  <c r="T88" i="6" s="1"/>
  <c r="U87" i="6"/>
  <c r="U88" i="6" l="1"/>
  <c r="S89" i="6"/>
  <c r="T89" i="6" s="1"/>
  <c r="U89" i="6" l="1"/>
  <c r="S90" i="6"/>
  <c r="T90" i="6" s="1"/>
  <c r="U90" i="6" l="1"/>
  <c r="S91" i="6"/>
  <c r="T91" i="6" s="1"/>
  <c r="V91" i="6" l="1"/>
  <c r="S92" i="6" l="1"/>
  <c r="T92" i="6" s="1"/>
  <c r="U91" i="6"/>
  <c r="V92" i="6" l="1"/>
  <c r="S93" i="6" l="1"/>
  <c r="T93" i="6" s="1"/>
  <c r="U92" i="6"/>
  <c r="V93" i="6" l="1"/>
  <c r="U93" i="6" l="1"/>
  <c r="R151" i="6" a="1"/>
  <c r="R151" i="6" s="1"/>
  <c r="R365" i="6" a="1"/>
  <c r="R365" i="6" s="1"/>
  <c r="R264" i="6" a="1"/>
  <c r="R264" i="6" s="1"/>
  <c r="R208" i="6" a="1"/>
  <c r="R208" i="6" s="1"/>
  <c r="R367" i="6" a="1"/>
  <c r="R367" i="6" s="1"/>
  <c r="R288" i="6" a="1"/>
  <c r="R288" i="6" s="1"/>
  <c r="R383" i="6" a="1"/>
  <c r="R383" i="6" s="1"/>
  <c r="S94" i="6"/>
  <c r="T94" i="6" s="1"/>
  <c r="V94" i="6" l="1"/>
  <c r="S95" i="6" l="1"/>
  <c r="T95" i="6" s="1"/>
  <c r="U94" i="6"/>
  <c r="V95" i="6" l="1"/>
  <c r="R302" i="6" l="1" a="1"/>
  <c r="R302" i="6" s="1"/>
  <c r="R497" i="6" a="1"/>
  <c r="R497" i="6" s="1"/>
  <c r="R590" i="6" a="1"/>
  <c r="R590" i="6" s="1"/>
  <c r="R567" i="6" a="1"/>
  <c r="R567" i="6" s="1"/>
  <c r="R555" i="6" a="1"/>
  <c r="R555" i="6" s="1"/>
  <c r="R510" i="6" a="1"/>
  <c r="R510" i="6" s="1"/>
  <c r="U95" i="6"/>
  <c r="S96" i="6"/>
  <c r="T96" i="6" s="1"/>
  <c r="R434" i="6" a="1"/>
  <c r="R434" i="6" s="1"/>
  <c r="R485" i="6" a="1"/>
  <c r="R485" i="6" s="1"/>
  <c r="R303" i="6" a="1"/>
  <c r="R303" i="6" s="1"/>
  <c r="R508" i="6" a="1"/>
  <c r="R508" i="6" s="1"/>
  <c r="R571" i="6" a="1"/>
  <c r="R571" i="6" s="1"/>
  <c r="R585" i="6" a="1"/>
  <c r="R585" i="6" s="1"/>
  <c r="V96" i="6" l="1"/>
  <c r="U96" i="6" l="1"/>
  <c r="S97" i="6"/>
  <c r="T97" i="6" s="1"/>
  <c r="V97" i="6" l="1"/>
  <c r="S98" i="6" l="1"/>
  <c r="T98" i="6" s="1"/>
  <c r="R466" i="6" a="1"/>
  <c r="R466" i="6" s="1"/>
  <c r="R535" i="6" a="1"/>
  <c r="R535" i="6" s="1"/>
  <c r="R320" i="6" a="1"/>
  <c r="R320" i="6" s="1"/>
  <c r="R388" i="6" a="1"/>
  <c r="R388" i="6" s="1"/>
  <c r="R554" i="6" a="1"/>
  <c r="R554" i="6" s="1"/>
  <c r="R519" i="6" a="1"/>
  <c r="R519" i="6" s="1"/>
  <c r="R387" i="6" a="1"/>
  <c r="R387" i="6" s="1"/>
  <c r="R538" i="6" a="1"/>
  <c r="R538" i="6" s="1"/>
  <c r="R548" i="6" a="1"/>
  <c r="R548" i="6" s="1"/>
  <c r="R534" i="6" a="1"/>
  <c r="R534" i="6" s="1"/>
  <c r="R473" i="6" a="1"/>
  <c r="R473" i="6" s="1"/>
  <c r="R390" i="6" a="1"/>
  <c r="R390" i="6" s="1"/>
  <c r="R520" i="6" a="1"/>
  <c r="R520" i="6" s="1"/>
  <c r="R443" i="6" a="1"/>
  <c r="R443" i="6" s="1"/>
  <c r="R541" i="6" a="1"/>
  <c r="R541" i="6" s="1"/>
  <c r="R476" i="6" a="1"/>
  <c r="R476" i="6" s="1"/>
  <c r="R568" i="6" a="1"/>
  <c r="R568" i="6" s="1"/>
  <c r="R304" i="6" a="1"/>
  <c r="R304" i="6" s="1"/>
  <c r="R562" i="6" a="1"/>
  <c r="R562" i="6" s="1"/>
  <c r="R557" i="6" a="1"/>
  <c r="R557" i="6" s="1"/>
  <c r="U97" i="6"/>
  <c r="V98" i="6" l="1"/>
  <c r="R305" i="6" l="1" a="1"/>
  <c r="R305" i="6" s="1"/>
  <c r="R318" i="6" a="1"/>
  <c r="R318" i="6" s="1"/>
  <c r="R542" i="6" a="1"/>
  <c r="R542" i="6" s="1"/>
  <c r="R527" i="6" a="1"/>
  <c r="R527" i="6" s="1"/>
  <c r="R499" i="6" a="1"/>
  <c r="R499" i="6" s="1"/>
  <c r="R572" i="6" a="1"/>
  <c r="R572" i="6" s="1"/>
  <c r="R319" i="6" a="1"/>
  <c r="R319" i="6" s="1"/>
  <c r="R543" i="6" a="1"/>
  <c r="R543" i="6" s="1"/>
  <c r="R501" i="6" a="1"/>
  <c r="R501" i="6" s="1"/>
  <c r="U98" i="6"/>
  <c r="S99" i="6"/>
  <c r="T99" i="6" s="1"/>
  <c r="U99" i="6" l="1"/>
  <c r="S100" i="6"/>
  <c r="T100" i="6" s="1"/>
  <c r="S101" i="6" l="1"/>
  <c r="T101" i="6" s="1"/>
  <c r="U100" i="6"/>
  <c r="U101" i="6" l="1"/>
  <c r="S102" i="6"/>
  <c r="T102" i="6" s="1"/>
  <c r="U102" i="6" l="1"/>
  <c r="S103" i="6"/>
  <c r="T103" i="6" s="1"/>
  <c r="V103" i="6" l="1"/>
  <c r="S104" i="6" l="1"/>
  <c r="T104" i="6" s="1"/>
  <c r="U103" i="6"/>
  <c r="V104" i="6" l="1"/>
  <c r="S105" i="6" l="1"/>
  <c r="T105" i="6" s="1"/>
  <c r="R513" i="6" a="1"/>
  <c r="R513" i="6" s="1"/>
  <c r="R250" i="6" a="1"/>
  <c r="R250" i="6" s="1"/>
  <c r="R352" i="6" a="1"/>
  <c r="R352" i="6" s="1"/>
  <c r="R247" i="6" a="1"/>
  <c r="R247" i="6" s="1"/>
  <c r="U104" i="6"/>
  <c r="R248" i="6" a="1"/>
  <c r="R248" i="6" s="1"/>
  <c r="R166" i="6" a="1"/>
  <c r="R166" i="6" s="1"/>
  <c r="R351" i="6" a="1"/>
  <c r="R351" i="6" s="1"/>
  <c r="R489" i="6" a="1"/>
  <c r="R489" i="6" s="1"/>
  <c r="V105" i="6" l="1"/>
  <c r="S106" i="6" l="1"/>
  <c r="T106" i="6" s="1"/>
  <c r="U105" i="6"/>
  <c r="V106" i="6" l="1"/>
  <c r="R439" i="6" l="1" a="1"/>
  <c r="R439" i="6" s="1"/>
  <c r="U106" i="6"/>
  <c r="R491" i="6" a="1"/>
  <c r="R491" i="6" s="1"/>
  <c r="R493" i="6" a="1"/>
  <c r="R493" i="6" s="1"/>
  <c r="R258" i="6" a="1"/>
  <c r="R258" i="6" s="1"/>
  <c r="R168" i="6" a="1"/>
  <c r="R168" i="6" s="1"/>
  <c r="R235" i="6" a="1"/>
  <c r="R235" i="6" s="1"/>
  <c r="R313" i="6" a="1"/>
  <c r="R313" i="6" s="1"/>
  <c r="R492" i="6" a="1"/>
  <c r="R492" i="6" s="1"/>
  <c r="R348" i="6" a="1"/>
  <c r="R348" i="6" s="1"/>
  <c r="S107" i="6"/>
  <c r="T107" i="6" s="1"/>
  <c r="V107" i="6" l="1"/>
  <c r="S108" i="6" l="1"/>
  <c r="T108" i="6" s="1"/>
  <c r="U107" i="6"/>
  <c r="V108" i="6" l="1"/>
  <c r="S109" i="6" l="1"/>
  <c r="T109" i="6" s="1"/>
  <c r="U108" i="6"/>
  <c r="V109" i="6" l="1"/>
  <c r="U109" i="6" l="1"/>
  <c r="S110" i="6"/>
  <c r="T110" i="6" s="1"/>
  <c r="V110" i="6" l="1"/>
  <c r="U110" i="6" l="1"/>
  <c r="S111" i="6"/>
  <c r="T111" i="6" s="1"/>
  <c r="V111" i="6" l="1"/>
  <c r="S112" i="6" l="1"/>
  <c r="T112" i="6" s="1"/>
  <c r="U111" i="6"/>
  <c r="V112" i="6" l="1"/>
  <c r="U112" i="6" l="1"/>
  <c r="S113" i="6"/>
  <c r="T113" i="6" s="1"/>
  <c r="V113" i="6" l="1"/>
  <c r="U113" i="6" l="1"/>
  <c r="S114" i="6"/>
  <c r="T114" i="6" s="1"/>
  <c r="V114" i="6" l="1"/>
  <c r="U114" i="6" l="1"/>
  <c r="S115" i="6"/>
  <c r="T115" i="6" s="1"/>
  <c r="V115" i="6" l="1"/>
  <c r="S116" i="6" l="1"/>
  <c r="T116" i="6" s="1"/>
  <c r="U115" i="6"/>
  <c r="V116" i="6" l="1"/>
  <c r="R522" i="6" l="1" a="1"/>
  <c r="R522" i="6" s="1"/>
  <c r="R198" i="6" a="1"/>
  <c r="R198" i="6" s="1"/>
  <c r="R181" i="6" a="1"/>
  <c r="R181" i="6" s="1"/>
  <c r="R331" i="6" a="1"/>
  <c r="R331" i="6" s="1"/>
  <c r="R344" i="6" a="1"/>
  <c r="R344" i="6" s="1"/>
  <c r="R177" i="6" a="1"/>
  <c r="R177" i="6" s="1"/>
  <c r="R427" i="6" a="1"/>
  <c r="R427" i="6" s="1"/>
  <c r="R546" i="6" a="1"/>
  <c r="R546" i="6" s="1"/>
  <c r="R396" i="6" a="1"/>
  <c r="R396" i="6" s="1"/>
  <c r="U116" i="6"/>
  <c r="S117" i="6"/>
  <c r="T117" i="6" s="1"/>
  <c r="V117" i="6" l="1"/>
  <c r="S118" i="6" l="1"/>
  <c r="T118" i="6" s="1"/>
  <c r="U117" i="6"/>
  <c r="V118" i="6" l="1"/>
  <c r="S119" i="6" l="1"/>
  <c r="T119" i="6" s="1"/>
  <c r="U118" i="6"/>
  <c r="V119" i="6" l="1"/>
  <c r="U119" i="6" l="1"/>
  <c r="S120" i="6"/>
  <c r="T120" i="6" s="1"/>
  <c r="V120" i="6" l="1"/>
  <c r="S121" i="6" l="1"/>
  <c r="T121" i="6" s="1"/>
  <c r="U120" i="6"/>
  <c r="V121" i="6" l="1"/>
  <c r="S122" i="6" l="1"/>
  <c r="T122" i="6" s="1"/>
  <c r="U121" i="6"/>
  <c r="U122" i="6" l="1"/>
  <c r="S123" i="6"/>
  <c r="T123" i="6" s="1"/>
  <c r="S124" i="6" l="1"/>
  <c r="T124" i="6" s="1"/>
  <c r="U123" i="6"/>
  <c r="S125" i="6" l="1"/>
  <c r="T125" i="6" s="1"/>
  <c r="U124" i="6"/>
  <c r="U125" i="6" l="1"/>
  <c r="S126" i="6"/>
  <c r="T126" i="6" s="1"/>
  <c r="U126" i="6" l="1"/>
  <c r="S127" i="6"/>
  <c r="T127" i="6" s="1"/>
  <c r="U127" i="6" l="1"/>
  <c r="S128" i="6"/>
  <c r="T128" i="6" s="1"/>
  <c r="S129" i="6" l="1"/>
  <c r="T129" i="6" s="1"/>
  <c r="U128" i="6"/>
  <c r="U129" i="6" l="1"/>
  <c r="S130" i="6"/>
  <c r="T130" i="6" s="1"/>
  <c r="V130" i="6" l="1"/>
  <c r="U130" i="6" l="1"/>
  <c r="S131" i="6"/>
  <c r="T131" i="6" s="1"/>
  <c r="V131" i="6" l="1"/>
  <c r="S132" i="6" l="1"/>
  <c r="T132" i="6" s="1"/>
  <c r="U131" i="6"/>
  <c r="V132" i="6" l="1"/>
  <c r="U132" i="6" l="1"/>
  <c r="S133" i="6"/>
  <c r="T133" i="6" s="1"/>
  <c r="V133" i="6" l="1"/>
  <c r="U133" i="6" l="1"/>
  <c r="S134" i="6"/>
  <c r="T134" i="6" s="1"/>
  <c r="V134" i="6" l="1"/>
  <c r="U134" i="6" l="1"/>
  <c r="S135" i="6"/>
  <c r="T135" i="6" s="1"/>
  <c r="V135" i="6" l="1"/>
  <c r="S136" i="6" l="1"/>
  <c r="T136" i="6" s="1"/>
  <c r="U135" i="6"/>
  <c r="V136" i="6" l="1"/>
  <c r="S137" i="6" l="1"/>
  <c r="T137" i="6" s="1"/>
  <c r="R327" i="6" a="1"/>
  <c r="R327" i="6" s="1"/>
  <c r="R531" i="6" a="1"/>
  <c r="R531" i="6" s="1"/>
  <c r="R410" i="6" a="1"/>
  <c r="R410" i="6" s="1"/>
  <c r="R325" i="6" a="1"/>
  <c r="R325" i="6" s="1"/>
  <c r="R296" i="6" a="1"/>
  <c r="R296" i="6" s="1"/>
  <c r="R245" i="6" a="1"/>
  <c r="R245" i="6" s="1"/>
  <c r="R468" i="6" a="1"/>
  <c r="R468" i="6" s="1"/>
  <c r="R504" i="6" a="1"/>
  <c r="R504" i="6" s="1"/>
  <c r="R462" i="6" a="1"/>
  <c r="R462" i="6" s="1"/>
  <c r="R200" i="6" a="1"/>
  <c r="R200" i="6" s="1"/>
  <c r="U136" i="6"/>
  <c r="U137" i="6" l="1"/>
  <c r="S138" i="6"/>
  <c r="T138" i="6" s="1"/>
  <c r="U138" i="6" l="1"/>
  <c r="S139" i="6"/>
  <c r="T139" i="6" s="1"/>
  <c r="S140" i="6" l="1"/>
  <c r="T140" i="6" s="1"/>
  <c r="U139" i="6"/>
  <c r="U140" i="6" l="1"/>
  <c r="S141" i="6"/>
  <c r="T141" i="6" s="1"/>
  <c r="S142" i="6" l="1"/>
  <c r="T142" i="6" s="1"/>
  <c r="U141" i="6"/>
  <c r="V142" i="6" l="1"/>
  <c r="U142" i="6" l="1"/>
  <c r="S143" i="6"/>
  <c r="T143" i="6" s="1"/>
  <c r="V143" i="6" l="1"/>
  <c r="S144" i="6" l="1"/>
  <c r="T144" i="6" s="1"/>
  <c r="U143" i="6"/>
  <c r="V144" i="6" l="1"/>
  <c r="S145" i="6" l="1"/>
  <c r="T145" i="6" s="1"/>
  <c r="U144" i="6"/>
  <c r="V145" i="6" l="1"/>
  <c r="U145" i="6" l="1"/>
  <c r="S146" i="6"/>
  <c r="T146" i="6" s="1"/>
  <c r="V146" i="6" l="1"/>
  <c r="U146" i="6" l="1"/>
  <c r="S147" i="6"/>
  <c r="T147" i="6" s="1"/>
  <c r="V147" i="6" l="1"/>
  <c r="U147" i="6" l="1"/>
  <c r="S148" i="6"/>
  <c r="T148" i="6" s="1"/>
  <c r="V148" i="6" l="1"/>
  <c r="S149" i="6" l="1"/>
  <c r="T149" i="6" s="1"/>
  <c r="U148" i="6"/>
  <c r="V149" i="6" l="1"/>
  <c r="U149" i="6" l="1"/>
  <c r="S150" i="6"/>
  <c r="T150" i="6" s="1"/>
  <c r="V150" i="6" l="1"/>
  <c r="S151" i="6" l="1"/>
  <c r="T151" i="6" s="1"/>
  <c r="U150" i="6"/>
  <c r="V151" i="6" l="1"/>
  <c r="U151" i="6" l="1"/>
  <c r="R428" i="6" a="1"/>
  <c r="R428" i="6" s="1"/>
  <c r="R266" i="6" a="1"/>
  <c r="R266" i="6" s="1"/>
  <c r="R450" i="6" a="1"/>
  <c r="R450" i="6" s="1"/>
  <c r="R430" i="6" a="1"/>
  <c r="R430" i="6" s="1"/>
  <c r="R217" i="6" a="1"/>
  <c r="R217" i="6" s="1"/>
  <c r="R363" i="6" a="1"/>
  <c r="R363" i="6" s="1"/>
  <c r="R335" i="6" a="1"/>
  <c r="R335" i="6" s="1"/>
  <c r="S152" i="6"/>
  <c r="T152" i="6" s="1"/>
  <c r="V152" i="6" l="1"/>
  <c r="S153" i="6" l="1"/>
  <c r="T153" i="6" s="1"/>
  <c r="U152" i="6"/>
  <c r="V153" i="6" l="1"/>
  <c r="U153" i="6" l="1"/>
  <c r="S154" i="6"/>
  <c r="T154" i="6" s="1"/>
  <c r="V154" i="6" l="1"/>
  <c r="U154" i="6" l="1"/>
  <c r="S155" i="6"/>
  <c r="T155" i="6" s="1"/>
  <c r="V155" i="6" l="1"/>
  <c r="S156" i="6" l="1"/>
  <c r="T156" i="6" s="1"/>
  <c r="U155" i="6"/>
  <c r="V156" i="6" l="1"/>
  <c r="U156" i="6" l="1"/>
  <c r="S157" i="6"/>
  <c r="T157" i="6" s="1"/>
  <c r="V157" i="6" l="1"/>
  <c r="S158" i="6" l="1"/>
  <c r="T158" i="6" s="1"/>
  <c r="U157" i="6"/>
  <c r="V158" i="6" l="1"/>
  <c r="S159" i="6" l="1"/>
  <c r="T159" i="6" s="1"/>
  <c r="U158" i="6"/>
  <c r="V159" i="6" l="1"/>
  <c r="U159" i="6" l="1"/>
  <c r="S160" i="6"/>
  <c r="T160" i="6" s="1"/>
  <c r="V160" i="6" l="1"/>
  <c r="S161" i="6" l="1"/>
  <c r="T161" i="6" s="1"/>
  <c r="U160" i="6"/>
  <c r="V161" i="6" l="1"/>
  <c r="S162" i="6" l="1"/>
  <c r="T162" i="6" s="1"/>
  <c r="U161" i="6"/>
  <c r="V162" i="6" l="1"/>
  <c r="U162" i="6" l="1"/>
  <c r="S163" i="6"/>
  <c r="T163" i="6" s="1"/>
  <c r="V163" i="6" l="1"/>
  <c r="U163" i="6" l="1"/>
  <c r="S164" i="6"/>
  <c r="T164" i="6" s="1"/>
  <c r="V164" i="6" l="1"/>
  <c r="U164" i="6" l="1"/>
  <c r="S165" i="6"/>
  <c r="T165" i="6" s="1"/>
  <c r="V165" i="6" l="1"/>
  <c r="S166" i="6" l="1"/>
  <c r="T166" i="6" s="1"/>
  <c r="U165" i="6"/>
  <c r="V166" i="6" l="1"/>
  <c r="S167" i="6" l="1"/>
  <c r="T167" i="6" s="1"/>
  <c r="R414" i="6" a="1"/>
  <c r="R414" i="6" s="1"/>
  <c r="R312" i="6" a="1"/>
  <c r="R312" i="6" s="1"/>
  <c r="R310" i="6" a="1"/>
  <c r="R310" i="6" s="1"/>
  <c r="R415" i="6" a="1"/>
  <c r="R415" i="6" s="1"/>
  <c r="U166" i="6"/>
  <c r="R244" i="6" a="1"/>
  <c r="R244" i="6" s="1"/>
  <c r="R309" i="6" a="1"/>
  <c r="R309" i="6" s="1"/>
  <c r="R540" i="6" a="1"/>
  <c r="R540" i="6" s="1"/>
  <c r="R521" i="6" a="1"/>
  <c r="R521" i="6" s="1"/>
  <c r="V167" i="6" l="1"/>
  <c r="S168" i="6" l="1"/>
  <c r="T168" i="6" s="1"/>
  <c r="U167" i="6"/>
  <c r="V168" i="6" l="1"/>
  <c r="R479" i="6" l="1" a="1"/>
  <c r="R479" i="6" s="1"/>
  <c r="U168" i="6"/>
  <c r="S169" i="6"/>
  <c r="T169" i="6" s="1"/>
  <c r="R374" i="6" a="1"/>
  <c r="R374" i="6" s="1"/>
  <c r="R524" i="6" a="1"/>
  <c r="R524" i="6" s="1"/>
  <c r="R329" i="6" a="1"/>
  <c r="R329" i="6" s="1"/>
  <c r="R525" i="6" a="1"/>
  <c r="R525" i="6" s="1"/>
  <c r="R523" i="6" a="1"/>
  <c r="R523" i="6" s="1"/>
  <c r="R246" i="6" a="1"/>
  <c r="R246" i="6" s="1"/>
  <c r="R411" i="6" a="1"/>
  <c r="R411" i="6" s="1"/>
  <c r="R295" i="6" a="1"/>
  <c r="R295" i="6" s="1"/>
  <c r="U169" i="6" l="1"/>
  <c r="S170" i="6"/>
  <c r="T170" i="6" s="1"/>
  <c r="S171" i="6" l="1"/>
  <c r="T171" i="6" s="1"/>
  <c r="U170" i="6"/>
  <c r="S172" i="6" l="1"/>
  <c r="T172" i="6" s="1"/>
  <c r="U171" i="6"/>
  <c r="V172" i="6" l="1"/>
  <c r="U172" i="6" l="1"/>
  <c r="S173" i="6"/>
  <c r="T173" i="6" s="1"/>
  <c r="V173" i="6" l="1"/>
  <c r="S174" i="6" l="1"/>
  <c r="T174" i="6" s="1"/>
  <c r="U173" i="6"/>
  <c r="V174" i="6" l="1"/>
  <c r="U174" i="6" l="1"/>
  <c r="S175" i="6"/>
  <c r="T175" i="6" s="1"/>
  <c r="V175" i="6" l="1"/>
  <c r="U175" i="6" l="1"/>
  <c r="S176" i="6"/>
  <c r="T176" i="6" s="1"/>
  <c r="V176" i="6" l="1"/>
  <c r="S177" i="6" l="1"/>
  <c r="T177" i="6" s="1"/>
  <c r="U176" i="6"/>
  <c r="V177" i="6" l="1"/>
  <c r="R545" i="6" l="1" a="1"/>
  <c r="R545" i="6" s="1"/>
  <c r="R389" i="6" a="1"/>
  <c r="R389" i="6" s="1"/>
  <c r="R509" i="6" a="1"/>
  <c r="R509" i="6" s="1"/>
  <c r="R500" i="6" a="1"/>
  <c r="R500" i="6" s="1"/>
  <c r="R574" i="6" a="1"/>
  <c r="R574" i="6" s="1"/>
  <c r="R385" i="6" a="1"/>
  <c r="R385" i="6" s="1"/>
  <c r="R402" i="6" a="1"/>
  <c r="R402" i="6" s="1"/>
  <c r="R529" i="6" a="1"/>
  <c r="R529" i="6" s="1"/>
  <c r="R592" i="6" a="1"/>
  <c r="R592" i="6" s="1"/>
  <c r="U177" i="6"/>
  <c r="S178" i="6"/>
  <c r="T178" i="6" s="1"/>
  <c r="V178" i="6" l="1"/>
  <c r="S179" i="6" l="1"/>
  <c r="T179" i="6" s="1"/>
  <c r="U178" i="6"/>
  <c r="V179" i="6" l="1"/>
  <c r="S180" i="6" l="1"/>
  <c r="T180" i="6" s="1"/>
  <c r="U179" i="6"/>
  <c r="V180" i="6" l="1"/>
  <c r="U180" i="6" l="1"/>
  <c r="S181" i="6"/>
  <c r="T181" i="6" s="1"/>
  <c r="V181" i="6" l="1"/>
  <c r="S182" i="6" l="1"/>
  <c r="T182" i="6" s="1"/>
  <c r="U181" i="6"/>
  <c r="V182" i="6" l="1"/>
  <c r="U182" i="6" l="1"/>
  <c r="S183" i="6"/>
  <c r="T183" i="6" s="1"/>
  <c r="S184" i="6" l="1"/>
  <c r="T184" i="6" s="1"/>
  <c r="U183" i="6"/>
  <c r="S185" i="6" l="1"/>
  <c r="T185" i="6" s="1"/>
  <c r="U184" i="6"/>
  <c r="U185" i="6" l="1"/>
  <c r="S186" i="6"/>
  <c r="T186" i="6" s="1"/>
  <c r="S187" i="6" l="1"/>
  <c r="T187" i="6" s="1"/>
  <c r="U186" i="6"/>
  <c r="V187" i="6" l="1"/>
  <c r="U187" i="6" l="1"/>
  <c r="S188" i="6"/>
  <c r="T188" i="6" s="1"/>
  <c r="V188" i="6" l="1"/>
  <c r="S189" i="6" l="1"/>
  <c r="T189" i="6" s="1"/>
  <c r="U188" i="6"/>
  <c r="V189" i="6" l="1"/>
  <c r="S190" i="6" l="1"/>
  <c r="T190" i="6" s="1"/>
  <c r="U189" i="6"/>
  <c r="V190" i="6" l="1"/>
  <c r="U190" i="6" l="1"/>
  <c r="S191" i="6"/>
  <c r="T191" i="6" s="1"/>
  <c r="V191" i="6" l="1"/>
  <c r="U191" i="6" l="1"/>
  <c r="S192" i="6"/>
  <c r="T192" i="6" s="1"/>
  <c r="V192" i="6" l="1"/>
  <c r="U192" i="6" l="1"/>
  <c r="S193" i="6"/>
  <c r="T193" i="6" s="1"/>
  <c r="V193" i="6" l="1"/>
  <c r="S194" i="6" l="1"/>
  <c r="T194" i="6" s="1"/>
  <c r="U193" i="6"/>
  <c r="V194" i="6" l="1"/>
  <c r="S195" i="6" l="1"/>
  <c r="T195" i="6" s="1"/>
  <c r="U194" i="6"/>
  <c r="V195" i="6" l="1"/>
  <c r="U195" i="6" l="1"/>
  <c r="S196" i="6"/>
  <c r="T196" i="6" s="1"/>
  <c r="V196" i="6" l="1"/>
  <c r="S197" i="6" l="1"/>
  <c r="T197" i="6" s="1"/>
  <c r="U196" i="6"/>
  <c r="V197" i="6" l="1"/>
  <c r="U197" i="6" l="1"/>
  <c r="S198" i="6"/>
  <c r="T198" i="6" s="1"/>
  <c r="V198" i="6" l="1"/>
  <c r="U198" i="6" l="1"/>
  <c r="S199" i="6"/>
  <c r="T199" i="6" s="1"/>
  <c r="V199" i="6" l="1"/>
  <c r="S200" i="6" l="1"/>
  <c r="T200" i="6" s="1"/>
  <c r="U199" i="6"/>
  <c r="V200" i="6" l="1"/>
  <c r="R569" i="6" l="1" a="1"/>
  <c r="R569" i="6" s="1"/>
  <c r="R494" i="6" a="1"/>
  <c r="R494" i="6" s="1"/>
  <c r="R496" i="6" a="1"/>
  <c r="R496" i="6" s="1"/>
  <c r="R475" i="6" a="1"/>
  <c r="R475" i="6" s="1"/>
  <c r="R404" i="6" a="1"/>
  <c r="R404" i="6" s="1"/>
  <c r="R549" i="6" a="1"/>
  <c r="R549" i="6" s="1"/>
  <c r="R532" i="6" a="1"/>
  <c r="R532" i="6" s="1"/>
  <c r="R586" i="6" a="1"/>
  <c r="R586" i="6" s="1"/>
  <c r="R551" i="6" a="1"/>
  <c r="R551" i="6" s="1"/>
  <c r="R445" i="6" a="1"/>
  <c r="R445" i="6" s="1"/>
  <c r="U200" i="6"/>
  <c r="S201" i="6"/>
  <c r="T201" i="6" s="1"/>
  <c r="S202" i="6" l="1"/>
  <c r="T202" i="6" s="1"/>
  <c r="U201" i="6"/>
  <c r="U202" i="6" l="1"/>
  <c r="S203" i="6"/>
  <c r="T203" i="6" s="1"/>
  <c r="S204" i="6" l="1"/>
  <c r="T204" i="6" s="1"/>
  <c r="U203" i="6"/>
  <c r="S205" i="6" l="1"/>
  <c r="T205" i="6" s="1"/>
  <c r="U204" i="6"/>
  <c r="U205" i="6" l="1"/>
  <c r="S206" i="6"/>
  <c r="T206" i="6" s="1"/>
  <c r="U206" i="6" l="1"/>
  <c r="S207" i="6"/>
  <c r="T207" i="6" s="1"/>
  <c r="S208" i="6" l="1"/>
  <c r="T208" i="6" s="1"/>
  <c r="U207" i="6"/>
  <c r="V208" i="6" l="1"/>
  <c r="U208" i="6" l="1"/>
  <c r="S209" i="6"/>
  <c r="T209" i="6" s="1"/>
  <c r="V209" i="6" l="1"/>
  <c r="U209" i="6" l="1"/>
  <c r="S210" i="6"/>
  <c r="T210" i="6" s="1"/>
  <c r="V210" i="6" l="1"/>
  <c r="S211" i="6" l="1"/>
  <c r="T211" i="6" s="1"/>
  <c r="U210" i="6"/>
  <c r="V211" i="6" l="1"/>
  <c r="U211" i="6" l="1"/>
  <c r="S212" i="6"/>
  <c r="T212" i="6" s="1"/>
  <c r="V212" i="6" l="1"/>
  <c r="S213" i="6" l="1"/>
  <c r="T213" i="6" s="1"/>
  <c r="U212" i="6"/>
  <c r="V213" i="6" l="1"/>
  <c r="S214" i="6" l="1"/>
  <c r="T214" i="6" s="1"/>
  <c r="U213" i="6"/>
  <c r="V214" i="6" l="1"/>
  <c r="S215" i="6" l="1"/>
  <c r="T215" i="6" s="1"/>
  <c r="U214" i="6"/>
  <c r="V215" i="6" l="1"/>
  <c r="U215" i="6" l="1"/>
  <c r="S216" i="6"/>
  <c r="T216" i="6" s="1"/>
  <c r="V216" i="6" l="1"/>
  <c r="S217" i="6" l="1"/>
  <c r="T217" i="6" s="1"/>
  <c r="U216" i="6"/>
  <c r="V217" i="6" l="1"/>
  <c r="U217" i="6" l="1"/>
  <c r="R280" i="6" a="1"/>
  <c r="R280" i="6" s="1"/>
  <c r="R395" i="6" a="1"/>
  <c r="R395" i="6" s="1"/>
  <c r="R488" i="6" a="1"/>
  <c r="R488" i="6" s="1"/>
  <c r="R467" i="6" a="1"/>
  <c r="R467" i="6" s="1"/>
  <c r="R469" i="6" a="1"/>
  <c r="R469" i="6" s="1"/>
  <c r="R342" i="6" a="1"/>
  <c r="R342" i="6" s="1"/>
  <c r="R426" i="6" a="1"/>
  <c r="R426" i="6" s="1"/>
  <c r="S218" i="6"/>
  <c r="T218" i="6" s="1"/>
  <c r="V218" i="6" l="1"/>
  <c r="U218" i="6" l="1"/>
  <c r="S219" i="6"/>
  <c r="T219" i="6" s="1"/>
  <c r="S220" i="6" l="1"/>
  <c r="T220" i="6" s="1"/>
  <c r="U219" i="6"/>
  <c r="U220" i="6" l="1"/>
  <c r="S221" i="6"/>
  <c r="T221" i="6" s="1"/>
  <c r="S222" i="6" l="1"/>
  <c r="T222" i="6" s="1"/>
  <c r="U221" i="6"/>
  <c r="U222" i="6" l="1"/>
  <c r="S223" i="6"/>
  <c r="T223" i="6" s="1"/>
  <c r="S224" i="6" l="1"/>
  <c r="T224" i="6" s="1"/>
  <c r="U223" i="6"/>
  <c r="V224" i="6" l="1"/>
  <c r="S225" i="6" l="1"/>
  <c r="T225" i="6" s="1"/>
  <c r="U224" i="6"/>
  <c r="V225" i="6" l="1"/>
  <c r="U225" i="6" l="1"/>
  <c r="S226" i="6"/>
  <c r="T226" i="6" s="1"/>
  <c r="V226" i="6" l="1"/>
  <c r="S227" i="6" l="1"/>
  <c r="T227" i="6" s="1"/>
  <c r="U226" i="6"/>
  <c r="V227" i="6" l="1"/>
  <c r="S228" i="6" l="1"/>
  <c r="T228" i="6" s="1"/>
  <c r="U227" i="6"/>
  <c r="V228" i="6" l="1"/>
  <c r="U228" i="6" l="1"/>
  <c r="S229" i="6"/>
  <c r="T229" i="6" s="1"/>
  <c r="V229" i="6" l="1"/>
  <c r="U229" i="6" l="1"/>
  <c r="S230" i="6"/>
  <c r="T230" i="6" s="1"/>
  <c r="V230" i="6" l="1"/>
  <c r="U230" i="6" l="1"/>
  <c r="S231" i="6"/>
  <c r="T231" i="6" s="1"/>
  <c r="V231" i="6" l="1"/>
  <c r="S232" i="6" l="1"/>
  <c r="T232" i="6" s="1"/>
  <c r="U231" i="6"/>
  <c r="V232" i="6" l="1"/>
  <c r="U232" i="6" l="1"/>
  <c r="S233" i="6"/>
  <c r="T233" i="6" s="1"/>
  <c r="V233" i="6" l="1"/>
  <c r="S234" i="6" l="1"/>
  <c r="T234" i="6" s="1"/>
  <c r="U233" i="6"/>
  <c r="V234" i="6" l="1"/>
  <c r="S235" i="6" l="1"/>
  <c r="T235" i="6" s="1"/>
  <c r="U234" i="6"/>
  <c r="V235" i="6" l="1"/>
  <c r="U235" i="6" l="1"/>
  <c r="S236" i="6"/>
  <c r="T236" i="6" s="1"/>
  <c r="V236" i="6" l="1"/>
  <c r="U236" i="6" l="1"/>
  <c r="S237" i="6"/>
  <c r="T237" i="6" s="1"/>
  <c r="V237" i="6" l="1"/>
  <c r="U237" i="6" l="1"/>
  <c r="S238" i="6"/>
  <c r="T238" i="6" s="1"/>
  <c r="V238" i="6" l="1"/>
  <c r="S239" i="6" l="1"/>
  <c r="T239" i="6" s="1"/>
  <c r="U238" i="6"/>
  <c r="V239" i="6" l="1"/>
  <c r="U239" i="6" l="1"/>
  <c r="S240" i="6"/>
  <c r="T240" i="6" s="1"/>
  <c r="V240" i="6" l="1"/>
  <c r="S241" i="6" l="1"/>
  <c r="T241" i="6" s="1"/>
  <c r="U240" i="6"/>
  <c r="V241" i="6" l="1"/>
  <c r="U241" i="6" l="1"/>
  <c r="S242" i="6"/>
  <c r="T242" i="6" s="1"/>
  <c r="V242" i="6" l="1"/>
  <c r="S243" i="6" l="1"/>
  <c r="T243" i="6" s="1"/>
  <c r="U242" i="6"/>
  <c r="V243" i="6" l="1"/>
  <c r="S244" i="6" l="1"/>
  <c r="T244" i="6" s="1"/>
  <c r="U243" i="6"/>
  <c r="V244" i="6" l="1"/>
  <c r="S245" i="6" l="1"/>
  <c r="T245" i="6" s="1"/>
  <c r="R591" i="6" a="1"/>
  <c r="R591" i="6" s="1"/>
  <c r="R444" i="6" a="1"/>
  <c r="R444" i="6" s="1"/>
  <c r="R484" i="6" a="1"/>
  <c r="R484" i="6" s="1"/>
  <c r="R483" i="6" a="1"/>
  <c r="R483" i="6" s="1"/>
  <c r="U244" i="6"/>
  <c r="R536" i="6" a="1"/>
  <c r="R536" i="6" s="1"/>
  <c r="R486" i="6" a="1"/>
  <c r="R486" i="6" s="1"/>
  <c r="R537" i="6" a="1"/>
  <c r="R537" i="6" s="1"/>
  <c r="R573" i="6" a="1"/>
  <c r="R573" i="6" s="1"/>
  <c r="V245" i="6" l="1"/>
  <c r="S246" i="6" l="1"/>
  <c r="T246" i="6" s="1"/>
  <c r="U245" i="6"/>
  <c r="V246" i="6" l="1"/>
  <c r="R556" i="6" l="1" a="1"/>
  <c r="R556" i="6" s="1"/>
  <c r="U246" i="6"/>
  <c r="S247" i="6"/>
  <c r="T247" i="6" s="1"/>
  <c r="R575" i="6" a="1"/>
  <c r="R575" i="6" s="1"/>
  <c r="R498" i="6" a="1"/>
  <c r="R498" i="6" s="1"/>
  <c r="R577" i="6" a="1"/>
  <c r="R577" i="6" s="1"/>
  <c r="R518" i="6" a="1"/>
  <c r="R518" i="6" s="1"/>
  <c r="R474" i="6" a="1"/>
  <c r="R474" i="6" s="1"/>
  <c r="R576" i="6" a="1"/>
  <c r="R576" i="6" s="1"/>
  <c r="R446" i="6" a="1"/>
  <c r="R446" i="6" s="1"/>
  <c r="R533" i="6" a="1"/>
  <c r="R533" i="6" s="1"/>
  <c r="V247" i="6" l="1"/>
  <c r="U247" i="6" l="1"/>
  <c r="S248" i="6"/>
  <c r="T248" i="6" s="1"/>
  <c r="V248" i="6" l="1"/>
  <c r="S249" i="6" l="1"/>
  <c r="T249" i="6" s="1"/>
  <c r="U248" i="6"/>
  <c r="V249" i="6" l="1"/>
  <c r="U249" i="6" l="1"/>
  <c r="S250" i="6"/>
  <c r="T250" i="6" s="1"/>
  <c r="V250" i="6" l="1"/>
  <c r="S251" i="6" l="1"/>
  <c r="T251" i="6" s="1"/>
  <c r="U250" i="6"/>
  <c r="V251" i="6" l="1"/>
  <c r="U251" i="6" l="1"/>
  <c r="S252" i="6"/>
  <c r="T252" i="6" s="1"/>
  <c r="V252" i="6" l="1"/>
  <c r="S253" i="6" l="1"/>
  <c r="T253" i="6" s="1"/>
  <c r="U252" i="6"/>
  <c r="V253" i="6" l="1"/>
  <c r="S254" i="6" l="1"/>
  <c r="T254" i="6" s="1"/>
  <c r="U253" i="6"/>
  <c r="V254" i="6" l="1"/>
  <c r="U254" i="6" l="1"/>
  <c r="S255" i="6"/>
  <c r="T255" i="6" s="1"/>
  <c r="V255" i="6" l="1"/>
  <c r="S256" i="6" l="1"/>
  <c r="T256" i="6" s="1"/>
  <c r="U255" i="6"/>
  <c r="V256" i="6" l="1"/>
  <c r="S257" i="6" l="1"/>
  <c r="T257" i="6" s="1"/>
  <c r="U256" i="6"/>
  <c r="V257" i="6" l="1"/>
  <c r="U257" i="6" l="1"/>
  <c r="S258" i="6"/>
  <c r="T258" i="6" s="1"/>
  <c r="V258" i="6" l="1"/>
  <c r="U258" i="6" l="1"/>
  <c r="S259" i="6"/>
  <c r="T259" i="6" s="1"/>
  <c r="V259" i="6" l="1"/>
  <c r="U259" i="6" l="1"/>
  <c r="S260" i="6"/>
  <c r="T260" i="6" s="1"/>
  <c r="V260" i="6" l="1"/>
  <c r="S261" i="6" l="1"/>
  <c r="T261" i="6" s="1"/>
  <c r="U260" i="6"/>
  <c r="V261" i="6" l="1"/>
  <c r="U261" i="6" l="1"/>
  <c r="S262" i="6"/>
  <c r="T262" i="6" s="1"/>
  <c r="V262" i="6" l="1"/>
  <c r="S263" i="6" l="1"/>
  <c r="T263" i="6" s="1"/>
  <c r="U262" i="6"/>
  <c r="V263" i="6" l="1"/>
  <c r="S264" i="6" l="1"/>
  <c r="T264" i="6" s="1"/>
  <c r="U263" i="6"/>
  <c r="V264" i="6" l="1"/>
  <c r="U264" i="6" l="1"/>
  <c r="S265" i="6"/>
  <c r="T265" i="6" s="1"/>
  <c r="V265" i="6" l="1"/>
  <c r="S266" i="6" l="1"/>
  <c r="T266" i="6" s="1"/>
  <c r="U265" i="6"/>
  <c r="V266" i="6" l="1"/>
  <c r="U266" i="6" l="1"/>
  <c r="S267" i="6"/>
  <c r="T267" i="6" s="1"/>
  <c r="V267" i="6" l="1"/>
  <c r="U267" i="6" l="1"/>
  <c r="S268" i="6"/>
  <c r="T268" i="6" s="1"/>
  <c r="V268" i="6" l="1"/>
  <c r="S269" i="6" l="1"/>
  <c r="T269" i="6" s="1"/>
  <c r="U268" i="6"/>
  <c r="V269" i="6" l="1"/>
  <c r="U269" i="6" l="1"/>
  <c r="S270" i="6"/>
  <c r="T270" i="6" s="1"/>
  <c r="V270" i="6" l="1"/>
  <c r="S271" i="6" l="1"/>
  <c r="T271" i="6" s="1"/>
  <c r="U270" i="6"/>
  <c r="S272" i="6" l="1"/>
  <c r="T272" i="6" s="1"/>
  <c r="U271" i="6"/>
  <c r="U272" i="6" l="1"/>
  <c r="S273" i="6"/>
  <c r="T273" i="6" s="1"/>
  <c r="V273" i="6" l="1"/>
  <c r="S274" i="6" l="1"/>
  <c r="T274" i="6" s="1"/>
  <c r="U273" i="6"/>
  <c r="V274" i="6" l="1"/>
  <c r="U274" i="6" l="1"/>
  <c r="S275" i="6"/>
  <c r="T275" i="6" s="1"/>
  <c r="V275" i="6" l="1"/>
  <c r="S276" i="6" l="1"/>
  <c r="T276" i="6" s="1"/>
  <c r="U275" i="6"/>
  <c r="V276" i="6" l="1"/>
  <c r="S277" i="6" l="1"/>
  <c r="T277" i="6" s="1"/>
  <c r="U276" i="6"/>
  <c r="V277" i="6" l="1"/>
  <c r="U277" i="6" l="1"/>
  <c r="S278" i="6"/>
  <c r="T278" i="6" s="1"/>
  <c r="V278" i="6" l="1"/>
  <c r="U278" i="6" l="1"/>
  <c r="S279" i="6"/>
  <c r="T279" i="6" s="1"/>
  <c r="V279" i="6" l="1"/>
  <c r="S280" i="6" l="1"/>
  <c r="T280" i="6" s="1"/>
  <c r="U279" i="6"/>
  <c r="V280" i="6" l="1"/>
  <c r="U280" i="6" l="1"/>
  <c r="R550" i="6" a="1"/>
  <c r="R550" i="6" s="1"/>
  <c r="R544" i="6" a="1"/>
  <c r="R544" i="6" s="1"/>
  <c r="R552" i="6" a="1"/>
  <c r="R552" i="6" s="1"/>
  <c r="R528" i="6" a="1"/>
  <c r="R528" i="6" s="1"/>
  <c r="R465" i="6" a="1"/>
  <c r="R465" i="6" s="1"/>
  <c r="R563" i="6" a="1"/>
  <c r="R563" i="6" s="1"/>
  <c r="R507" i="6" a="1"/>
  <c r="R507" i="6" s="1"/>
  <c r="S281" i="6"/>
  <c r="T281" i="6" s="1"/>
  <c r="U281" i="6" l="1"/>
  <c r="V281" i="6"/>
  <c r="S282" i="6" l="1"/>
  <c r="T282" i="6" s="1"/>
  <c r="S283" i="6" l="1"/>
  <c r="T283" i="6" s="1"/>
  <c r="U282" i="6"/>
  <c r="S284" i="6" l="1"/>
  <c r="T284" i="6" s="1"/>
  <c r="U283" i="6"/>
  <c r="S285" i="6" l="1"/>
  <c r="T285" i="6" s="1"/>
  <c r="U284" i="6"/>
  <c r="V285" i="6" l="1"/>
  <c r="S286" i="6" l="1"/>
  <c r="T286" i="6" s="1"/>
  <c r="U285" i="6"/>
  <c r="V286" i="6" l="1"/>
  <c r="S287" i="6" l="1"/>
  <c r="T287" i="6" s="1"/>
  <c r="U286" i="6"/>
  <c r="V287" i="6" l="1"/>
  <c r="S288" i="6" l="1"/>
  <c r="T288" i="6" s="1"/>
  <c r="U287" i="6"/>
  <c r="V288" i="6" l="1"/>
  <c r="S289" i="6" l="1"/>
  <c r="T289" i="6" s="1"/>
  <c r="U288" i="6"/>
  <c r="V289" i="6" l="1"/>
  <c r="S290" i="6" l="1"/>
  <c r="T290" i="6" s="1"/>
  <c r="U289" i="6"/>
  <c r="V290" i="6" l="1"/>
  <c r="S291" i="6" l="1"/>
  <c r="T291" i="6" s="1"/>
  <c r="R578" i="6" a="1"/>
  <c r="R578" i="6" s="1"/>
  <c r="R594" i="6" a="1"/>
  <c r="R594" i="6" s="1"/>
  <c r="R602" i="6" a="1"/>
  <c r="R602" i="6" s="1"/>
  <c r="R623" i="6" a="1"/>
  <c r="R623" i="6" s="1"/>
  <c r="R627" i="6" a="1"/>
  <c r="R627" i="6" s="1"/>
  <c r="R553" i="6" a="1"/>
  <c r="R553" i="6" s="1"/>
  <c r="R570" i="6" a="1"/>
  <c r="R570" i="6" s="1"/>
  <c r="R580" i="6" a="1"/>
  <c r="R580" i="6" s="1"/>
  <c r="R588" i="6" a="1"/>
  <c r="R588" i="6" s="1"/>
  <c r="R612" i="6" a="1"/>
  <c r="R612" i="6" s="1"/>
  <c r="R669" i="6" a="1"/>
  <c r="R669" i="6" s="1"/>
  <c r="U290" i="6"/>
  <c r="V291" i="6" l="1"/>
  <c r="S292" i="6" l="1"/>
  <c r="T292" i="6" s="1"/>
  <c r="U291" i="6"/>
  <c r="V292" i="6" l="1"/>
  <c r="S293" i="6" l="1"/>
  <c r="T293" i="6" s="1"/>
  <c r="U292" i="6"/>
  <c r="V293" i="6" l="1"/>
  <c r="S294" i="6" l="1"/>
  <c r="T294" i="6" s="1"/>
  <c r="U293" i="6"/>
  <c r="V294" i="6" l="1"/>
  <c r="S295" i="6" l="1"/>
  <c r="T295" i="6" s="1"/>
  <c r="U294" i="6"/>
  <c r="V295" i="6" l="1"/>
  <c r="S296" i="6" l="1"/>
  <c r="T296" i="6" s="1"/>
  <c r="U295" i="6"/>
  <c r="V296" i="6" l="1"/>
  <c r="S297" i="6" l="1"/>
  <c r="T297" i="6" s="1"/>
  <c r="U296" i="6"/>
  <c r="V297" i="6" l="1"/>
  <c r="S298" i="6" l="1"/>
  <c r="T298" i="6" s="1"/>
  <c r="U297" i="6"/>
  <c r="S299" i="6" l="1"/>
  <c r="T299" i="6" s="1"/>
  <c r="U298" i="6"/>
  <c r="S300" i="6" l="1"/>
  <c r="T300" i="6" s="1"/>
  <c r="U299" i="6"/>
  <c r="S301" i="6" l="1"/>
  <c r="T301" i="6" s="1"/>
  <c r="U300" i="6"/>
  <c r="S302" i="6" l="1"/>
  <c r="T302" i="6" s="1"/>
  <c r="U301" i="6"/>
  <c r="V302" i="6" l="1"/>
  <c r="S303" i="6" l="1"/>
  <c r="T303" i="6" s="1"/>
  <c r="R558" i="6" a="1"/>
  <c r="R558" i="6" s="1"/>
  <c r="R559" i="6" a="1"/>
  <c r="R559" i="6" s="1"/>
  <c r="R614" i="6" a="1"/>
  <c r="R614" i="6" s="1"/>
  <c r="R622" i="6" a="1"/>
  <c r="R622" i="6" s="1"/>
  <c r="R654" i="6" a="1"/>
  <c r="R654" i="6" s="1"/>
  <c r="R595" i="6" a="1"/>
  <c r="R595" i="6" s="1"/>
  <c r="R620" i="6" a="1"/>
  <c r="R620" i="6" s="1"/>
  <c r="R609" i="6" a="1"/>
  <c r="R609" i="6" s="1"/>
  <c r="R649" i="6" a="1"/>
  <c r="R649" i="6" s="1"/>
  <c r="R657" i="6" a="1"/>
  <c r="R657" i="6" s="1"/>
  <c r="R666" i="6" a="1"/>
  <c r="R666" i="6" s="1"/>
  <c r="R664" i="6" a="1"/>
  <c r="R664" i="6" s="1"/>
  <c r="U302" i="6"/>
  <c r="V303" i="6" l="1"/>
  <c r="S304" i="6" l="1"/>
  <c r="T304" i="6" s="1"/>
  <c r="U303" i="6"/>
  <c r="V304" i="6" l="1"/>
  <c r="S305" i="6" l="1"/>
  <c r="T305" i="6" s="1"/>
  <c r="R566" i="6" a="1"/>
  <c r="R566" i="6" s="1"/>
  <c r="R582" i="6" a="1"/>
  <c r="R582" i="6" s="1"/>
  <c r="R606" i="6" a="1"/>
  <c r="R606" i="6" s="1"/>
  <c r="R626" i="6" a="1"/>
  <c r="R626" i="6" s="1"/>
  <c r="R634" i="6" a="1"/>
  <c r="R634" i="6" s="1"/>
  <c r="R638" i="6" a="1"/>
  <c r="R638" i="6" s="1"/>
  <c r="R581" i="6" a="1"/>
  <c r="R581" i="6" s="1"/>
  <c r="R603" i="6" a="1"/>
  <c r="R603" i="6" s="1"/>
  <c r="R643" i="6" a="1"/>
  <c r="R643" i="6" s="1"/>
  <c r="R560" i="6" a="1"/>
  <c r="R560" i="6" s="1"/>
  <c r="R584" i="6" a="1"/>
  <c r="R584" i="6" s="1"/>
  <c r="R596" i="6" a="1"/>
  <c r="R596" i="6" s="1"/>
  <c r="R601" i="6" a="1"/>
  <c r="R601" i="6" s="1"/>
  <c r="R625" i="6" a="1"/>
  <c r="R625" i="6" s="1"/>
  <c r="R633" i="6" a="1"/>
  <c r="R633" i="6" s="1"/>
  <c r="R637" i="6" a="1"/>
  <c r="R637" i="6" s="1"/>
  <c r="R648" i="6" a="1"/>
  <c r="R648" i="6" s="1"/>
  <c r="R655" i="6" a="1"/>
  <c r="R655" i="6" s="1"/>
  <c r="U304" i="6"/>
  <c r="R652" i="6" a="1"/>
  <c r="R652" i="6" s="1"/>
  <c r="R651" i="6" a="1"/>
  <c r="R651" i="6" s="1"/>
  <c r="V305" i="6" l="1"/>
  <c r="S306" i="6" l="1"/>
  <c r="T306" i="6" s="1"/>
  <c r="R618" i="6" a="1"/>
  <c r="R618" i="6" s="1"/>
  <c r="R658" i="6" a="1"/>
  <c r="R658" i="6" s="1"/>
  <c r="R561" i="6" a="1"/>
  <c r="R561" i="6" s="1"/>
  <c r="R565" i="6" a="1"/>
  <c r="R565" i="6" s="1"/>
  <c r="R639" i="6" a="1"/>
  <c r="R639" i="6" s="1"/>
  <c r="R564" i="6" a="1"/>
  <c r="R564" i="6" s="1"/>
  <c r="R616" i="6" a="1"/>
  <c r="R616" i="6" s="1"/>
  <c r="R628" i="6" a="1"/>
  <c r="R628" i="6" s="1"/>
  <c r="R640" i="6" a="1"/>
  <c r="R640" i="6" s="1"/>
  <c r="U305" i="6"/>
  <c r="V306" i="6" l="1"/>
  <c r="S307" i="6" l="1"/>
  <c r="T307" i="6" s="1"/>
  <c r="U306" i="6"/>
  <c r="V307" i="6" l="1"/>
  <c r="S308" i="6" l="1"/>
  <c r="T308" i="6" s="1"/>
  <c r="U307" i="6"/>
  <c r="V308" i="6" l="1"/>
  <c r="S309" i="6" l="1"/>
  <c r="T309" i="6" s="1"/>
  <c r="U308" i="6"/>
  <c r="V309" i="6" l="1"/>
  <c r="S310" i="6" l="1"/>
  <c r="T310" i="6" s="1"/>
  <c r="U309" i="6"/>
  <c r="V310" i="6" l="1"/>
  <c r="S311" i="6" l="1"/>
  <c r="T311" i="6" s="1"/>
  <c r="U310" i="6"/>
  <c r="V311" i="6" l="1"/>
  <c r="S312" i="6" l="1"/>
  <c r="T312" i="6" s="1"/>
  <c r="U311" i="6"/>
  <c r="V312" i="6" l="1"/>
  <c r="S313" i="6" l="1"/>
  <c r="T313" i="6" s="1"/>
  <c r="U312" i="6"/>
  <c r="V313" i="6" l="1"/>
  <c r="S314" i="6" l="1"/>
  <c r="T314" i="6" s="1"/>
  <c r="U313" i="6"/>
  <c r="V314" i="6" l="1"/>
  <c r="S315" i="6" l="1"/>
  <c r="T315" i="6" s="1"/>
  <c r="U314" i="6"/>
  <c r="V315" i="6" l="1"/>
  <c r="S316" i="6" l="1"/>
  <c r="T316" i="6" s="1"/>
  <c r="U315" i="6"/>
  <c r="S317" i="6" l="1"/>
  <c r="T317" i="6" s="1"/>
  <c r="U316" i="6"/>
  <c r="S318" i="6" l="1"/>
  <c r="T318" i="6" s="1"/>
  <c r="U317" i="6"/>
  <c r="V318" i="6" l="1"/>
  <c r="S319" i="6" l="1"/>
  <c r="T319" i="6" s="1"/>
  <c r="U318" i="6"/>
  <c r="V319" i="6" l="1"/>
  <c r="S320" i="6" l="1"/>
  <c r="T320" i="6" s="1"/>
  <c r="U319" i="6"/>
  <c r="V320" i="6" l="1"/>
  <c r="S321" i="6" l="1"/>
  <c r="T321" i="6" s="1"/>
  <c r="U320" i="6"/>
  <c r="V321" i="6" l="1"/>
  <c r="S322" i="6" l="1"/>
  <c r="T322" i="6" s="1"/>
  <c r="U321" i="6"/>
  <c r="V322" i="6" l="1"/>
  <c r="S323" i="6" l="1"/>
  <c r="T323" i="6" s="1"/>
  <c r="U322" i="6"/>
  <c r="V323" i="6" l="1"/>
  <c r="S324" i="6" l="1"/>
  <c r="T324" i="6" s="1"/>
  <c r="U323" i="6"/>
  <c r="V324" i="6" l="1"/>
  <c r="S325" i="6" l="1"/>
  <c r="T325" i="6" s="1"/>
  <c r="U324" i="6"/>
  <c r="V325" i="6" l="1"/>
  <c r="S326" i="6" l="1"/>
  <c r="T326" i="6" s="1"/>
  <c r="U325" i="6"/>
  <c r="V326" i="6" l="1"/>
  <c r="S327" i="6" l="1"/>
  <c r="T327" i="6" s="1"/>
  <c r="U326" i="6"/>
  <c r="V327" i="6" l="1"/>
  <c r="S328" i="6" l="1"/>
  <c r="T328" i="6" s="1"/>
  <c r="U327" i="6"/>
  <c r="V328" i="6" l="1"/>
  <c r="S329" i="6" l="1"/>
  <c r="T329" i="6" s="1"/>
  <c r="U328" i="6"/>
  <c r="V329" i="6" l="1"/>
  <c r="S330" i="6" l="1"/>
  <c r="T330" i="6" s="1"/>
  <c r="U329" i="6"/>
  <c r="V330" i="6" l="1"/>
  <c r="S331" i="6" l="1"/>
  <c r="T331" i="6" s="1"/>
  <c r="U330" i="6"/>
  <c r="V331" i="6" l="1"/>
  <c r="S332" i="6" l="1"/>
  <c r="T332" i="6" s="1"/>
  <c r="U331" i="6"/>
  <c r="V332" i="6" l="1"/>
  <c r="S333" i="6" l="1"/>
  <c r="T333" i="6" s="1"/>
  <c r="U332" i="6"/>
  <c r="V333" i="6" l="1"/>
  <c r="S334" i="6" l="1"/>
  <c r="T334" i="6" s="1"/>
  <c r="U333" i="6"/>
  <c r="V334" i="6" l="1"/>
  <c r="S335" i="6" l="1"/>
  <c r="T335" i="6" s="1"/>
  <c r="U334" i="6"/>
  <c r="V335" i="6" l="1"/>
  <c r="S336" i="6" l="1"/>
  <c r="T336" i="6" s="1"/>
  <c r="U335" i="6"/>
  <c r="V336" i="6" l="1"/>
  <c r="S337" i="6" l="1"/>
  <c r="T337" i="6" s="1"/>
  <c r="U336" i="6"/>
  <c r="S338" i="6" l="1"/>
  <c r="T338" i="6" s="1"/>
  <c r="U337" i="6"/>
  <c r="S339" i="6" l="1"/>
  <c r="T339" i="6" s="1"/>
  <c r="U338" i="6"/>
  <c r="S340" i="6" l="1"/>
  <c r="T340" i="6" s="1"/>
  <c r="U339" i="6"/>
  <c r="V340" i="6" l="1"/>
  <c r="S341" i="6" l="1"/>
  <c r="T341" i="6" s="1"/>
  <c r="U340" i="6"/>
  <c r="V341" i="6" l="1"/>
  <c r="S342" i="6" l="1"/>
  <c r="T342" i="6" s="1"/>
  <c r="U341" i="6"/>
  <c r="V342" i="6" l="1"/>
  <c r="S343" i="6" l="1"/>
  <c r="T343" i="6" s="1"/>
  <c r="U342" i="6"/>
  <c r="V343" i="6" l="1"/>
  <c r="S344" i="6" l="1"/>
  <c r="T344" i="6" s="1"/>
  <c r="U343" i="6"/>
  <c r="V344" i="6" l="1"/>
  <c r="S345" i="6" l="1"/>
  <c r="T345" i="6" s="1"/>
  <c r="U344" i="6"/>
  <c r="V345" i="6" l="1"/>
  <c r="S346" i="6" l="1"/>
  <c r="T346" i="6" s="1"/>
  <c r="U345" i="6"/>
  <c r="V346" i="6" l="1"/>
  <c r="S347" i="6" l="1"/>
  <c r="T347" i="6" s="1"/>
  <c r="U346" i="6"/>
  <c r="V347" i="6" l="1"/>
  <c r="S348" i="6" l="1"/>
  <c r="T348" i="6" s="1"/>
  <c r="U347" i="6"/>
  <c r="V348" i="6" l="1"/>
  <c r="S349" i="6" l="1"/>
  <c r="T349" i="6" s="1"/>
  <c r="U348" i="6"/>
  <c r="V349" i="6" l="1"/>
  <c r="S350" i="6" l="1"/>
  <c r="T350" i="6" s="1"/>
  <c r="U349" i="6"/>
  <c r="V350" i="6" l="1"/>
  <c r="S351" i="6" l="1"/>
  <c r="T351" i="6" s="1"/>
  <c r="U350" i="6"/>
  <c r="V351" i="6" l="1"/>
  <c r="S352" i="6" l="1"/>
  <c r="T352" i="6" s="1"/>
  <c r="U351" i="6"/>
  <c r="V352" i="6" l="1"/>
  <c r="S353" i="6" l="1"/>
  <c r="T353" i="6" s="1"/>
  <c r="U352" i="6"/>
  <c r="V353" i="6" l="1"/>
  <c r="S354" i="6" l="1"/>
  <c r="T354" i="6" s="1"/>
  <c r="U353" i="6"/>
  <c r="V354" i="6" l="1"/>
  <c r="S355" i="6" l="1"/>
  <c r="T355" i="6" s="1"/>
  <c r="U354" i="6"/>
  <c r="V355" i="6" l="1"/>
  <c r="S356" i="6" l="1"/>
  <c r="T356" i="6" s="1"/>
  <c r="U355" i="6"/>
  <c r="V356" i="6" l="1"/>
  <c r="S357" i="6" l="1"/>
  <c r="T357" i="6" s="1"/>
  <c r="U356" i="6"/>
  <c r="V357" i="6" l="1"/>
  <c r="S358" i="6" l="1"/>
  <c r="T358" i="6" s="1"/>
  <c r="U357" i="6"/>
  <c r="V358" i="6" l="1"/>
  <c r="S359" i="6" l="1"/>
  <c r="T359" i="6" s="1"/>
  <c r="U358" i="6"/>
  <c r="V359" i="6" l="1"/>
  <c r="S360" i="6" l="1"/>
  <c r="T360" i="6" s="1"/>
  <c r="U359" i="6"/>
  <c r="V360" i="6" l="1"/>
  <c r="S361" i="6" l="1"/>
  <c r="T361" i="6" s="1"/>
  <c r="U360" i="6"/>
  <c r="V361" i="6" l="1"/>
  <c r="S362" i="6" l="1"/>
  <c r="T362" i="6" s="1"/>
  <c r="U361" i="6"/>
  <c r="V362" i="6" l="1"/>
  <c r="S363" i="6" l="1"/>
  <c r="T363" i="6" s="1"/>
  <c r="U362" i="6"/>
  <c r="V363" i="6" l="1"/>
  <c r="S364" i="6" l="1"/>
  <c r="T364" i="6" s="1"/>
  <c r="U363" i="6"/>
  <c r="V364" i="6" l="1"/>
  <c r="S365" i="6" l="1"/>
  <c r="T365" i="6" s="1"/>
  <c r="U364" i="6"/>
  <c r="V365" i="6" l="1"/>
  <c r="S366" i="6" l="1"/>
  <c r="T366" i="6" s="1"/>
  <c r="U365" i="6"/>
  <c r="V366" i="6" l="1"/>
  <c r="S367" i="6" l="1"/>
  <c r="T367" i="6" s="1"/>
  <c r="U366" i="6"/>
  <c r="V367" i="6" l="1"/>
  <c r="S368" i="6" l="1"/>
  <c r="T368" i="6" s="1"/>
  <c r="U367" i="6"/>
  <c r="S369" i="6" l="1"/>
  <c r="T369" i="6" s="1"/>
  <c r="U368" i="6"/>
  <c r="S370" i="6" l="1"/>
  <c r="T370" i="6" s="1"/>
  <c r="U369" i="6"/>
  <c r="V370" i="6" l="1"/>
  <c r="S371" i="6" l="1"/>
  <c r="T371" i="6" s="1"/>
  <c r="U370" i="6"/>
  <c r="V371" i="6" l="1"/>
  <c r="S372" i="6" l="1"/>
  <c r="T372" i="6" s="1"/>
  <c r="U371" i="6"/>
  <c r="V372" i="6" l="1"/>
  <c r="S373" i="6" l="1"/>
  <c r="T373" i="6" s="1"/>
  <c r="U372" i="6"/>
  <c r="V373" i="6" l="1"/>
  <c r="S374" i="6" l="1"/>
  <c r="T374" i="6" s="1"/>
  <c r="U373" i="6"/>
  <c r="V374" i="6" l="1"/>
  <c r="S375" i="6" l="1"/>
  <c r="T375" i="6" s="1"/>
  <c r="U374" i="6"/>
  <c r="V375" i="6" l="1"/>
  <c r="S376" i="6" l="1"/>
  <c r="T376" i="6" s="1"/>
  <c r="U375" i="6"/>
  <c r="V376" i="6" l="1"/>
  <c r="S377" i="6" l="1"/>
  <c r="T377" i="6" s="1"/>
  <c r="U376" i="6"/>
  <c r="S378" i="6" l="1"/>
  <c r="T378" i="6" s="1"/>
  <c r="U377" i="6"/>
  <c r="S379" i="6" l="1"/>
  <c r="T379" i="6" s="1"/>
  <c r="U378" i="6"/>
  <c r="S380" i="6" l="1"/>
  <c r="T380" i="6" s="1"/>
  <c r="U379" i="6"/>
  <c r="S381" i="6" l="1"/>
  <c r="T381" i="6" s="1"/>
  <c r="U380" i="6"/>
  <c r="S382" i="6" l="1"/>
  <c r="T382" i="6" s="1"/>
  <c r="U381" i="6"/>
  <c r="V382" i="6" l="1"/>
  <c r="S383" i="6" l="1"/>
  <c r="T383" i="6" s="1"/>
  <c r="U382" i="6"/>
  <c r="V383" i="6" l="1"/>
  <c r="S384" i="6" l="1"/>
  <c r="T384" i="6" s="1"/>
  <c r="U383" i="6"/>
  <c r="V384" i="6" l="1"/>
  <c r="S385" i="6" l="1"/>
  <c r="T385" i="6" s="1"/>
  <c r="U384" i="6"/>
  <c r="V385" i="6" l="1"/>
  <c r="S386" i="6" l="1"/>
  <c r="T386" i="6" s="1"/>
  <c r="R630" i="6" a="1"/>
  <c r="R630" i="6" s="1"/>
  <c r="R642" i="6" a="1"/>
  <c r="R642" i="6" s="1"/>
  <c r="R587" i="6" a="1"/>
  <c r="R587" i="6" s="1"/>
  <c r="R579" i="6" a="1"/>
  <c r="R579" i="6" s="1"/>
  <c r="R583" i="6" a="1"/>
  <c r="R583" i="6" s="1"/>
  <c r="R617" i="6" a="1"/>
  <c r="R617" i="6" s="1"/>
  <c r="R621" i="6" a="1"/>
  <c r="R621" i="6" s="1"/>
  <c r="R660" i="6" a="1"/>
  <c r="R660" i="6" s="1"/>
  <c r="R668" i="6" a="1"/>
  <c r="R668" i="6" s="1"/>
  <c r="U385" i="6"/>
  <c r="V386" i="6" l="1"/>
  <c r="S387" i="6" l="1"/>
  <c r="T387" i="6" s="1"/>
  <c r="U386" i="6"/>
  <c r="V387" i="6" l="1"/>
  <c r="S388" i="6" l="1"/>
  <c r="T388" i="6" s="1"/>
  <c r="U387" i="6"/>
  <c r="V388" i="6" l="1"/>
  <c r="S389" i="6" l="1"/>
  <c r="T389" i="6" s="1"/>
  <c r="U388" i="6"/>
  <c r="V389" i="6" l="1"/>
  <c r="S390" i="6" l="1"/>
  <c r="T390" i="6" s="1"/>
  <c r="U389" i="6"/>
  <c r="V390" i="6" l="1"/>
  <c r="S391" i="6" l="1"/>
  <c r="T391" i="6" s="1"/>
  <c r="U390" i="6"/>
  <c r="V391" i="6" l="1"/>
  <c r="S392" i="6" l="1"/>
  <c r="T392" i="6" s="1"/>
  <c r="U391" i="6"/>
  <c r="V392" i="6" l="1"/>
  <c r="S393" i="6" l="1"/>
  <c r="T393" i="6" s="1"/>
  <c r="U392" i="6"/>
  <c r="V393" i="6" l="1"/>
  <c r="S394" i="6" l="1"/>
  <c r="T394" i="6" s="1"/>
  <c r="U393" i="6"/>
  <c r="V394" i="6" l="1"/>
  <c r="S395" i="6" l="1"/>
  <c r="T395" i="6" s="1"/>
  <c r="U394" i="6"/>
  <c r="V395" i="6" l="1"/>
  <c r="S396" i="6" l="1"/>
  <c r="T396" i="6" s="1"/>
  <c r="U395" i="6"/>
  <c r="V396" i="6" l="1"/>
  <c r="S397" i="6" l="1"/>
  <c r="T397" i="6" s="1"/>
  <c r="U396" i="6"/>
  <c r="S398" i="6" l="1"/>
  <c r="T398" i="6" s="1"/>
  <c r="U397" i="6"/>
  <c r="S399" i="6" l="1"/>
  <c r="T399" i="6" s="1"/>
  <c r="U398" i="6"/>
  <c r="V399" i="6" l="1"/>
  <c r="S400" i="6" l="1"/>
  <c r="T400" i="6" s="1"/>
  <c r="U399" i="6"/>
  <c r="V400" i="6" l="1"/>
  <c r="S401" i="6" l="1"/>
  <c r="T401" i="6" s="1"/>
  <c r="U400" i="6"/>
  <c r="V401" i="6" l="1"/>
  <c r="S402" i="6" l="1"/>
  <c r="T402" i="6" s="1"/>
  <c r="U401" i="6"/>
  <c r="V402" i="6" l="1"/>
  <c r="S403" i="6" l="1"/>
  <c r="T403" i="6" s="1"/>
  <c r="U402" i="6"/>
  <c r="V403" i="6" l="1"/>
  <c r="S404" i="6" l="1"/>
  <c r="T404" i="6" s="1"/>
  <c r="U403" i="6"/>
  <c r="V404" i="6" l="1"/>
  <c r="S405" i="6" l="1"/>
  <c r="T405" i="6" s="1"/>
  <c r="R598" i="6" a="1"/>
  <c r="R598" i="6" s="1"/>
  <c r="R646" i="6" a="1"/>
  <c r="R646" i="6" s="1"/>
  <c r="R611" i="6" a="1"/>
  <c r="R611" i="6" s="1"/>
  <c r="R631" i="6" a="1"/>
  <c r="R631" i="6" s="1"/>
  <c r="R589" i="6" a="1"/>
  <c r="R589" i="6" s="1"/>
  <c r="R605" i="6" a="1"/>
  <c r="R605" i="6" s="1"/>
  <c r="R613" i="6" a="1"/>
  <c r="R613" i="6" s="1"/>
  <c r="R656" i="6" a="1"/>
  <c r="R656" i="6" s="1"/>
  <c r="R665" i="6" a="1"/>
  <c r="R665" i="6" s="1"/>
  <c r="R644" i="6" a="1"/>
  <c r="R644" i="6" s="1"/>
  <c r="U404" i="6"/>
  <c r="V405" i="6" l="1"/>
  <c r="S406" i="6" l="1"/>
  <c r="T406" i="6" s="1"/>
  <c r="U405" i="6"/>
  <c r="V406" i="6" l="1"/>
  <c r="S407" i="6" l="1"/>
  <c r="T407" i="6" s="1"/>
  <c r="U406" i="6"/>
  <c r="V407" i="6" l="1"/>
  <c r="S408" i="6" l="1"/>
  <c r="T408" i="6" s="1"/>
  <c r="U407" i="6"/>
  <c r="V408" i="6" l="1"/>
  <c r="S409" i="6" l="1"/>
  <c r="T409" i="6" s="1"/>
  <c r="U408" i="6"/>
  <c r="V409" i="6" l="1"/>
  <c r="S410" i="6" l="1"/>
  <c r="T410" i="6" s="1"/>
  <c r="U409" i="6"/>
  <c r="V410" i="6" l="1"/>
  <c r="S411" i="6" l="1"/>
  <c r="T411" i="6" s="1"/>
  <c r="U410" i="6"/>
  <c r="V411" i="6" l="1"/>
  <c r="S412" i="6" l="1"/>
  <c r="T412" i="6" s="1"/>
  <c r="U411" i="6"/>
  <c r="V412" i="6" l="1"/>
  <c r="S413" i="6" l="1"/>
  <c r="T413" i="6" s="1"/>
  <c r="U412" i="6"/>
  <c r="V413" i="6" l="1"/>
  <c r="S414" i="6" l="1"/>
  <c r="T414" i="6" s="1"/>
  <c r="U413" i="6"/>
  <c r="V414" i="6" l="1"/>
  <c r="S415" i="6" l="1"/>
  <c r="T415" i="6" s="1"/>
  <c r="U414" i="6"/>
  <c r="V415" i="6" l="1"/>
  <c r="S416" i="6" l="1"/>
  <c r="T416" i="6" s="1"/>
  <c r="U415" i="6"/>
  <c r="V416" i="6" l="1"/>
  <c r="S417" i="6" l="1"/>
  <c r="T417" i="6" s="1"/>
  <c r="U416" i="6"/>
  <c r="V417" i="6" l="1"/>
  <c r="S418" i="6" l="1"/>
  <c r="T418" i="6" s="1"/>
  <c r="U417" i="6"/>
  <c r="V418" i="6" l="1"/>
  <c r="S419" i="6" l="1"/>
  <c r="T419" i="6" s="1"/>
  <c r="U418" i="6"/>
  <c r="S420" i="6" l="1"/>
  <c r="T420" i="6" s="1"/>
  <c r="U419" i="6"/>
  <c r="S421" i="6" l="1"/>
  <c r="T421" i="6" s="1"/>
  <c r="U420" i="6"/>
  <c r="V421" i="6" l="1"/>
  <c r="S422" i="6" l="1"/>
  <c r="T422" i="6" s="1"/>
  <c r="U421" i="6"/>
  <c r="V422" i="6" l="1"/>
  <c r="S423" i="6" l="1"/>
  <c r="T423" i="6" s="1"/>
  <c r="U422" i="6"/>
  <c r="V423" i="6" l="1"/>
  <c r="S424" i="6" l="1"/>
  <c r="T424" i="6" s="1"/>
  <c r="U423" i="6"/>
  <c r="V424" i="6" l="1"/>
  <c r="S425" i="6" l="1"/>
  <c r="T425" i="6" s="1"/>
  <c r="U424" i="6"/>
  <c r="V425" i="6" l="1"/>
  <c r="S426" i="6" l="1"/>
  <c r="T426" i="6" s="1"/>
  <c r="U425" i="6"/>
  <c r="V426" i="6" l="1"/>
  <c r="S427" i="6" l="1"/>
  <c r="T427" i="6" s="1"/>
  <c r="U426" i="6"/>
  <c r="V427" i="6" l="1"/>
  <c r="S428" i="6" l="1"/>
  <c r="T428" i="6" s="1"/>
  <c r="U427" i="6"/>
  <c r="V428" i="6" l="1"/>
  <c r="S429" i="6" l="1"/>
  <c r="T429" i="6" s="1"/>
  <c r="U428" i="6"/>
  <c r="V429" i="6" l="1"/>
  <c r="S430" i="6" l="1"/>
  <c r="T430" i="6" s="1"/>
  <c r="U429" i="6"/>
  <c r="V430" i="6" l="1"/>
  <c r="S431" i="6" l="1"/>
  <c r="T431" i="6" s="1"/>
  <c r="U430" i="6"/>
  <c r="S432" i="6" l="1"/>
  <c r="T432" i="6" s="1"/>
  <c r="U431" i="6"/>
  <c r="S433" i="6" l="1"/>
  <c r="T433" i="6" s="1"/>
  <c r="U432" i="6"/>
  <c r="V433" i="6" l="1"/>
  <c r="S434" i="6" l="1"/>
  <c r="T434" i="6" s="1"/>
  <c r="U433" i="6"/>
  <c r="V434" i="6" l="1"/>
  <c r="S435" i="6" l="1"/>
  <c r="T435" i="6" s="1"/>
  <c r="U434" i="6"/>
  <c r="V435" i="6" l="1"/>
  <c r="S436" i="6" l="1"/>
  <c r="T436" i="6" s="1"/>
  <c r="U435" i="6"/>
  <c r="V436" i="6" l="1"/>
  <c r="S437" i="6" l="1"/>
  <c r="T437" i="6" s="1"/>
  <c r="U436" i="6"/>
  <c r="V437" i="6" l="1"/>
  <c r="S438" i="6" l="1"/>
  <c r="T438" i="6" s="1"/>
  <c r="U437" i="6"/>
  <c r="V438" i="6" l="1"/>
  <c r="S439" i="6" l="1"/>
  <c r="T439" i="6" s="1"/>
  <c r="U438" i="6"/>
  <c r="V439" i="6" l="1"/>
  <c r="S440" i="6" l="1"/>
  <c r="T440" i="6" s="1"/>
  <c r="U439" i="6"/>
  <c r="V440" i="6" l="1"/>
  <c r="S441" i="6" l="1"/>
  <c r="T441" i="6" s="1"/>
  <c r="U440" i="6"/>
  <c r="V441" i="6" l="1"/>
  <c r="S442" i="6" l="1"/>
  <c r="T442" i="6" s="1"/>
  <c r="U441" i="6"/>
  <c r="V442" i="6" l="1"/>
  <c r="S443" i="6" l="1"/>
  <c r="T443" i="6" s="1"/>
  <c r="U442" i="6"/>
  <c r="V443" i="6" l="1"/>
  <c r="S444" i="6" l="1"/>
  <c r="T444" i="6" s="1"/>
  <c r="U443" i="6"/>
  <c r="V444" i="6" l="1"/>
  <c r="S445" i="6" l="1"/>
  <c r="T445" i="6" s="1"/>
  <c r="R610" i="6" a="1"/>
  <c r="R610" i="6" s="1"/>
  <c r="R607" i="6" a="1"/>
  <c r="R607" i="6" s="1"/>
  <c r="R635" i="6" a="1"/>
  <c r="R635" i="6" s="1"/>
  <c r="R608" i="6" a="1"/>
  <c r="R608" i="6" s="1"/>
  <c r="R636" i="6" a="1"/>
  <c r="R636" i="6" s="1"/>
  <c r="R597" i="6" a="1"/>
  <c r="R597" i="6" s="1"/>
  <c r="U444" i="6"/>
  <c r="R659" i="6" a="1"/>
  <c r="R659" i="6" s="1"/>
  <c r="R667" i="6" a="1"/>
  <c r="R667" i="6" s="1"/>
  <c r="V445" i="6" l="1"/>
  <c r="S446" i="6" l="1"/>
  <c r="T446" i="6" s="1"/>
  <c r="U445" i="6"/>
  <c r="V446" i="6" l="1"/>
  <c r="S447" i="6" l="1"/>
  <c r="T447" i="6" s="1"/>
  <c r="R650" i="6" a="1"/>
  <c r="R650" i="6" s="1"/>
  <c r="R599" i="6" a="1"/>
  <c r="R599" i="6" s="1"/>
  <c r="R615" i="6" a="1"/>
  <c r="R615" i="6" s="1"/>
  <c r="R604" i="6" a="1"/>
  <c r="R604" i="6" s="1"/>
  <c r="R624" i="6" a="1"/>
  <c r="R624" i="6" s="1"/>
  <c r="R632" i="6" a="1"/>
  <c r="R632" i="6" s="1"/>
  <c r="R661" i="6" a="1"/>
  <c r="R661" i="6" s="1"/>
  <c r="R662" i="6" a="1"/>
  <c r="R662" i="6" s="1"/>
  <c r="R663" i="6" a="1"/>
  <c r="R663" i="6" s="1"/>
  <c r="U446" i="6"/>
  <c r="V447" i="6" l="1"/>
  <c r="S448" i="6" l="1"/>
  <c r="T448" i="6" s="1"/>
  <c r="U447" i="6"/>
  <c r="V448" i="6" l="1"/>
  <c r="S449" i="6" l="1"/>
  <c r="T449" i="6" s="1"/>
  <c r="U448" i="6"/>
  <c r="V449" i="6" l="1"/>
  <c r="S450" i="6" l="1"/>
  <c r="T450" i="6" s="1"/>
  <c r="U449" i="6"/>
  <c r="V450" i="6" l="1"/>
  <c r="S451" i="6" l="1"/>
  <c r="T451" i="6" s="1"/>
  <c r="U450" i="6"/>
  <c r="V451" i="6" l="1"/>
  <c r="S452" i="6" l="1"/>
  <c r="T452" i="6" s="1"/>
  <c r="U451" i="6"/>
  <c r="V452" i="6" l="1"/>
  <c r="S453" i="6" l="1"/>
  <c r="T453" i="6" s="1"/>
  <c r="U452" i="6"/>
  <c r="V453" i="6" l="1"/>
  <c r="S454" i="6" l="1"/>
  <c r="T454" i="6" s="1"/>
  <c r="U453" i="6"/>
  <c r="V454" i="6" l="1"/>
  <c r="S455" i="6" l="1"/>
  <c r="T455" i="6" s="1"/>
  <c r="U454" i="6"/>
  <c r="V455" i="6" l="1"/>
  <c r="S456" i="6" l="1"/>
  <c r="T456" i="6" s="1"/>
  <c r="U455" i="6"/>
  <c r="V456" i="6" l="1"/>
  <c r="S457" i="6" l="1"/>
  <c r="T457" i="6" s="1"/>
  <c r="U456" i="6"/>
  <c r="V457" i="6" l="1"/>
  <c r="S458" i="6" l="1"/>
  <c r="T458" i="6" s="1"/>
  <c r="U457" i="6"/>
  <c r="V458" i="6" l="1"/>
  <c r="S459" i="6" l="1"/>
  <c r="T459" i="6" s="1"/>
  <c r="U458" i="6"/>
  <c r="V459" i="6" l="1"/>
  <c r="S460" i="6" l="1"/>
  <c r="T460" i="6" s="1"/>
  <c r="U459" i="6"/>
  <c r="V460" i="6" l="1"/>
  <c r="S461" i="6" l="1"/>
  <c r="T461" i="6" s="1"/>
  <c r="U460" i="6"/>
  <c r="V461" i="6" l="1"/>
  <c r="S462" i="6" l="1"/>
  <c r="T462" i="6" s="1"/>
  <c r="U461" i="6"/>
  <c r="V462" i="6" l="1"/>
  <c r="S463" i="6" l="1"/>
  <c r="T463" i="6" s="1"/>
  <c r="U462" i="6"/>
  <c r="V463" i="6" l="1"/>
  <c r="S464" i="6" l="1"/>
  <c r="T464" i="6" s="1"/>
  <c r="U463" i="6"/>
  <c r="V464" i="6" l="1"/>
  <c r="S465" i="6" l="1"/>
  <c r="T465" i="6" s="1"/>
  <c r="U464" i="6"/>
  <c r="V465" i="6" l="1"/>
  <c r="S466" i="6" l="1"/>
  <c r="T466" i="6" s="1"/>
  <c r="R619" i="6" a="1"/>
  <c r="R619" i="6" s="1"/>
  <c r="R600" i="6" a="1"/>
  <c r="R600" i="6" s="1"/>
  <c r="R629" i="6" a="1"/>
  <c r="R629" i="6" s="1"/>
  <c r="R641" i="6" a="1"/>
  <c r="R641" i="6" s="1"/>
  <c r="R645" i="6" a="1"/>
  <c r="R645" i="6" s="1"/>
  <c r="R653" i="6" a="1"/>
  <c r="R653" i="6" s="1"/>
  <c r="R647" i="6" a="1"/>
  <c r="R647" i="6" s="1"/>
  <c r="U465" i="6"/>
  <c r="V466" i="6" l="1"/>
  <c r="S467" i="6" l="1"/>
  <c r="T467" i="6" s="1"/>
  <c r="U466" i="6"/>
  <c r="V467" i="6" l="1"/>
  <c r="S468" i="6" l="1"/>
  <c r="T468" i="6" s="1"/>
  <c r="U467" i="6"/>
  <c r="V468" i="6" l="1"/>
  <c r="S469" i="6" l="1"/>
  <c r="T469" i="6" s="1"/>
  <c r="U468" i="6"/>
  <c r="V469" i="6" l="1"/>
  <c r="S470" i="6" l="1"/>
  <c r="T470" i="6" s="1"/>
  <c r="U469" i="6"/>
  <c r="V470" i="6" l="1"/>
  <c r="S471" i="6" l="1"/>
  <c r="T471" i="6" s="1"/>
  <c r="U470" i="6"/>
  <c r="V471" i="6" l="1"/>
  <c r="S472" i="6" l="1"/>
  <c r="T472" i="6" s="1"/>
  <c r="U471" i="6"/>
  <c r="V472" i="6" l="1"/>
  <c r="S473" i="6" l="1"/>
  <c r="T473" i="6" s="1"/>
  <c r="U472" i="6"/>
  <c r="V473" i="6" l="1"/>
  <c r="S474" i="6" l="1"/>
  <c r="T474" i="6" s="1"/>
  <c r="U473" i="6"/>
  <c r="V474" i="6" l="1"/>
  <c r="S475" i="6" l="1"/>
  <c r="T475" i="6" s="1"/>
  <c r="U474" i="6"/>
  <c r="V475" i="6" l="1"/>
  <c r="S476" i="6" l="1"/>
  <c r="T476" i="6" s="1"/>
  <c r="U475" i="6"/>
  <c r="V476" i="6" l="1"/>
  <c r="S477" i="6" l="1"/>
  <c r="T477" i="6" s="1"/>
  <c r="U476" i="6"/>
  <c r="V477" i="6" l="1"/>
  <c r="S478" i="6" l="1"/>
  <c r="T478" i="6" s="1"/>
  <c r="U477" i="6"/>
  <c r="V478" i="6" l="1"/>
  <c r="S479" i="6" l="1"/>
  <c r="T479" i="6" s="1"/>
  <c r="U478" i="6"/>
  <c r="V479" i="6" l="1"/>
  <c r="S480" i="6" l="1"/>
  <c r="T480" i="6" s="1"/>
  <c r="U479" i="6"/>
  <c r="V480" i="6" l="1"/>
  <c r="S481" i="6" l="1"/>
  <c r="T481" i="6" s="1"/>
  <c r="U480" i="6"/>
  <c r="V481" i="6" l="1"/>
  <c r="S482" i="6" l="1"/>
  <c r="T482" i="6" s="1"/>
  <c r="U481" i="6"/>
  <c r="V482" i="6" l="1"/>
  <c r="S483" i="6" l="1"/>
  <c r="T483" i="6" s="1"/>
  <c r="U482" i="6"/>
  <c r="V483" i="6" l="1"/>
  <c r="S484" i="6" l="1"/>
  <c r="T484" i="6" s="1"/>
  <c r="U483" i="6"/>
  <c r="V484" i="6" l="1"/>
  <c r="S485" i="6" l="1"/>
  <c r="T485" i="6" s="1"/>
  <c r="U484" i="6"/>
  <c r="V485" i="6" l="1"/>
  <c r="S486" i="6" l="1"/>
  <c r="T486" i="6" s="1"/>
  <c r="U485" i="6"/>
  <c r="V486" i="6" l="1"/>
  <c r="S487" i="6" l="1"/>
  <c r="T487" i="6" s="1"/>
  <c r="U486" i="6"/>
  <c r="V487" i="6" l="1"/>
  <c r="S488" i="6" l="1"/>
  <c r="T488" i="6" s="1"/>
  <c r="U487" i="6"/>
  <c r="V488" i="6" l="1"/>
  <c r="S489" i="6" l="1"/>
  <c r="T489" i="6" s="1"/>
  <c r="U488" i="6"/>
  <c r="V489" i="6" l="1"/>
  <c r="S490" i="6" l="1"/>
  <c r="T490" i="6" s="1"/>
  <c r="U489" i="6"/>
  <c r="V490" i="6" l="1"/>
  <c r="S491" i="6" l="1"/>
  <c r="T491" i="6" s="1"/>
  <c r="U490" i="6"/>
  <c r="V491" i="6" l="1"/>
  <c r="S492" i="6" l="1"/>
  <c r="T492" i="6" s="1"/>
  <c r="U491" i="6"/>
  <c r="V492" i="6" l="1"/>
  <c r="S493" i="6" l="1"/>
  <c r="T493" i="6" s="1"/>
  <c r="U492" i="6"/>
  <c r="V493" i="6" l="1"/>
  <c r="S494" i="6" l="1"/>
  <c r="T494" i="6" s="1"/>
  <c r="U493" i="6"/>
  <c r="V494" i="6" l="1"/>
  <c r="S495" i="6" l="1"/>
  <c r="T495" i="6" s="1"/>
  <c r="U494" i="6"/>
  <c r="V495" i="6" l="1"/>
  <c r="S496" i="6" l="1"/>
  <c r="T496" i="6" s="1"/>
  <c r="U495" i="6"/>
  <c r="V496" i="6" l="1"/>
  <c r="S497" i="6" l="1"/>
  <c r="T497" i="6" s="1"/>
  <c r="U496" i="6"/>
  <c r="V497" i="6" l="1"/>
  <c r="S498" i="6" l="1"/>
  <c r="T498" i="6" s="1"/>
  <c r="U497" i="6"/>
  <c r="V498" i="6" l="1"/>
  <c r="S499" i="6" l="1"/>
  <c r="T499" i="6" s="1"/>
  <c r="U498" i="6"/>
  <c r="V499" i="6" l="1"/>
  <c r="S500" i="6" l="1"/>
  <c r="T500" i="6" s="1"/>
  <c r="U499" i="6"/>
  <c r="V500" i="6" l="1"/>
  <c r="S501" i="6" l="1"/>
  <c r="T501" i="6" s="1"/>
  <c r="U500" i="6"/>
  <c r="V501" i="6" l="1"/>
  <c r="S502" i="6" l="1"/>
  <c r="T502" i="6" s="1"/>
  <c r="U501" i="6"/>
  <c r="V502" i="6" l="1"/>
  <c r="S503" i="6" l="1"/>
  <c r="T503" i="6" s="1"/>
  <c r="U502" i="6"/>
  <c r="V503" i="6" l="1"/>
  <c r="S504" i="6" l="1"/>
  <c r="T504" i="6" s="1"/>
  <c r="U503" i="6"/>
  <c r="V504" i="6" l="1"/>
  <c r="S505" i="6" l="1"/>
  <c r="T505" i="6" s="1"/>
  <c r="U504" i="6"/>
  <c r="V505" i="6" l="1"/>
  <c r="S506" i="6" l="1"/>
  <c r="T506" i="6" s="1"/>
  <c r="U505" i="6"/>
  <c r="V506" i="6" l="1"/>
  <c r="S507" i="6" l="1"/>
  <c r="T507" i="6" s="1"/>
  <c r="U506" i="6"/>
  <c r="V507" i="6" l="1"/>
  <c r="S508" i="6" l="1"/>
  <c r="T508" i="6" s="1"/>
  <c r="U507" i="6"/>
  <c r="V508" i="6" l="1"/>
  <c r="S509" i="6" l="1"/>
  <c r="T509" i="6" s="1"/>
  <c r="U508" i="6"/>
  <c r="V509" i="6" l="1"/>
  <c r="S510" i="6" l="1"/>
  <c r="T510" i="6" s="1"/>
  <c r="U509" i="6"/>
  <c r="V510" i="6" l="1"/>
  <c r="S511" i="6" l="1"/>
  <c r="T511" i="6" s="1"/>
  <c r="U510" i="6"/>
  <c r="V511" i="6" l="1"/>
  <c r="S512" i="6" l="1"/>
  <c r="T512" i="6" s="1"/>
  <c r="U511" i="6"/>
  <c r="V512" i="6" l="1"/>
  <c r="S513" i="6" l="1"/>
  <c r="T513" i="6" s="1"/>
  <c r="U512" i="6"/>
  <c r="V513" i="6" l="1"/>
  <c r="S514" i="6" l="1"/>
  <c r="T514" i="6" s="1"/>
  <c r="U513" i="6"/>
  <c r="V514" i="6" l="1"/>
  <c r="S515" i="6" l="1"/>
  <c r="T515" i="6" s="1"/>
  <c r="U514" i="6"/>
  <c r="V515" i="6" l="1"/>
  <c r="S516" i="6" l="1"/>
  <c r="T516" i="6" s="1"/>
  <c r="U515" i="6"/>
  <c r="V516" i="6" l="1"/>
  <c r="S517" i="6" l="1"/>
  <c r="T517" i="6" s="1"/>
  <c r="U516" i="6"/>
  <c r="V517" i="6" l="1"/>
  <c r="S518" i="6" l="1"/>
  <c r="T518" i="6" s="1"/>
  <c r="U517" i="6"/>
  <c r="V518" i="6" l="1"/>
  <c r="S519" i="6" l="1"/>
  <c r="T519" i="6" s="1"/>
  <c r="U518" i="6"/>
  <c r="V519" i="6" l="1"/>
  <c r="S520" i="6" l="1"/>
  <c r="T520" i="6" s="1"/>
  <c r="U519" i="6"/>
  <c r="V520" i="6" l="1"/>
  <c r="S521" i="6" l="1"/>
  <c r="T521" i="6" s="1"/>
  <c r="U520" i="6"/>
  <c r="V521" i="6" l="1"/>
  <c r="S522" i="6" l="1"/>
  <c r="T522" i="6" s="1"/>
  <c r="U521" i="6"/>
  <c r="V522" i="6" l="1"/>
  <c r="S523" i="6" l="1"/>
  <c r="T523" i="6" s="1"/>
  <c r="U522" i="6"/>
  <c r="V523" i="6" l="1"/>
  <c r="S524" i="6" l="1"/>
  <c r="T524" i="6" s="1"/>
  <c r="U523" i="6"/>
  <c r="V524" i="6" l="1"/>
  <c r="S525" i="6" l="1"/>
  <c r="T525" i="6" s="1"/>
  <c r="U524" i="6"/>
  <c r="V525" i="6" l="1"/>
  <c r="S526" i="6" l="1"/>
  <c r="T526" i="6" s="1"/>
  <c r="U525" i="6"/>
  <c r="V526" i="6" l="1"/>
  <c r="S527" i="6" l="1"/>
  <c r="T527" i="6" s="1"/>
  <c r="U526" i="6"/>
  <c r="V527" i="6" l="1"/>
  <c r="S528" i="6" l="1"/>
  <c r="T528" i="6" s="1"/>
  <c r="U527" i="6"/>
  <c r="V528" i="6" l="1"/>
  <c r="S529" i="6" l="1"/>
  <c r="T529" i="6" s="1"/>
  <c r="U528" i="6"/>
  <c r="V529" i="6" l="1"/>
  <c r="S530" i="6" l="1"/>
  <c r="T530" i="6" s="1"/>
  <c r="U529" i="6"/>
  <c r="V530" i="6" l="1"/>
  <c r="S531" i="6" l="1"/>
  <c r="T531" i="6" s="1"/>
  <c r="U530" i="6"/>
  <c r="V531" i="6" l="1"/>
  <c r="S532" i="6" l="1"/>
  <c r="T532" i="6" s="1"/>
  <c r="U531" i="6"/>
  <c r="V532" i="6" l="1"/>
  <c r="S533" i="6" l="1"/>
  <c r="T533" i="6" s="1"/>
  <c r="U532" i="6"/>
  <c r="V533" i="6" l="1"/>
  <c r="S534" i="6" l="1"/>
  <c r="T534" i="6" s="1"/>
  <c r="U533" i="6"/>
  <c r="V534" i="6" l="1"/>
  <c r="S535" i="6" l="1"/>
  <c r="T535" i="6" s="1"/>
  <c r="U534" i="6"/>
  <c r="V535" i="6" l="1"/>
  <c r="S536" i="6" l="1"/>
  <c r="T536" i="6" s="1"/>
  <c r="U535" i="6"/>
  <c r="V536" i="6" l="1"/>
  <c r="S537" i="6" l="1"/>
  <c r="T537" i="6" s="1"/>
  <c r="U536" i="6"/>
  <c r="V537" i="6" l="1"/>
  <c r="S538" i="6" l="1"/>
  <c r="T538" i="6" s="1"/>
  <c r="U537" i="6"/>
  <c r="V538" i="6" l="1"/>
  <c r="S539" i="6" l="1"/>
  <c r="T539" i="6" s="1"/>
  <c r="U538" i="6"/>
  <c r="V539" i="6" l="1"/>
  <c r="S540" i="6" l="1"/>
  <c r="T540" i="6" s="1"/>
  <c r="U539" i="6"/>
  <c r="V540" i="6" l="1"/>
  <c r="S541" i="6" l="1"/>
  <c r="T541" i="6" s="1"/>
  <c r="U540" i="6"/>
  <c r="V541" i="6" l="1"/>
  <c r="S542" i="6" l="1"/>
  <c r="T542" i="6" s="1"/>
  <c r="U541" i="6"/>
  <c r="V542" i="6" l="1"/>
  <c r="S543" i="6" l="1"/>
  <c r="T543" i="6" s="1"/>
  <c r="U542" i="6"/>
  <c r="V543" i="6" l="1"/>
  <c r="S544" i="6" l="1"/>
  <c r="T544" i="6" s="1"/>
  <c r="U543" i="6"/>
  <c r="V544" i="6" l="1"/>
  <c r="S545" i="6" l="1"/>
  <c r="T545" i="6" s="1"/>
  <c r="U544" i="6"/>
  <c r="V545" i="6" l="1"/>
  <c r="S546" i="6" l="1"/>
  <c r="T546" i="6" s="1"/>
  <c r="U545" i="6"/>
  <c r="V546" i="6" l="1"/>
  <c r="S547" i="6" l="1"/>
  <c r="T547" i="6" s="1"/>
  <c r="U546" i="6"/>
  <c r="V547" i="6" l="1"/>
  <c r="S548" i="6" l="1"/>
  <c r="T548" i="6" s="1"/>
  <c r="U547" i="6"/>
  <c r="V548" i="6" l="1"/>
  <c r="S549" i="6" l="1"/>
  <c r="T549" i="6" s="1"/>
  <c r="U548" i="6"/>
  <c r="V549" i="6" l="1"/>
  <c r="S550" i="6" l="1"/>
  <c r="T550" i="6" s="1"/>
  <c r="U549" i="6"/>
  <c r="V550" i="6" l="1"/>
  <c r="S551" i="6" l="1"/>
  <c r="T551" i="6" s="1"/>
  <c r="U550" i="6"/>
  <c r="V551" i="6" l="1"/>
  <c r="S552" i="6" l="1"/>
  <c r="T552" i="6" s="1"/>
  <c r="U551" i="6"/>
  <c r="V552" i="6" l="1"/>
  <c r="S553" i="6" l="1"/>
  <c r="T553" i="6" s="1"/>
  <c r="U552" i="6"/>
  <c r="V553" i="6" l="1"/>
  <c r="S554" i="6" l="1"/>
  <c r="T554" i="6" s="1"/>
  <c r="U553" i="6"/>
  <c r="V554" i="6" l="1"/>
  <c r="S555" i="6" l="1"/>
  <c r="T555" i="6" s="1"/>
  <c r="U554" i="6"/>
  <c r="V555" i="6" l="1"/>
  <c r="S556" i="6" l="1"/>
  <c r="T556" i="6" s="1"/>
  <c r="U555" i="6"/>
  <c r="V556" i="6" l="1"/>
  <c r="S557" i="6" l="1"/>
  <c r="T557" i="6" s="1"/>
  <c r="U556" i="6"/>
  <c r="V557" i="6" l="1"/>
  <c r="S558" i="6" l="1"/>
  <c r="T558" i="6" s="1"/>
  <c r="U557" i="6"/>
  <c r="V558" i="6" l="1"/>
  <c r="S559" i="6" l="1"/>
  <c r="T559" i="6" s="1"/>
  <c r="U558" i="6"/>
  <c r="V559" i="6" l="1"/>
  <c r="S560" i="6" l="1"/>
  <c r="T560" i="6" s="1"/>
  <c r="U559" i="6"/>
  <c r="V560" i="6" l="1"/>
  <c r="S561" i="6" l="1"/>
  <c r="T561" i="6" s="1"/>
  <c r="U560" i="6"/>
  <c r="V561" i="6" l="1"/>
  <c r="S562" i="6" l="1"/>
  <c r="T562" i="6" s="1"/>
  <c r="U561" i="6"/>
  <c r="V562" i="6" l="1"/>
  <c r="S563" i="6" l="1"/>
  <c r="T563" i="6" s="1"/>
  <c r="U562" i="6"/>
  <c r="V563" i="6" l="1"/>
  <c r="S564" i="6" l="1"/>
  <c r="T564" i="6" s="1"/>
  <c r="U563" i="6"/>
  <c r="V564" i="6" l="1"/>
  <c r="S565" i="6" l="1"/>
  <c r="T565" i="6" s="1"/>
  <c r="U564" i="6"/>
  <c r="V565" i="6" l="1"/>
  <c r="S566" i="6" l="1"/>
  <c r="T566" i="6" s="1"/>
  <c r="U565" i="6"/>
  <c r="V566" i="6" l="1"/>
  <c r="S567" i="6" l="1"/>
  <c r="T567" i="6" s="1"/>
  <c r="U566" i="6"/>
  <c r="V567" i="6" l="1"/>
  <c r="S568" i="6" l="1"/>
  <c r="T568" i="6" s="1"/>
  <c r="U567" i="6"/>
  <c r="V568" i="6" l="1"/>
  <c r="S569" i="6" l="1"/>
  <c r="T569" i="6" s="1"/>
  <c r="U568" i="6"/>
  <c r="V569" i="6" l="1"/>
  <c r="S570" i="6" l="1"/>
  <c r="T570" i="6" s="1"/>
  <c r="U569" i="6"/>
  <c r="V570" i="6" l="1"/>
  <c r="S571" i="6" l="1"/>
  <c r="T571" i="6" s="1"/>
  <c r="U570" i="6"/>
  <c r="V571" i="6" l="1"/>
  <c r="S572" i="6" l="1"/>
  <c r="T572" i="6" s="1"/>
  <c r="U571" i="6"/>
  <c r="V572" i="6" l="1"/>
  <c r="S573" i="6" l="1"/>
  <c r="T573" i="6" s="1"/>
  <c r="U572" i="6"/>
  <c r="V573" i="6" l="1"/>
  <c r="S574" i="6" l="1"/>
  <c r="T574" i="6" s="1"/>
  <c r="U573" i="6"/>
  <c r="V574" i="6" l="1"/>
  <c r="S575" i="6" l="1"/>
  <c r="T575" i="6" s="1"/>
  <c r="U574" i="6"/>
  <c r="V575" i="6" l="1"/>
  <c r="S576" i="6" l="1"/>
  <c r="T576" i="6" s="1"/>
  <c r="U575" i="6"/>
  <c r="V576" i="6" l="1"/>
  <c r="S577" i="6" l="1"/>
  <c r="T577" i="6" s="1"/>
  <c r="U576" i="6"/>
  <c r="V577" i="6" l="1"/>
  <c r="S578" i="6" l="1"/>
  <c r="T578" i="6" s="1"/>
  <c r="U577" i="6"/>
  <c r="V578" i="6" l="1"/>
  <c r="S579" i="6" l="1"/>
  <c r="T579" i="6" s="1"/>
  <c r="U578" i="6"/>
  <c r="V579" i="6" l="1"/>
  <c r="S580" i="6" l="1"/>
  <c r="T580" i="6" s="1"/>
  <c r="U579" i="6"/>
  <c r="V580" i="6" l="1"/>
  <c r="S581" i="6" l="1"/>
  <c r="T581" i="6" s="1"/>
  <c r="U580" i="6"/>
  <c r="V581" i="6" l="1"/>
  <c r="S582" i="6" l="1"/>
  <c r="T582" i="6" s="1"/>
  <c r="U581" i="6"/>
  <c r="V582" i="6" l="1"/>
  <c r="S583" i="6" l="1"/>
  <c r="T583" i="6" s="1"/>
  <c r="U582" i="6"/>
  <c r="V583" i="6" l="1"/>
  <c r="S584" i="6" l="1"/>
  <c r="T584" i="6" s="1"/>
  <c r="U583" i="6"/>
  <c r="V584" i="6" l="1"/>
  <c r="S585" i="6" l="1"/>
  <c r="T585" i="6" s="1"/>
  <c r="U584" i="6"/>
  <c r="V585" i="6" l="1"/>
  <c r="S586" i="6" l="1"/>
  <c r="T586" i="6" s="1"/>
  <c r="U585" i="6"/>
  <c r="V586" i="6" l="1"/>
  <c r="S587" i="6" l="1"/>
  <c r="T587" i="6" s="1"/>
  <c r="U586" i="6"/>
  <c r="V587" i="6" l="1"/>
  <c r="S588" i="6" l="1"/>
  <c r="T588" i="6" s="1"/>
  <c r="U587" i="6"/>
  <c r="V588" i="6" l="1"/>
  <c r="S589" i="6" l="1"/>
  <c r="T589" i="6" s="1"/>
  <c r="U588" i="6"/>
  <c r="V589" i="6" l="1"/>
  <c r="S590" i="6" l="1"/>
  <c r="T590" i="6" s="1"/>
  <c r="U589" i="6"/>
  <c r="V590" i="6" l="1"/>
  <c r="S591" i="6" l="1"/>
  <c r="T591" i="6" s="1"/>
  <c r="U590" i="6"/>
  <c r="V591" i="6" l="1"/>
  <c r="S592" i="6" l="1"/>
  <c r="T592" i="6" s="1"/>
  <c r="U591" i="6"/>
  <c r="V592" i="6" l="1"/>
  <c r="S593" i="6" l="1"/>
  <c r="T593" i="6" s="1"/>
  <c r="U592" i="6"/>
  <c r="V593" i="6" l="1"/>
  <c r="S594" i="6" l="1"/>
  <c r="T594" i="6" s="1"/>
  <c r="U593" i="6"/>
  <c r="V594" i="6" l="1"/>
  <c r="S595" i="6" l="1"/>
  <c r="T595" i="6" s="1"/>
  <c r="U594" i="6"/>
  <c r="V595" i="6" l="1"/>
  <c r="S596" i="6" l="1"/>
  <c r="T596" i="6" s="1"/>
  <c r="U595" i="6"/>
  <c r="V596" i="6" l="1"/>
  <c r="S597" i="6" l="1"/>
  <c r="T597" i="6" s="1"/>
  <c r="U596" i="6"/>
  <c r="V597" i="6" l="1"/>
  <c r="S598" i="6" l="1"/>
  <c r="T598" i="6" s="1"/>
  <c r="U597" i="6"/>
  <c r="V598" i="6" l="1"/>
  <c r="S599" i="6" l="1"/>
  <c r="T599" i="6" s="1"/>
  <c r="U598" i="6"/>
  <c r="V599" i="6" l="1"/>
  <c r="S600" i="6" l="1"/>
  <c r="T600" i="6" s="1"/>
  <c r="U599" i="6"/>
  <c r="V600" i="6" l="1"/>
  <c r="S601" i="6" l="1"/>
  <c r="T601" i="6" s="1"/>
  <c r="U600" i="6"/>
  <c r="V601" i="6" l="1"/>
  <c r="S602" i="6" l="1"/>
  <c r="T602" i="6" s="1"/>
  <c r="U601" i="6"/>
  <c r="V602" i="6" l="1"/>
  <c r="S603" i="6" l="1"/>
  <c r="T603" i="6" s="1"/>
  <c r="U602" i="6"/>
  <c r="V603" i="6" l="1"/>
  <c r="S604" i="6" l="1"/>
  <c r="T604" i="6" s="1"/>
  <c r="U603" i="6"/>
  <c r="V604" i="6" l="1"/>
  <c r="S605" i="6" l="1"/>
  <c r="T605" i="6" s="1"/>
  <c r="U604" i="6"/>
  <c r="V605" i="6" l="1"/>
  <c r="S606" i="6" l="1"/>
  <c r="T606" i="6" s="1"/>
  <c r="U605" i="6"/>
  <c r="V606" i="6" l="1"/>
  <c r="S607" i="6" l="1"/>
  <c r="T607" i="6" s="1"/>
  <c r="U606" i="6"/>
  <c r="V607" i="6" l="1"/>
  <c r="S608" i="6" l="1"/>
  <c r="T608" i="6" s="1"/>
  <c r="U607" i="6"/>
  <c r="V608" i="6" l="1"/>
  <c r="S609" i="6" l="1"/>
  <c r="T609" i="6" s="1"/>
  <c r="U608" i="6"/>
  <c r="V609" i="6" l="1"/>
  <c r="S610" i="6" l="1"/>
  <c r="T610" i="6" s="1"/>
  <c r="U609" i="6"/>
  <c r="V610" i="6" l="1"/>
  <c r="S611" i="6" l="1"/>
  <c r="T611" i="6" s="1"/>
  <c r="U610" i="6"/>
  <c r="V611" i="6" l="1"/>
  <c r="S612" i="6" l="1"/>
  <c r="T612" i="6" s="1"/>
  <c r="U611" i="6"/>
  <c r="V612" i="6" l="1"/>
  <c r="S613" i="6" l="1"/>
  <c r="T613" i="6" s="1"/>
  <c r="U612" i="6"/>
  <c r="V613" i="6" l="1"/>
  <c r="S614" i="6" l="1"/>
  <c r="T614" i="6" s="1"/>
  <c r="U613" i="6"/>
  <c r="V614" i="6" l="1"/>
  <c r="S615" i="6" l="1"/>
  <c r="T615" i="6" s="1"/>
  <c r="U614" i="6"/>
  <c r="V615" i="6" l="1"/>
  <c r="S616" i="6" l="1"/>
  <c r="T616" i="6" s="1"/>
  <c r="U615" i="6"/>
  <c r="V616" i="6" l="1"/>
  <c r="S617" i="6" l="1"/>
  <c r="T617" i="6" s="1"/>
  <c r="U616" i="6"/>
  <c r="V617" i="6" l="1"/>
  <c r="S618" i="6" l="1"/>
  <c r="T618" i="6" s="1"/>
  <c r="U617" i="6"/>
  <c r="V618" i="6" l="1"/>
  <c r="S619" i="6" l="1"/>
  <c r="T619" i="6" s="1"/>
  <c r="U618" i="6"/>
  <c r="V619" i="6" l="1"/>
  <c r="S620" i="6" l="1"/>
  <c r="T620" i="6" s="1"/>
  <c r="U619" i="6"/>
  <c r="V620" i="6" l="1"/>
  <c r="S621" i="6" l="1"/>
  <c r="T621" i="6" s="1"/>
  <c r="U620" i="6"/>
  <c r="V621" i="6" l="1"/>
  <c r="S622" i="6" l="1"/>
  <c r="T622" i="6" s="1"/>
  <c r="U621" i="6"/>
  <c r="V622" i="6" l="1"/>
  <c r="S623" i="6" l="1"/>
  <c r="T623" i="6" s="1"/>
  <c r="U622" i="6"/>
  <c r="V623" i="6" l="1"/>
  <c r="S624" i="6" l="1"/>
  <c r="T624" i="6" s="1"/>
  <c r="U623" i="6"/>
  <c r="V624" i="6" l="1"/>
  <c r="S625" i="6" l="1"/>
  <c r="T625" i="6" s="1"/>
  <c r="U624" i="6"/>
  <c r="V625" i="6" l="1"/>
  <c r="S626" i="6" l="1"/>
  <c r="T626" i="6" s="1"/>
  <c r="U625" i="6"/>
  <c r="V626" i="6" l="1"/>
  <c r="S627" i="6" l="1"/>
  <c r="T627" i="6" s="1"/>
  <c r="U626" i="6"/>
  <c r="V627" i="6" l="1"/>
  <c r="S628" i="6" l="1"/>
  <c r="T628" i="6" s="1"/>
  <c r="U627" i="6"/>
  <c r="V628" i="6" l="1"/>
  <c r="S629" i="6" l="1"/>
  <c r="T629" i="6" s="1"/>
  <c r="U628" i="6"/>
  <c r="V629" i="6" l="1"/>
  <c r="S630" i="6" l="1"/>
  <c r="T630" i="6" s="1"/>
  <c r="U629" i="6"/>
  <c r="V630" i="6" l="1"/>
  <c r="S631" i="6" l="1"/>
  <c r="T631" i="6" s="1"/>
  <c r="U630" i="6"/>
  <c r="V631" i="6" l="1"/>
  <c r="S632" i="6" l="1"/>
  <c r="T632" i="6" s="1"/>
  <c r="U631" i="6"/>
  <c r="V632" i="6" l="1"/>
  <c r="S633" i="6" l="1"/>
  <c r="T633" i="6" s="1"/>
  <c r="U632" i="6"/>
  <c r="V633" i="6" l="1"/>
  <c r="S634" i="6" l="1"/>
  <c r="T634" i="6" s="1"/>
  <c r="U633" i="6"/>
  <c r="V634" i="6" l="1"/>
  <c r="S635" i="6" l="1"/>
  <c r="T635" i="6" s="1"/>
  <c r="U634" i="6"/>
  <c r="V635" i="6" l="1"/>
  <c r="S636" i="6" l="1"/>
  <c r="T636" i="6" s="1"/>
  <c r="U635" i="6"/>
  <c r="V636" i="6" l="1"/>
  <c r="S637" i="6" l="1"/>
  <c r="T637" i="6" s="1"/>
  <c r="U636" i="6"/>
  <c r="V637" i="6" l="1"/>
  <c r="S638" i="6" l="1"/>
  <c r="T638" i="6" s="1"/>
  <c r="U637" i="6"/>
  <c r="V638" i="6" l="1"/>
  <c r="S639" i="6" l="1"/>
  <c r="T639" i="6" s="1"/>
  <c r="U638" i="6"/>
  <c r="V639" i="6" l="1"/>
  <c r="S640" i="6" l="1"/>
  <c r="T640" i="6" s="1"/>
  <c r="U639" i="6"/>
  <c r="V640" i="6" l="1"/>
  <c r="S641" i="6" l="1"/>
  <c r="T641" i="6" s="1"/>
  <c r="U640" i="6"/>
  <c r="V641" i="6" l="1"/>
  <c r="S642" i="6" l="1"/>
  <c r="T642" i="6" s="1"/>
  <c r="U641" i="6"/>
  <c r="V642" i="6" l="1"/>
  <c r="S643" i="6" l="1"/>
  <c r="T643" i="6" s="1"/>
  <c r="U642" i="6"/>
  <c r="V643" i="6" l="1"/>
  <c r="S644" i="6" l="1"/>
  <c r="T644" i="6" s="1"/>
  <c r="U643" i="6"/>
  <c r="V644" i="6" l="1"/>
  <c r="S645" i="6" l="1"/>
  <c r="T645" i="6" s="1"/>
  <c r="U644" i="6"/>
  <c r="V645" i="6" l="1"/>
  <c r="S646" i="6" l="1"/>
  <c r="T646" i="6" s="1"/>
  <c r="U645" i="6"/>
  <c r="V646" i="6" l="1"/>
  <c r="S647" i="6" l="1"/>
  <c r="T647" i="6" s="1"/>
  <c r="U646" i="6"/>
  <c r="V647" i="6" l="1"/>
  <c r="S648" i="6" l="1"/>
  <c r="T648" i="6" s="1"/>
  <c r="U647" i="6"/>
  <c r="V648" i="6" l="1"/>
  <c r="S649" i="6" l="1"/>
  <c r="T649" i="6" s="1"/>
  <c r="U648" i="6"/>
  <c r="V649" i="6" l="1"/>
  <c r="S650" i="6" l="1"/>
  <c r="T650" i="6" s="1"/>
  <c r="U649" i="6"/>
  <c r="V650" i="6" l="1"/>
  <c r="S651" i="6" l="1"/>
  <c r="T651" i="6" s="1"/>
  <c r="U650" i="6"/>
  <c r="V651" i="6" l="1"/>
  <c r="S652" i="6" l="1"/>
  <c r="T652" i="6" s="1"/>
  <c r="U651" i="6"/>
  <c r="V652" i="6" l="1"/>
  <c r="S653" i="6" l="1"/>
  <c r="T653" i="6" s="1"/>
  <c r="U652" i="6"/>
  <c r="V653" i="6" l="1"/>
  <c r="S654" i="6" l="1"/>
  <c r="T654" i="6" s="1"/>
  <c r="U653" i="6"/>
  <c r="V654" i="6" l="1"/>
  <c r="S655" i="6" l="1"/>
  <c r="T655" i="6" s="1"/>
  <c r="U654" i="6"/>
  <c r="V655" i="6" l="1"/>
  <c r="S656" i="6" l="1"/>
  <c r="T656" i="6" s="1"/>
  <c r="U655" i="6"/>
  <c r="V656" i="6" l="1"/>
  <c r="S657" i="6" l="1"/>
  <c r="T657" i="6" s="1"/>
  <c r="U656" i="6"/>
  <c r="V657" i="6" l="1"/>
  <c r="S658" i="6" l="1"/>
  <c r="T658" i="6" s="1"/>
  <c r="U657" i="6"/>
  <c r="V658" i="6" l="1"/>
  <c r="S659" i="6" l="1"/>
  <c r="T659" i="6" s="1"/>
  <c r="U658" i="6"/>
  <c r="V659" i="6" l="1"/>
  <c r="S660" i="6" l="1"/>
  <c r="T660" i="6" s="1"/>
  <c r="U659" i="6"/>
  <c r="V660" i="6" l="1"/>
  <c r="S661" i="6" l="1"/>
  <c r="T661" i="6" s="1"/>
  <c r="U660" i="6"/>
  <c r="V661" i="6" l="1"/>
  <c r="S662" i="6" l="1"/>
  <c r="T662" i="6" s="1"/>
  <c r="U661" i="6"/>
  <c r="V662" i="6" l="1"/>
  <c r="S663" i="6" l="1"/>
  <c r="T663" i="6" s="1"/>
  <c r="U662" i="6"/>
  <c r="V663" i="6" l="1"/>
  <c r="S664" i="6" l="1"/>
  <c r="T664" i="6" s="1"/>
  <c r="U663" i="6"/>
  <c r="V664" i="6" l="1"/>
  <c r="S665" i="6" l="1"/>
  <c r="T665" i="6" s="1"/>
  <c r="U664" i="6"/>
  <c r="V665" i="6" l="1"/>
  <c r="S666" i="6" l="1"/>
  <c r="T666" i="6" s="1"/>
  <c r="U665" i="6"/>
  <c r="V666" i="6" l="1"/>
  <c r="S667" i="6" l="1"/>
  <c r="T667" i="6" s="1"/>
  <c r="U666" i="6"/>
  <c r="V667" i="6" l="1"/>
  <c r="S668" i="6" l="1"/>
  <c r="T668" i="6" s="1"/>
  <c r="U667" i="6"/>
  <c r="V668" i="6" l="1"/>
  <c r="S669" i="6" l="1"/>
  <c r="T669" i="6" s="1"/>
  <c r="U668" i="6"/>
  <c r="U669" i="6" l="1"/>
  <c r="T3" i="6" s="1"/>
  <c r="V669" i="6"/>
  <c r="U3" i="6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<sst xmlns="http://schemas.openxmlformats.org/spreadsheetml/2006/main" count="2195" uniqueCount="167">
  <si>
    <t>Nom du cours</t>
  </si>
  <si>
    <t>J0</t>
  </si>
  <si>
    <t>DIMANCHE</t>
  </si>
  <si>
    <t>LUNDI</t>
  </si>
  <si>
    <t>MARDI</t>
  </si>
  <si>
    <t>MERCREDI</t>
  </si>
  <si>
    <t>JEUDI</t>
  </si>
  <si>
    <t>VENDREDI</t>
  </si>
  <si>
    <t>SAMEDI</t>
  </si>
  <si>
    <t>VUE HEBDOMADAIRE</t>
  </si>
  <si>
    <t>*</t>
  </si>
  <si>
    <t>VUE MENSUELLE</t>
  </si>
  <si>
    <t>DATE_JFP</t>
  </si>
  <si>
    <t>JF_Ponts</t>
  </si>
  <si>
    <t>Pont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</si>
  <si>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</si>
  <si>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</si>
  <si>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</si>
  <si>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</si>
  <si>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</si>
  <si>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</si>
  <si>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</si>
  <si>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</si>
  <si>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</si>
  <si>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</si>
  <si>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</si>
  <si>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</si>
  <si>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sem 1</t>
  </si>
  <si>
    <t>sem 2</t>
  </si>
  <si>
    <t>sem 3</t>
  </si>
  <si>
    <t>sem 4</t>
  </si>
  <si>
    <t>sem 5</t>
  </si>
  <si>
    <t>sem 6</t>
  </si>
  <si>
    <t>ligne jour</t>
  </si>
  <si>
    <t>nb cours max</t>
  </si>
  <si>
    <t>ligne debut</t>
  </si>
  <si>
    <t>ligne fin</t>
  </si>
  <si>
    <t>J2</t>
  </si>
  <si>
    <t>J6</t>
  </si>
  <si>
    <t>J10</t>
  </si>
  <si>
    <t>J15</t>
  </si>
  <si>
    <t>J30</t>
  </si>
  <si>
    <t>J60</t>
  </si>
  <si>
    <t>UE4</t>
  </si>
  <si>
    <t xml:space="preserve">La discipline anthropologique </t>
  </si>
  <si>
    <t>Culture, corps et santé</t>
  </si>
  <si>
    <t>Maladies, itinéraire thérapeutique</t>
  </si>
  <si>
    <t>Sociologie de la profession médicale</t>
  </si>
  <si>
    <t xml:space="preserve">psychologie générale </t>
  </si>
  <si>
    <t>évolution des conceptions relatives au stress</t>
  </si>
  <si>
    <t xml:space="preserve">Méthode d'évaluation du stress objectif </t>
  </si>
  <si>
    <t>UE5</t>
  </si>
  <si>
    <t>Introduction épidémiologie et stats</t>
  </si>
  <si>
    <t>stats descriptives</t>
  </si>
  <si>
    <t>Probabiltés</t>
  </si>
  <si>
    <t>épidémiologie descriptive</t>
  </si>
  <si>
    <t xml:space="preserve">tests stats et méthodologie de choix de test </t>
  </si>
  <si>
    <t>corrélation et régression linéaire</t>
  </si>
  <si>
    <t xml:space="preserve">schéma d'étude </t>
  </si>
  <si>
    <t xml:space="preserve">essai thérapeutique </t>
  </si>
  <si>
    <t>évaluation des procédures diagnostiques</t>
  </si>
  <si>
    <t>Elément introductif en santé publique</t>
  </si>
  <si>
    <t>Économie du système de santé</t>
  </si>
  <si>
    <t xml:space="preserve">Prévention-Alla </t>
  </si>
  <si>
    <t>UE6</t>
  </si>
  <si>
    <t>Molécules du vivant</t>
  </si>
  <si>
    <t>La composition des membranes cellulaire</t>
  </si>
  <si>
    <t xml:space="preserve">Transport intracellulaire et trafic vésiculaire </t>
  </si>
  <si>
    <t>Cytosquellette</t>
  </si>
  <si>
    <t>Division cellulaire</t>
  </si>
  <si>
    <t>Cellules souches</t>
  </si>
  <si>
    <t>Mouvement molécules de surface</t>
  </si>
  <si>
    <t>Signalisation intracellulaire part 1</t>
  </si>
  <si>
    <t>Signalisation intracellulaire part 2</t>
  </si>
  <si>
    <t>UE7</t>
  </si>
  <si>
    <t>Du chromosome à l'ADN</t>
  </si>
  <si>
    <t>Structure et role des nucléotides</t>
  </si>
  <si>
    <t>Réplication de l'ADN</t>
  </si>
  <si>
    <t xml:space="preserve">Mutations </t>
  </si>
  <si>
    <t>Réparation de l'ADN</t>
  </si>
  <si>
    <t xml:space="preserve">Transcription et régulation </t>
  </si>
  <si>
    <t>Synthèse et dégradation des protéines</t>
  </si>
  <si>
    <t xml:space="preserve">Acides Aminés- peptides </t>
  </si>
  <si>
    <t xml:space="preserve">Protéines </t>
  </si>
  <si>
    <t xml:space="preserve">Structure des glucides </t>
  </si>
  <si>
    <t>UE8</t>
  </si>
  <si>
    <t xml:space="preserve">Physiologie et compartiments liquidiens </t>
  </si>
  <si>
    <t>pH et équilibre acido basique d'une solution</t>
  </si>
  <si>
    <t>Synthèse tampons, Diagramme de Davenport</t>
  </si>
  <si>
    <t>Thermorégulation</t>
  </si>
  <si>
    <t xml:space="preserve">Potentiel électrochimique </t>
  </si>
  <si>
    <t>Transports membranaires</t>
  </si>
  <si>
    <t xml:space="preserve">Régulation et rôle du rein </t>
  </si>
  <si>
    <t>Jonction neuro-musculaire</t>
  </si>
  <si>
    <t xml:space="preserve">système nerveux autonome </t>
  </si>
  <si>
    <t>UE9</t>
  </si>
  <si>
    <t xml:space="preserve">Outils mathématique </t>
  </si>
  <si>
    <t xml:space="preserve">Métrologie </t>
  </si>
  <si>
    <t xml:space="preserve">États  de la matière et leur caractérisation </t>
  </si>
  <si>
    <t xml:space="preserve">Les très basses fréquences du spectre électromagnétique </t>
  </si>
  <si>
    <t xml:space="preserve">Le domaine de l'optique </t>
  </si>
  <si>
    <t>Rayons X et gamma-Rayonnement particulaire</t>
  </si>
  <si>
    <t xml:space="preserve">Interaction rayonnement-Matière </t>
  </si>
  <si>
    <t xml:space="preserve">Détection des rayonnements </t>
  </si>
  <si>
    <t>UE10</t>
  </si>
  <si>
    <t>intro : généralités</t>
  </si>
  <si>
    <t>intro: référence et particularité</t>
  </si>
  <si>
    <t>intro: mouvements</t>
  </si>
  <si>
    <t>intro: tissus</t>
  </si>
  <si>
    <t xml:space="preserve">intro: région, fascias et appareil </t>
  </si>
  <si>
    <t>Tête</t>
  </si>
  <si>
    <t>Cou</t>
  </si>
  <si>
    <t>Dos</t>
  </si>
  <si>
    <t>Thorax</t>
  </si>
  <si>
    <t>Abdomen et pelvis 1</t>
  </si>
  <si>
    <t xml:space="preserve">Abdomen et pelvis 2 </t>
  </si>
  <si>
    <t>Membre inférieur 1</t>
  </si>
  <si>
    <t xml:space="preserve">Membre inférieur 2 </t>
  </si>
  <si>
    <t>Membre inférieur 3</t>
  </si>
  <si>
    <t>Membre supérieur 1</t>
  </si>
  <si>
    <t xml:space="preserve">Membre supérieur 2 </t>
  </si>
  <si>
    <t>Membre supérieur 3</t>
  </si>
  <si>
    <t>Appareil locomoteur 1</t>
  </si>
  <si>
    <t>Appareil locomoteur 2</t>
  </si>
  <si>
    <t>Appareil locomoteur 3</t>
  </si>
  <si>
    <t>UE14</t>
  </si>
  <si>
    <t>Atomes</t>
  </si>
  <si>
    <t>Liaisons chimique et interactions moléculaires</t>
  </si>
  <si>
    <t xml:space="preserve">Thermodynamique </t>
  </si>
  <si>
    <t xml:space="preserve">Nomenclature chimique- Isomérie </t>
  </si>
  <si>
    <t>Propriétés électroniques des liaisons chimiques</t>
  </si>
  <si>
    <t>Les alcools- les amines</t>
  </si>
  <si>
    <t>Dérivés carbonyles</t>
  </si>
  <si>
    <t xml:space="preserve">Dérivés d'acides carboxylique- AG </t>
  </si>
  <si>
    <t xml:space="preserve">Les acides aminés- les oses </t>
  </si>
  <si>
    <t>UE 22</t>
  </si>
  <si>
    <t xml:space="preserve">CI du fonctionnement, du handicap et de la santé </t>
  </si>
  <si>
    <t xml:space="preserve">Représentations sociales du handicap </t>
  </si>
  <si>
    <t xml:space="preserve">Répercussion sociétales et empowerment </t>
  </si>
  <si>
    <t xml:space="preserve">Enjeux éthiques </t>
  </si>
  <si>
    <t xml:space="preserve">Législation handicap </t>
  </si>
  <si>
    <t xml:space="preserve">Intervention rééducation part-1 </t>
  </si>
  <si>
    <t>Intervention rééducation part-2</t>
  </si>
  <si>
    <t>durée</t>
  </si>
  <si>
    <t>debut</t>
  </si>
  <si>
    <t>fin</t>
  </si>
  <si>
    <t>Type</t>
  </si>
  <si>
    <t>jour</t>
  </si>
  <si>
    <t>duree</t>
  </si>
  <si>
    <t>problème</t>
  </si>
  <si>
    <t>delai</t>
  </si>
  <si>
    <t>fin precedent</t>
  </si>
  <si>
    <t>trop tot</t>
  </si>
  <si>
    <t>Somme duree</t>
  </si>
  <si>
    <t>pourcentage de la durée initiale</t>
  </si>
  <si>
    <t>delai jours</t>
  </si>
  <si>
    <t>Intervention rééducation part-3</t>
  </si>
  <si>
    <t>Intervention rééducation part-4</t>
  </si>
  <si>
    <t>Intervention rééducation part-5</t>
  </si>
  <si>
    <t>Intervention rééducation part-6</t>
  </si>
  <si>
    <t>de</t>
  </si>
  <si>
    <t>à</t>
  </si>
  <si>
    <t>minutes</t>
  </si>
  <si>
    <t>Waarden</t>
  </si>
  <si>
    <t>nombre</t>
  </si>
  <si>
    <t>Nom du cours2</t>
  </si>
  <si>
    <t>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</si>
</sst>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164" formatCode="&quot;SEM. &quot;0"/>
    <numFmt numFmtId="165" formatCode="dd"/>
    <numFmt numFmtId="166" formatCode="mmmm\ yyyy"/>
    <numFmt numFmtId="167" formatCode="ddd\ dd/mm/yyyy"/>
    <numFmt numFmtId="168" formatCode="&quot;s&quot;0"/>
    <numFmt numFmtId="169" formatCode="0;;"/>
    <numFmt numFmtId="170" formatCode="ddd\ dd/mm/yy"/>
    <numFmt numFmtId="171" formatCode="ddd\ dd/mm\ hh:mm"/>
    <numFmt numFmtId="172" formatCode="h:mm;@"/>
  </numFmts>
  <fonts count="37" x14ac:knownFonts="1">
    <font>
      <sz val="10"/>
      <color theme="1" tint="0.14996795556505021"/>
      <name val="Cambria"/>
      <family val="2"/>
      <scheme val="minor"/>
    </font>
    <font>
      <b/>
      <sz val="11"/>
      <color theme="3"/>
      <name val="Cambria"/>
      <family val="2"/>
      <scheme val="minor"/>
    </font>
    <font>
      <b/>
      <sz val="11"/>
      <color rgb="FFFA7D00"/>
      <name val="Cambria"/>
      <family val="2"/>
      <scheme val="minor"/>
    </font>
    <font>
      <b/>
      <sz val="30"/>
      <color theme="0"/>
      <name val="Cambria"/>
      <family val="1"/>
      <scheme val="minor"/>
    </font>
    <font>
      <sz val="11"/>
      <color theme="1" tint="0.14999847407452621"/>
      <name val="Tahoma"/>
      <family val="2"/>
      <scheme val="major"/>
    </font>
    <font>
      <sz val="22"/>
      <color theme="4"/>
      <name val="Tahoma"/>
      <family val="2"/>
      <scheme val="major"/>
    </font>
    <font>
      <sz val="12"/>
      <color theme="1" tint="0.14996795556505021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b/>
      <sz val="18"/>
      <color theme="1" tint="0.14999847407452621"/>
      <name val="Cambria"/>
      <family val="2"/>
      <scheme val="minor"/>
    </font>
    <font>
      <sz val="18"/>
      <color theme="1" tint="0.14996795556505021"/>
      <name val="Cambria"/>
      <family val="2"/>
      <scheme val="minor"/>
    </font>
    <font>
      <sz val="10"/>
      <color theme="0"/>
      <name val="Cambria"/>
      <family val="2"/>
      <scheme val="minor"/>
    </font>
    <font>
      <sz val="18"/>
      <color theme="0"/>
      <name val="Cambria"/>
      <family val="2"/>
      <scheme val="minor"/>
    </font>
    <font>
      <sz val="10"/>
      <color theme="1" tint="0.14996795556505021"/>
      <name val="Cambria"/>
      <family val="1"/>
      <scheme val="minor"/>
    </font>
    <font>
      <sz val="18"/>
      <color theme="1" tint="0.14996795556505021"/>
      <name val="Cambria"/>
      <family val="1"/>
      <scheme val="minor"/>
    </font>
    <font>
      <sz val="18"/>
      <color theme="0" tint="-4.9989318521683403E-2"/>
      <name val="Cambria"/>
      <family val="2"/>
      <scheme val="minor"/>
    </font>
    <font>
      <sz val="14"/>
      <color theme="0"/>
      <name val="Cambria"/>
      <family val="1"/>
      <scheme val="minor"/>
    </font>
    <font>
      <sz val="10"/>
      <color theme="1" tint="0.14999847407452621"/>
      <name val="Cambria"/>
      <family val="2"/>
      <scheme val="minor"/>
    </font>
    <font>
      <b/>
      <sz val="10"/>
      <name val="Cambria"/>
      <family val="2"/>
      <scheme val="minor"/>
    </font>
    <font>
      <sz val="10"/>
      <color theme="1"/>
      <name val="Cambria"/>
      <family val="2"/>
      <scheme val="minor"/>
    </font>
    <font>
      <b/>
      <sz val="10"/>
      <color theme="1"/>
      <name val="Cambria"/>
      <family val="2"/>
      <scheme val="minor"/>
    </font>
    <font>
      <b/>
      <sz val="10"/>
      <color theme="1"/>
      <name val="Cambria"/>
      <family val="1"/>
      <scheme val="minor"/>
    </font>
    <font>
      <sz val="10"/>
      <color theme="0" tint="-0.249977111117893"/>
      <name val="Cambria"/>
      <family val="2"/>
      <scheme val="minor"/>
    </font>
    <font>
      <sz val="18"/>
      <color theme="0" tint="-0.249977111117893"/>
      <name val="Cambria"/>
      <family val="2"/>
      <scheme val="minor"/>
    </font>
    <font>
      <sz val="11"/>
      <color theme="1" tint="0.14996795556505021"/>
      <name val="Cambria"/>
      <family val="2"/>
      <scheme val="minor"/>
    </font>
    <font>
      <b/>
      <sz val="12"/>
      <color theme="0"/>
      <name val="Cambria"/>
      <family val="2"/>
      <scheme val="minor"/>
    </font>
    <font>
      <b/>
      <sz val="12"/>
      <color theme="4"/>
      <name val="Tahoma"/>
      <family val="2"/>
      <scheme val="major"/>
    </font>
    <font>
      <b/>
      <sz val="12"/>
      <color theme="1" tint="0.14999847407452621"/>
      <name val="Cambria"/>
      <family val="1"/>
      <scheme val="minor"/>
    </font>
    <font>
      <b/>
      <sz val="12"/>
      <color theme="1" tint="0.14996795556505021"/>
      <name val="Cambria"/>
      <family val="2"/>
      <scheme val="minor"/>
    </font>
    <font>
      <b/>
      <sz val="10"/>
      <color rgb="FFFFFFFF"/>
      <name val="Cambria"/>
      <family val="1"/>
      <scheme val="minor"/>
    </font>
    <font>
      <sz val="10"/>
      <color theme="1"/>
      <name val="Cambria"/>
      <family val="1"/>
      <scheme val="minor"/>
    </font>
    <font>
      <sz val="10"/>
      <color rgb="FFFF0000"/>
      <name val="Cambria"/>
      <family val="1"/>
      <scheme val="minor"/>
    </font>
    <font>
      <sz val="10"/>
      <color theme="3" tint="0.14999847407452621"/>
      <name val="Cambria"/>
      <family val="2"/>
      <scheme val="minor"/>
    </font>
    <font>
      <sz val="8"/>
      <name val="Cambria"/>
      <family val="2"/>
      <scheme val="minor"/>
    </font>
    <font>
      <b/>
      <sz val="14"/>
      <color rgb="FFFF0000"/>
      <name val="Cambria"/>
      <family val="1"/>
      <scheme val="minor"/>
    </font>
    <font>
      <b/>
      <i/>
      <sz val="12"/>
      <color theme="1" tint="0.14996795556505021"/>
      <name val="Cambria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/>
        <bgColor theme="4"/>
      </patternFill>
    </fill>
  </fills>
  <borders count="1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ck">
        <color theme="0"/>
      </bottom>
      <diagonal/>
    </border>
    <border>
      <left/>
      <right/>
      <top style="thin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 style="dotted">
        <color theme="0" tint="-0.34998626667073579"/>
      </right>
      <top style="dotted">
        <color theme="0" tint="-0.34998626667073579"/>
      </top>
      <bottom/>
      <diagonal/>
    </border>
    <border>
      <left/>
      <right style="dotted">
        <color theme="0" tint="-0.34998626667073579"/>
      </right>
      <top/>
      <bottom/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2" fillId="2" borderId="1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Alignment="0" applyProtection="0"/>
    <xf numFmtId="0" fontId="9" fillId="0" borderId="0" applyNumberFormat="0" applyFill="0" applyBorder="0" applyAlignment="0" applyProtection="0"/>
  </cellStyleXfs>
  <cellXfs count="93">
    <xf numFmtId="0" fontId="0" fillId="0" borderId="0" xfId="0">
      <alignment vertical="center"/>
    </xf>
    <xf numFmtId="0" fontId="4" fillId="4" borderId="3" xfId="1" applyFont="1" applyFill="1" applyBorder="1" applyAlignment="1">
      <alignment horizontal="left" vertical="center" indent="1"/>
    </xf>
    <xf numFmtId="0" fontId="4" fillId="4" borderId="4" xfId="1" applyFont="1" applyFill="1" applyBorder="1" applyAlignment="1">
      <alignment horizontal="left" vertical="center" indent="1"/>
    </xf>
    <xf numFmtId="0" fontId="4" fillId="4" borderId="5" xfId="1" applyFont="1" applyFill="1" applyBorder="1" applyAlignment="1">
      <alignment horizontal="left" vertical="center" indent="1"/>
    </xf>
    <xf numFmtId="0" fontId="6" fillId="0" borderId="0" xfId="0" applyFont="1" applyAlignment="1">
      <alignment horizontal="center" vertical="center"/>
    </xf>
    <xf numFmtId="0" fontId="10" fillId="3" borderId="2" xfId="0" applyFont="1" applyFill="1" applyBorder="1" applyAlignment="1">
      <alignment horizontal="left" vertical="center" indent="1"/>
    </xf>
    <xf numFmtId="164" fontId="10" fillId="3" borderId="9" xfId="0" applyNumberFormat="1" applyFont="1" applyFill="1" applyBorder="1" applyAlignment="1" applyProtection="1">
      <alignment horizontal="left" vertical="center" indent="1"/>
      <protection locked="0"/>
    </xf>
    <xf numFmtId="0" fontId="11" fillId="0" borderId="0" xfId="0" applyFont="1">
      <alignment vertical="center"/>
    </xf>
    <xf numFmtId="165" fontId="5" fillId="0" borderId="6" xfId="0" applyNumberFormat="1" applyFont="1" applyBorder="1">
      <alignment vertical="center"/>
    </xf>
    <xf numFmtId="0" fontId="10" fillId="3" borderId="10" xfId="0" applyFont="1" applyFill="1" applyBorder="1" applyAlignment="1" applyProtection="1">
      <alignment horizontal="left" vertical="center" indent="1"/>
      <protection locked="0"/>
    </xf>
    <xf numFmtId="0" fontId="10" fillId="3" borderId="2" xfId="0" applyFont="1" applyFill="1" applyBorder="1" applyAlignment="1" applyProtection="1">
      <alignment horizontal="left" vertical="center" indent="1"/>
      <protection locked="0"/>
    </xf>
    <xf numFmtId="0" fontId="16" fillId="0" borderId="0" xfId="0" applyFont="1" applyProtection="1">
      <alignment vertical="center"/>
      <protection locked="0"/>
    </xf>
    <xf numFmtId="0" fontId="4" fillId="5" borderId="3" xfId="1" applyFont="1" applyFill="1" applyBorder="1" applyAlignment="1">
      <alignment horizontal="left" vertical="center" indent="1"/>
    </xf>
    <xf numFmtId="0" fontId="4" fillId="5" borderId="4" xfId="1" applyFont="1" applyFill="1" applyBorder="1" applyAlignment="1">
      <alignment horizontal="left" vertical="center" indent="1"/>
    </xf>
    <xf numFmtId="0" fontId="4" fillId="5" borderId="5" xfId="1" applyFont="1" applyFill="1" applyBorder="1" applyAlignment="1">
      <alignment horizontal="left" vertical="center" indent="1"/>
    </xf>
    <xf numFmtId="0" fontId="0" fillId="0" borderId="15" xfId="0" applyBorder="1" applyProtection="1">
      <alignment vertical="center"/>
      <protection locked="0"/>
    </xf>
    <xf numFmtId="0" fontId="0" fillId="0" borderId="7" xfId="0" applyBorder="1" applyProtection="1">
      <alignment vertical="center"/>
      <protection locked="0"/>
    </xf>
    <xf numFmtId="165" fontId="5" fillId="6" borderId="14" xfId="0" applyNumberFormat="1" applyFont="1" applyFill="1" applyBorder="1">
      <alignment vertical="center"/>
    </xf>
    <xf numFmtId="165" fontId="5" fillId="6" borderId="6" xfId="0" applyNumberFormat="1" applyFont="1" applyFill="1" applyBorder="1">
      <alignment vertical="center"/>
    </xf>
    <xf numFmtId="0" fontId="18" fillId="6" borderId="15" xfId="2" applyFont="1" applyFill="1" applyBorder="1" applyAlignment="1">
      <alignment horizontal="center" vertical="center"/>
    </xf>
    <xf numFmtId="0" fontId="18" fillId="6" borderId="7" xfId="2" applyFont="1" applyFill="1" applyBorder="1" applyAlignment="1">
      <alignment horizontal="center" vertical="center"/>
    </xf>
    <xf numFmtId="0" fontId="19" fillId="7" borderId="0" xfId="0" applyFont="1" applyFill="1" applyAlignment="1">
      <alignment horizontal="center"/>
    </xf>
    <xf numFmtId="0" fontId="20" fillId="0" borderId="0" xfId="0" applyFont="1" applyAlignment="1">
      <alignment horizontal="center"/>
    </xf>
    <xf numFmtId="0" fontId="21" fillId="7" borderId="0" xfId="0" applyFont="1" applyFill="1" applyAlignment="1">
      <alignment horizontal="center"/>
    </xf>
    <xf numFmtId="167" fontId="20" fillId="0" borderId="0" xfId="0" applyNumberFormat="1" applyFont="1" applyAlignment="1">
      <alignment horizontal="center"/>
    </xf>
    <xf numFmtId="167" fontId="22" fillId="0" borderId="0" xfId="0" applyNumberFormat="1" applyFont="1" applyAlignment="1">
      <alignment horizont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5" fillId="8" borderId="0" xfId="0" applyFont="1" applyFill="1" applyAlignment="1">
      <alignment horizontal="center" vertical="center"/>
    </xf>
    <xf numFmtId="168" fontId="14" fillId="0" borderId="0" xfId="0" applyNumberFormat="1" applyFont="1" applyAlignment="1">
      <alignment horizontal="center" vertical="top" textRotation="90"/>
    </xf>
    <xf numFmtId="168" fontId="15" fillId="0" borderId="0" xfId="0" applyNumberFormat="1" applyFont="1" applyAlignment="1">
      <alignment horizontal="center" vertical="top" textRotation="90"/>
    </xf>
    <xf numFmtId="168" fontId="17" fillId="5" borderId="13" xfId="1" applyNumberFormat="1" applyFont="1" applyFill="1" applyBorder="1" applyAlignment="1">
      <alignment horizontal="center" vertical="top" textRotation="90"/>
    </xf>
    <xf numFmtId="166" fontId="27" fillId="0" borderId="7" xfId="0" applyNumberFormat="1" applyFont="1" applyBorder="1">
      <alignment vertical="center"/>
    </xf>
    <xf numFmtId="0" fontId="28" fillId="0" borderId="7" xfId="2" applyFont="1" applyFill="1" applyBorder="1" applyAlignment="1">
      <alignment horizontal="center" vertical="center"/>
    </xf>
    <xf numFmtId="0" fontId="29" fillId="0" borderId="0" xfId="0" applyFont="1">
      <alignment vertical="center"/>
    </xf>
    <xf numFmtId="0" fontId="20" fillId="8" borderId="17" xfId="0" applyFont="1" applyFill="1" applyBorder="1">
      <alignment vertical="center"/>
    </xf>
    <xf numFmtId="0" fontId="20" fillId="8" borderId="18" xfId="0" applyFont="1" applyFill="1" applyBorder="1">
      <alignment vertical="center"/>
    </xf>
    <xf numFmtId="0" fontId="20" fillId="12" borderId="16" xfId="0" applyFont="1" applyFill="1" applyBorder="1">
      <alignment vertical="center"/>
    </xf>
    <xf numFmtId="0" fontId="20" fillId="12" borderId="17" xfId="0" applyFont="1" applyFill="1" applyBorder="1">
      <alignment vertical="center"/>
    </xf>
    <xf numFmtId="0" fontId="20" fillId="12" borderId="18" xfId="0" applyFont="1" applyFill="1" applyBorder="1">
      <alignment vertical="center"/>
    </xf>
    <xf numFmtId="0" fontId="30" fillId="11" borderId="0" xfId="0" applyFont="1" applyFill="1">
      <alignment vertical="center"/>
    </xf>
    <xf numFmtId="0" fontId="31" fillId="13" borderId="16" xfId="0" applyFont="1" applyFill="1" applyBorder="1">
      <alignment vertical="center"/>
    </xf>
    <xf numFmtId="0" fontId="31" fillId="13" borderId="17" xfId="0" applyFont="1" applyFill="1" applyBorder="1">
      <alignment vertical="center"/>
    </xf>
    <xf numFmtId="0" fontId="32" fillId="13" borderId="17" xfId="0" applyFont="1" applyFill="1" applyBorder="1">
      <alignment vertical="center"/>
    </xf>
    <xf numFmtId="0" fontId="32" fillId="13" borderId="18" xfId="0" applyFont="1" applyFill="1" applyBorder="1">
      <alignment vertical="center"/>
    </xf>
    <xf numFmtId="0" fontId="20" fillId="14" borderId="16" xfId="0" applyFont="1" applyFill="1" applyBorder="1">
      <alignment vertical="center"/>
    </xf>
    <xf numFmtId="0" fontId="20" fillId="14" borderId="17" xfId="0" applyFont="1" applyFill="1" applyBorder="1">
      <alignment vertical="center"/>
    </xf>
    <xf numFmtId="0" fontId="20" fillId="14" borderId="18" xfId="0" applyFont="1" applyFill="1" applyBorder="1">
      <alignment vertical="center"/>
    </xf>
    <xf numFmtId="0" fontId="20" fillId="10" borderId="16" xfId="0" applyFont="1" applyFill="1" applyBorder="1">
      <alignment vertical="center"/>
    </xf>
    <xf numFmtId="0" fontId="20" fillId="10" borderId="17" xfId="0" applyFont="1" applyFill="1" applyBorder="1">
      <alignment vertical="center"/>
    </xf>
    <xf numFmtId="0" fontId="20" fillId="10" borderId="18" xfId="0" applyFont="1" applyFill="1" applyBorder="1">
      <alignment vertical="center"/>
    </xf>
    <xf numFmtId="0" fontId="20" fillId="9" borderId="16" xfId="0" applyFont="1" applyFill="1" applyBorder="1">
      <alignment vertical="center"/>
    </xf>
    <xf numFmtId="0" fontId="20" fillId="9" borderId="17" xfId="0" applyFont="1" applyFill="1" applyBorder="1">
      <alignment vertical="center"/>
    </xf>
    <xf numFmtId="0" fontId="20" fillId="9" borderId="18" xfId="0" applyFont="1" applyFill="1" applyBorder="1">
      <alignment vertical="center"/>
    </xf>
    <xf numFmtId="0" fontId="33" fillId="15" borderId="16" xfId="0" applyFont="1" applyFill="1" applyBorder="1">
      <alignment vertical="center"/>
    </xf>
    <xf numFmtId="0" fontId="33" fillId="15" borderId="17" xfId="0" applyFont="1" applyFill="1" applyBorder="1">
      <alignment vertical="center"/>
    </xf>
    <xf numFmtId="0" fontId="33" fillId="15" borderId="18" xfId="0" applyFont="1" applyFill="1" applyBorder="1">
      <alignment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31" fillId="16" borderId="0" xfId="0" applyFont="1" applyFill="1">
      <alignment vertical="center"/>
    </xf>
    <xf numFmtId="0" fontId="31" fillId="5" borderId="0" xfId="0" applyFont="1" applyFill="1">
      <alignment vertical="center"/>
    </xf>
    <xf numFmtId="0" fontId="20" fillId="8" borderId="0" xfId="0" applyFont="1" applyFill="1">
      <alignment vertical="center"/>
    </xf>
    <xf numFmtId="0" fontId="20" fillId="12" borderId="0" xfId="0" applyFont="1" applyFill="1">
      <alignment vertical="center"/>
    </xf>
    <xf numFmtId="0" fontId="31" fillId="13" borderId="0" xfId="0" applyFont="1" applyFill="1">
      <alignment vertical="center"/>
    </xf>
    <xf numFmtId="0" fontId="32" fillId="13" borderId="0" xfId="0" applyFont="1" applyFill="1">
      <alignment vertical="center"/>
    </xf>
    <xf numFmtId="0" fontId="20" fillId="14" borderId="0" xfId="0" applyFont="1" applyFill="1">
      <alignment vertical="center"/>
    </xf>
    <xf numFmtId="0" fontId="20" fillId="9" borderId="0" xfId="0" applyFont="1" applyFill="1">
      <alignment vertical="center"/>
    </xf>
    <xf numFmtId="0" fontId="20" fillId="10" borderId="0" xfId="0" applyFont="1" applyFill="1">
      <alignment vertical="center"/>
    </xf>
    <xf numFmtId="0" fontId="33" fillId="15" borderId="0" xfId="0" applyFont="1" applyFill="1">
      <alignment vertical="center"/>
    </xf>
    <xf numFmtId="9" fontId="0" fillId="0" borderId="0" xfId="0" applyNumberFormat="1" applyAlignment="1">
      <alignment horizontal="center" vertical="center"/>
    </xf>
    <xf numFmtId="9" fontId="0" fillId="0" borderId="0" xfId="0" applyNumberFormat="1">
      <alignment vertical="center"/>
    </xf>
    <xf numFmtId="170" fontId="0" fillId="0" borderId="0" xfId="0" applyNumberFormat="1">
      <alignment vertical="center"/>
    </xf>
    <xf numFmtId="0" fontId="0" fillId="0" borderId="0" xfId="0" pivotButton="1">
      <alignment vertical="center"/>
    </xf>
    <xf numFmtId="170" fontId="0" fillId="0" borderId="0" xfId="0" applyNumberFormat="1" applyAlignment="1">
      <alignment horizontal="center" vertical="center"/>
    </xf>
    <xf numFmtId="0" fontId="0" fillId="0" borderId="0" xfId="0" applyAlignment="1">
      <alignment vertical="center" shrinkToFit="1"/>
    </xf>
    <xf numFmtId="0" fontId="35" fillId="0" borderId="0" xfId="0" applyFont="1" applyAlignment="1">
      <alignment horizontal="center" vertical="center" shrinkToFit="1"/>
    </xf>
    <xf numFmtId="20" fontId="0" fillId="0" borderId="0" xfId="0" applyNumberFormat="1" applyAlignment="1">
      <alignment vertical="center" shrinkToFit="1"/>
    </xf>
    <xf numFmtId="20" fontId="35" fillId="0" borderId="0" xfId="0" applyNumberFormat="1" applyFont="1" applyAlignment="1">
      <alignment horizontal="center" vertical="center" shrinkToFit="1"/>
    </xf>
    <xf numFmtId="169" fontId="0" fillId="0" borderId="0" xfId="0" applyNumberFormat="1" applyAlignment="1">
      <alignment vertical="center" shrinkToFit="1"/>
    </xf>
    <xf numFmtId="0" fontId="26" fillId="17" borderId="2" xfId="0" applyFont="1" applyFill="1" applyBorder="1" applyAlignment="1">
      <alignment horizontal="center" vertical="center" shrinkToFit="1"/>
    </xf>
    <xf numFmtId="170" fontId="0" fillId="0" borderId="0" xfId="0" applyNumberFormat="1" applyAlignment="1">
      <alignment vertical="center" shrinkToFit="1"/>
    </xf>
    <xf numFmtId="171" fontId="0" fillId="0" borderId="0" xfId="0" applyNumberFormat="1" applyAlignment="1">
      <alignment vertical="center" shrinkToFit="1"/>
    </xf>
    <xf numFmtId="0" fontId="26" fillId="17" borderId="0" xfId="0" applyFont="1" applyFill="1" applyAlignment="1">
      <alignment horizontal="center" vertical="center" shrinkToFit="1"/>
    </xf>
    <xf numFmtId="170" fontId="0" fillId="0" borderId="0" xfId="0" pivotButton="1" applyNumberFormat="1">
      <alignment vertical="center"/>
    </xf>
    <xf numFmtId="167" fontId="36" fillId="0" borderId="0" xfId="0" applyNumberFormat="1" applyFont="1" applyAlignment="1">
      <alignment horizontal="center" vertical="center" shrinkToFit="1"/>
    </xf>
    <xf numFmtId="172" fontId="36" fillId="0" borderId="0" xfId="0" applyNumberFormat="1" applyFont="1" applyAlignment="1">
      <alignment horizontal="center" vertical="center"/>
    </xf>
    <xf numFmtId="0" fontId="3" fillId="4" borderId="8" xfId="0" applyFont="1" applyFill="1" applyBorder="1" applyAlignment="1">
      <alignment horizontal="left" vertical="center" indent="6"/>
    </xf>
    <xf numFmtId="0" fontId="3" fillId="5" borderId="11" xfId="0" applyFont="1" applyFill="1" applyBorder="1" applyAlignment="1">
      <alignment horizontal="left" vertical="center" indent="6"/>
    </xf>
    <xf numFmtId="0" fontId="3" fillId="5" borderId="12" xfId="0" applyFont="1" applyFill="1" applyBorder="1" applyAlignment="1">
      <alignment horizontal="left" vertical="center" indent="6"/>
    </xf>
  </cellXfs>
  <cellStyles count="6">
    <cellStyle name="Berekening" xfId="2" builtinId="22"/>
    <cellStyle name="Kop 1" xfId="3" builtinId="16" customBuiltin="1"/>
    <cellStyle name="Kop 2" xfId="4" builtinId="17" customBuiltin="1"/>
    <cellStyle name="Kop 3" xfId="5" builtinId="18" customBuiltin="1"/>
    <cellStyle name="Kop 4" xfId="1" builtinId="19"/>
    <cellStyle name="Standaard" xfId="0" builtinId="0" customBuiltin="1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numFmt numFmtId="167" formatCode="ddd\ 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numFmt numFmtId="169" formatCode="0;;"/>
      <alignment vertical="center" textRotation="0" wrapText="0" justifyLastLine="0" shrinkToFit="1" readingOrder="0"/>
    </dxf>
    <dxf>
      <numFmt numFmtId="169" formatCode="0;;"/>
      <alignment vertical="center" textRotation="0" wrapText="0" justifyLastLine="0" shrinkToFit="1" readingOrder="0"/>
    </dxf>
    <dxf>
      <numFmt numFmtId="171" formatCode="ddd\ dd/mm\ hh:mm"/>
      <alignment vertical="center" textRotation="0" wrapText="0" justifyLastLine="0" shrinkToFit="1" readingOrder="0"/>
    </dxf>
    <dxf>
      <numFmt numFmtId="171" formatCode="ddd\ dd/mm\ hh:mm"/>
      <alignment vertical="center" textRotation="0" wrapText="0" justifyLastLine="0" shrinkToFit="1" readingOrder="0"/>
    </dxf>
    <dxf>
      <numFmt numFmtId="171" formatCode="ddd\ dd/mm\ hh:mm"/>
      <alignment vertical="center" textRotation="0" wrapText="0" justifyLastLine="0" shrinkToFit="1" readingOrder="0"/>
    </dxf>
    <dxf>
      <numFmt numFmtId="0" formatCode="General"/>
      <alignment vertical="center" textRotation="0" wrapText="0" justifyLastLine="0" shrinkToFit="1" readingOrder="0"/>
    </dxf>
    <dxf>
      <alignment vertical="center" textRotation="0" wrapText="0" justifyLastLine="0" shrinkToFit="1" readingOrder="0"/>
    </dxf>
    <dxf>
      <numFmt numFmtId="170" formatCode="ddd\ dd/mm/yy"/>
      <alignment vertical="center" textRotation="0" wrapText="0" justifyLastLine="0" shrinkToFit="1" readingOrder="0"/>
    </dxf>
    <dxf>
      <alignment vertical="center" textRotation="0" wrapText="0" justifyLastLine="0" shrinkToFit="1" readingOrder="0"/>
    </dxf>
    <dxf>
      <alignment horizontal="general" vertical="center" textRotation="0" wrapText="0" indent="0" justifyLastLine="0" shrinkToFit="1" readingOrder="0"/>
    </dxf>
    <dxf>
      <alignment vertical="center" textRotation="0" wrapText="0" justifyLastLine="0" shrinkToFit="1" readingOrder="0"/>
    </dxf>
    <dxf>
      <alignment vertical="center" textRotation="0" wrapText="0" justifyLastLine="0" shrinkToFit="1" readingOrder="0"/>
    </dxf>
    <dxf>
      <alignment vertical="center" textRotation="0" wrapText="0" justifyLastLine="0" shrinkToFit="1" readingOrder="0"/>
    </dxf>
    <dxf>
      <numFmt numFmtId="170" formatCode="ddd\ dd/mm/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70" formatCode="ddd\ dd/mm/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70" formatCode="ddd\ dd/mm/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70" formatCode="ddd\ dd/mm/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70" formatCode="ddd\ dd/mm/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70" formatCode="ddd\ dd/mm/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70" formatCode="ddd\ dd/mm/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minor"/>
      </font>
      <numFmt numFmtId="0" formatCode="General"/>
      <fill>
        <patternFill patternType="solid">
          <fgColor indexed="64"/>
          <bgColor theme="4"/>
        </patternFill>
      </fill>
    </dxf>
    <dxf>
      <font>
        <color theme="1"/>
        <family val="1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6795556505021"/>
        <name val="Cambri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numFmt numFmtId="170" formatCode="ddd\ dd/mm/yy"/>
    </dxf>
    <dxf>
      <numFmt numFmtId="170" formatCode="ddd\ dd/mm/yy"/>
    </dxf>
    <dxf>
      <numFmt numFmtId="170" formatCode="ddd\ dd/mm/yy"/>
    </dxf>
    <dxf>
      <numFmt numFmtId="170" formatCode="ddd\ dd/mm/yy"/>
    </dxf>
    <dxf>
      <font>
        <b/>
        <i/>
        <color rgb="FFFF0000"/>
      </font>
    </dxf>
    <dxf>
      <font>
        <b/>
        <i/>
        <color rgb="FFFF0000"/>
      </font>
    </dxf>
    <dxf>
      <fill>
        <patternFill>
          <bgColor theme="6" tint="0.59996337778862885"/>
        </patternFill>
      </fill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 xr9:uid="{00000000-0011-0000-FFFF-FFFF00000000}">
      <tableStyleElement type="wholeTable" dxfId="40"/>
      <tableStyleElement type="headerRow" dxfId="39"/>
      <tableStyleElement type="firstRowStripe" dxfId="38"/>
    </tableStyle>
  </tableStyles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16" fmlaLink="$C$2" max="53" min="1" page="10" val="36"/>
</file>

<file path=xl/ctrlProps/ctrlProp2.xml><?xml version="1.0" encoding="utf-8"?>
<formControlPr xmlns="http://schemas.microsoft.com/office/spreadsheetml/2009/9/main" objectType="Spin" dx="16" fmlaLink="$C$2" max="3000" min="1904" page="10" val="2025"/>
</file>

<file path=xl/ctrlProps/ctrlProp3.xml><?xml version="1.0" encoding="utf-8"?>
<formControlPr xmlns="http://schemas.microsoft.com/office/spreadsheetml/2009/9/main" objectType="Spin" dx="16" fmlaLink="$E$2" max="12" min="1" page="10" val="9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171450</xdr:colOff>
      <xdr:row>4</xdr:row>
      <xdr:rowOff>161925</xdr:rowOff>
    </xdr:from>
    <xdr:to>
      <xdr:col>10</xdr:col>
      <xdr:colOff>1400175</xdr:colOff>
      <xdr:row>7</xdr:row>
      <xdr:rowOff>171450</xdr:rowOff>
    </xdr:to>
    <xdr:sp macro="[0]!Depivot" textlink="">
      <xdr:nvSpPr>
        <xdr:cNvPr id="2" name="Pijl: rechts 1">
          <a:extLst>
            <a:ext uri="{FF2B5EF4-FFF2-40B4-BE49-F238E27FC236}">
              <a16:creationId xmlns:a16="http://schemas.microsoft.com/office/drawing/2014/main" id="{6A1A276C-EB12-F2D9-FF58-94A46A288590}"/>
            </a:ext>
          </a:extLst>
        </xdr:cNvPr>
        <xdr:cNvSpPr/>
      </xdr:nvSpPr>
      <xdr:spPr>
        <a:xfrm>
          <a:off x="9115425" y="847725"/>
          <a:ext cx="1838325" cy="69532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000"/>
            <a:t>Macro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12700</xdr:rowOff>
    </xdr:from>
    <xdr:to>
      <xdr:col>3</xdr:col>
      <xdr:colOff>75565</xdr:colOff>
      <xdr:row>1</xdr:row>
      <xdr:rowOff>387350</xdr:rowOff>
    </xdr:to>
    <xdr:sp macro="" textlink="">
      <xdr:nvSpPr>
        <xdr:cNvPr id="13240" name="Rechthoek: afgeronde hoeken 13239">
          <a:extLst>
            <a:ext uri="{FF2B5EF4-FFF2-40B4-BE49-F238E27FC236}">
              <a16:creationId xmlns:a16="http://schemas.microsoft.com/office/drawing/2014/main" id="{A60C6E82-54FA-2478-C3AF-EC32B003757E}"/>
            </a:ext>
          </a:extLst>
        </xdr:cNvPr>
        <xdr:cNvSpPr/>
      </xdr:nvSpPr>
      <xdr:spPr>
        <a:xfrm>
          <a:off x="1495425" y="412750"/>
          <a:ext cx="1209040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J0, Répercussion sociétales et empowerment 
08:00-08:32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2</xdr:row>
      <xdr:rowOff>12700</xdr:rowOff>
    </xdr:from>
    <xdr:to>
      <xdr:col>3</xdr:col>
      <xdr:colOff>793433</xdr:colOff>
      <xdr:row>2</xdr:row>
      <xdr:rowOff>387350</xdr:rowOff>
    </xdr:to>
    <xdr:sp macro="" textlink="">
      <xdr:nvSpPr>
        <xdr:cNvPr id="13241" name="Rechthoek: afgeronde hoeken 13240">
          <a:extLst>
            <a:ext uri="{FF2B5EF4-FFF2-40B4-BE49-F238E27FC236}">
              <a16:creationId xmlns:a16="http://schemas.microsoft.com/office/drawing/2014/main" id="{005DB6F8-ACC3-C15E-C2D3-3D0AA3A59E15}"/>
            </a:ext>
          </a:extLst>
        </xdr:cNvPr>
        <xdr:cNvSpPr/>
      </xdr:nvSpPr>
      <xdr:spPr>
        <a:xfrm>
          <a:off x="1495425" y="812800"/>
          <a:ext cx="1926908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J0, épidémiologie descriptive
08:00-08:51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793433</xdr:colOff>
      <xdr:row>2</xdr:row>
      <xdr:rowOff>12700</xdr:rowOff>
    </xdr:from>
    <xdr:to>
      <xdr:col>6</xdr:col>
      <xdr:colOff>377825</xdr:colOff>
      <xdr:row>2</xdr:row>
      <xdr:rowOff>387350</xdr:rowOff>
    </xdr:to>
    <xdr:sp macro="" textlink="">
      <xdr:nvSpPr>
        <xdr:cNvPr id="13242" name="Rechthoek: afgeronde hoeken 13241">
          <a:extLst>
            <a:ext uri="{FF2B5EF4-FFF2-40B4-BE49-F238E27FC236}">
              <a16:creationId xmlns:a16="http://schemas.microsoft.com/office/drawing/2014/main" id="{7507D9EA-A926-E9A7-E521-EA74EB3D9513}"/>
            </a:ext>
          </a:extLst>
        </xdr:cNvPr>
        <xdr:cNvSpPr/>
      </xdr:nvSpPr>
      <xdr:spPr>
        <a:xfrm>
          <a:off x="3422333" y="812800"/>
          <a:ext cx="2984817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J0, Économie du système de santé
08:51-10:10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6</xdr:col>
      <xdr:colOff>377825</xdr:colOff>
      <xdr:row>2</xdr:row>
      <xdr:rowOff>12700</xdr:rowOff>
    </xdr:from>
    <xdr:to>
      <xdr:col>9</xdr:col>
      <xdr:colOff>453390</xdr:colOff>
      <xdr:row>2</xdr:row>
      <xdr:rowOff>387350</xdr:rowOff>
    </xdr:to>
    <xdr:sp macro="" textlink="">
      <xdr:nvSpPr>
        <xdr:cNvPr id="13243" name="Rechthoek: afgeronde hoeken 13242">
          <a:extLst>
            <a:ext uri="{FF2B5EF4-FFF2-40B4-BE49-F238E27FC236}">
              <a16:creationId xmlns:a16="http://schemas.microsoft.com/office/drawing/2014/main" id="{96F61548-8056-2DF2-DE28-4993E6BA5B5C}"/>
            </a:ext>
          </a:extLst>
        </xdr:cNvPr>
        <xdr:cNvSpPr/>
      </xdr:nvSpPr>
      <xdr:spPr>
        <a:xfrm>
          <a:off x="6407150" y="812800"/>
          <a:ext cx="3475990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J0, Abdomen et pelvis 1
10:10-11:42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9</xdr:col>
      <xdr:colOff>453390</xdr:colOff>
      <xdr:row>2</xdr:row>
      <xdr:rowOff>12700</xdr:rowOff>
    </xdr:from>
    <xdr:to>
      <xdr:col>13</xdr:col>
      <xdr:colOff>188912</xdr:colOff>
      <xdr:row>2</xdr:row>
      <xdr:rowOff>387350</xdr:rowOff>
    </xdr:to>
    <xdr:sp macro="" textlink="">
      <xdr:nvSpPr>
        <xdr:cNvPr id="13244" name="Rechthoek: afgeronde hoeken 13243">
          <a:extLst>
            <a:ext uri="{FF2B5EF4-FFF2-40B4-BE49-F238E27FC236}">
              <a16:creationId xmlns:a16="http://schemas.microsoft.com/office/drawing/2014/main" id="{41F21316-F423-3B7A-1A33-083BBD73D38C}"/>
            </a:ext>
          </a:extLst>
        </xdr:cNvPr>
        <xdr:cNvSpPr/>
      </xdr:nvSpPr>
      <xdr:spPr>
        <a:xfrm>
          <a:off x="9883140" y="812800"/>
          <a:ext cx="4269422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J0, Synthèse tampons, Diagramme de Davenport
11:42-13:35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3</xdr:row>
      <xdr:rowOff>12700</xdr:rowOff>
    </xdr:from>
    <xdr:to>
      <xdr:col>2</xdr:col>
      <xdr:colOff>1088136</xdr:colOff>
      <xdr:row>3</xdr:row>
      <xdr:rowOff>387350</xdr:rowOff>
    </xdr:to>
    <xdr:sp macro="" textlink="">
      <xdr:nvSpPr>
        <xdr:cNvPr id="13245" name="Rechthoek: afgeronde hoeken 13244">
          <a:extLst>
            <a:ext uri="{FF2B5EF4-FFF2-40B4-BE49-F238E27FC236}">
              <a16:creationId xmlns:a16="http://schemas.microsoft.com/office/drawing/2014/main" id="{002F8625-5CE9-1F7F-00D7-D0A8B51A10D9}"/>
            </a:ext>
          </a:extLst>
        </xdr:cNvPr>
        <xdr:cNvSpPr/>
      </xdr:nvSpPr>
      <xdr:spPr>
        <a:xfrm>
          <a:off x="1495425" y="1212850"/>
          <a:ext cx="1088136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J2, Répercussion sociétales et empowerment 
08:00-08:28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1088136</xdr:colOff>
      <xdr:row>3</xdr:row>
      <xdr:rowOff>12700</xdr:rowOff>
    </xdr:from>
    <xdr:to>
      <xdr:col>5</xdr:col>
      <xdr:colOff>181356</xdr:colOff>
      <xdr:row>3</xdr:row>
      <xdr:rowOff>387350</xdr:rowOff>
    </xdr:to>
    <xdr:sp macro="" textlink="">
      <xdr:nvSpPr>
        <xdr:cNvPr id="13246" name="Rechthoek: afgeronde hoeken 13245">
          <a:extLst>
            <a:ext uri="{FF2B5EF4-FFF2-40B4-BE49-F238E27FC236}">
              <a16:creationId xmlns:a16="http://schemas.microsoft.com/office/drawing/2014/main" id="{3F3D95E6-57F6-D7DE-2AFB-4C558CA913D2}"/>
            </a:ext>
          </a:extLst>
        </xdr:cNvPr>
        <xdr:cNvSpPr/>
      </xdr:nvSpPr>
      <xdr:spPr>
        <a:xfrm>
          <a:off x="2583561" y="1212850"/>
          <a:ext cx="2493645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J0, Thermorégulation
08:28-09:34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181356</xdr:colOff>
      <xdr:row>3</xdr:row>
      <xdr:rowOff>12700</xdr:rowOff>
    </xdr:from>
    <xdr:to>
      <xdr:col>8</xdr:col>
      <xdr:colOff>559181</xdr:colOff>
      <xdr:row>3</xdr:row>
      <xdr:rowOff>387350</xdr:rowOff>
    </xdr:to>
    <xdr:sp macro="" textlink="">
      <xdr:nvSpPr>
        <xdr:cNvPr id="13247" name="Rechthoek: afgeronde hoeken 13246">
          <a:extLst>
            <a:ext uri="{FF2B5EF4-FFF2-40B4-BE49-F238E27FC236}">
              <a16:creationId xmlns:a16="http://schemas.microsoft.com/office/drawing/2014/main" id="{E97C1F2D-3150-46D0-CE14-A31DBCD33348}"/>
            </a:ext>
          </a:extLst>
        </xdr:cNvPr>
        <xdr:cNvSpPr/>
      </xdr:nvSpPr>
      <xdr:spPr>
        <a:xfrm>
          <a:off x="5077206" y="1212850"/>
          <a:ext cx="3778250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J0, Potentiel électrochimique 
09:34-11:14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8</xdr:col>
      <xdr:colOff>559181</xdr:colOff>
      <xdr:row>3</xdr:row>
      <xdr:rowOff>12700</xdr:rowOff>
    </xdr:from>
    <xdr:to>
      <xdr:col>11</xdr:col>
      <xdr:colOff>1125919</xdr:colOff>
      <xdr:row>3</xdr:row>
      <xdr:rowOff>387350</xdr:rowOff>
    </xdr:to>
    <xdr:sp macro="" textlink="">
      <xdr:nvSpPr>
        <xdr:cNvPr id="13248" name="Rechthoek: afgeronde hoeken 13247">
          <a:extLst>
            <a:ext uri="{FF2B5EF4-FFF2-40B4-BE49-F238E27FC236}">
              <a16:creationId xmlns:a16="http://schemas.microsoft.com/office/drawing/2014/main" id="{F70E080C-6A10-CC91-7E02-D34A7D1F02AE}"/>
            </a:ext>
          </a:extLst>
        </xdr:cNvPr>
        <xdr:cNvSpPr/>
      </xdr:nvSpPr>
      <xdr:spPr>
        <a:xfrm>
          <a:off x="8855456" y="1212850"/>
          <a:ext cx="3967163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J0, intro: mouvements
11:14-12:59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4</xdr:row>
      <xdr:rowOff>12700</xdr:rowOff>
    </xdr:from>
    <xdr:to>
      <xdr:col>3</xdr:col>
      <xdr:colOff>600742</xdr:colOff>
      <xdr:row>4</xdr:row>
      <xdr:rowOff>387350</xdr:rowOff>
    </xdr:to>
    <xdr:sp macro="" textlink="">
      <xdr:nvSpPr>
        <xdr:cNvPr id="13249" name="Rechthoek: afgeronde hoeken 13248">
          <a:extLst>
            <a:ext uri="{FF2B5EF4-FFF2-40B4-BE49-F238E27FC236}">
              <a16:creationId xmlns:a16="http://schemas.microsoft.com/office/drawing/2014/main" id="{D6DD682F-1533-32FF-62B3-318B60FE989C}"/>
            </a:ext>
          </a:extLst>
        </xdr:cNvPr>
        <xdr:cNvSpPr/>
      </xdr:nvSpPr>
      <xdr:spPr>
        <a:xfrm>
          <a:off x="1495425" y="1612900"/>
          <a:ext cx="1734217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J2, épidémiologie descriptive
08:00-08:45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600742</xdr:colOff>
      <xdr:row>4</xdr:row>
      <xdr:rowOff>12700</xdr:rowOff>
    </xdr:from>
    <xdr:to>
      <xdr:col>5</xdr:col>
      <xdr:colOff>1020128</xdr:colOff>
      <xdr:row>4</xdr:row>
      <xdr:rowOff>387350</xdr:rowOff>
    </xdr:to>
    <xdr:sp macro="" textlink="">
      <xdr:nvSpPr>
        <xdr:cNvPr id="13250" name="Rechthoek: afgeronde hoeken 13249">
          <a:extLst>
            <a:ext uri="{FF2B5EF4-FFF2-40B4-BE49-F238E27FC236}">
              <a16:creationId xmlns:a16="http://schemas.microsoft.com/office/drawing/2014/main" id="{A4B7C17C-00DA-2F58-B11E-D70CE1F17A4A}"/>
            </a:ext>
          </a:extLst>
        </xdr:cNvPr>
        <xdr:cNvSpPr/>
      </xdr:nvSpPr>
      <xdr:spPr>
        <a:xfrm>
          <a:off x="3229642" y="1612900"/>
          <a:ext cx="2686336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J2, Économie du système de santé
08:45-09:57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1020128</xdr:colOff>
      <xdr:row>4</xdr:row>
      <xdr:rowOff>12700</xdr:rowOff>
    </xdr:from>
    <xdr:to>
      <xdr:col>8</xdr:col>
      <xdr:colOff>748094</xdr:colOff>
      <xdr:row>4</xdr:row>
      <xdr:rowOff>387350</xdr:rowOff>
    </xdr:to>
    <xdr:sp macro="" textlink="">
      <xdr:nvSpPr>
        <xdr:cNvPr id="13251" name="Rechthoek: afgeronde hoeken 13250">
          <a:extLst>
            <a:ext uri="{FF2B5EF4-FFF2-40B4-BE49-F238E27FC236}">
              <a16:creationId xmlns:a16="http://schemas.microsoft.com/office/drawing/2014/main" id="{A76D76BC-F643-ACB6-6588-A6D1AFF016EA}"/>
            </a:ext>
          </a:extLst>
        </xdr:cNvPr>
        <xdr:cNvSpPr/>
      </xdr:nvSpPr>
      <xdr:spPr>
        <a:xfrm>
          <a:off x="5915978" y="1612900"/>
          <a:ext cx="3128391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J2, Abdomen et pelvis 1
09:57-11:19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8</xdr:col>
      <xdr:colOff>748094</xdr:colOff>
      <xdr:row>4</xdr:row>
      <xdr:rowOff>12700</xdr:rowOff>
    </xdr:from>
    <xdr:to>
      <xdr:col>12</xdr:col>
      <xdr:colOff>56674</xdr:colOff>
      <xdr:row>4</xdr:row>
      <xdr:rowOff>387350</xdr:rowOff>
    </xdr:to>
    <xdr:sp macro="" textlink="">
      <xdr:nvSpPr>
        <xdr:cNvPr id="13252" name="Rechthoek: afgeronde hoeken 13251">
          <a:extLst>
            <a:ext uri="{FF2B5EF4-FFF2-40B4-BE49-F238E27FC236}">
              <a16:creationId xmlns:a16="http://schemas.microsoft.com/office/drawing/2014/main" id="{2AA5797A-1671-BF92-C5CB-AABD6C19E54C}"/>
            </a:ext>
          </a:extLst>
        </xdr:cNvPr>
        <xdr:cNvSpPr/>
      </xdr:nvSpPr>
      <xdr:spPr>
        <a:xfrm>
          <a:off x="9044369" y="1612900"/>
          <a:ext cx="3842480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J2, Synthèse tampons, Diagramme de Davenport
11:19-13:01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5</xdr:row>
      <xdr:rowOff>12700</xdr:rowOff>
    </xdr:from>
    <xdr:to>
      <xdr:col>3</xdr:col>
      <xdr:colOff>1110805</xdr:colOff>
      <xdr:row>5</xdr:row>
      <xdr:rowOff>387350</xdr:rowOff>
    </xdr:to>
    <xdr:sp macro="" textlink="">
      <xdr:nvSpPr>
        <xdr:cNvPr id="13253" name="Rechthoek: afgeronde hoeken 13252">
          <a:extLst>
            <a:ext uri="{FF2B5EF4-FFF2-40B4-BE49-F238E27FC236}">
              <a16:creationId xmlns:a16="http://schemas.microsoft.com/office/drawing/2014/main" id="{7615E03A-EF46-F6CA-3F45-223B7BAB1BFB}"/>
            </a:ext>
          </a:extLst>
        </xdr:cNvPr>
        <xdr:cNvSpPr/>
      </xdr:nvSpPr>
      <xdr:spPr>
        <a:xfrm>
          <a:off x="1495425" y="2012950"/>
          <a:ext cx="2244280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J2, Thermorégulation
08:00-08:59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1110805</xdr:colOff>
      <xdr:row>5</xdr:row>
      <xdr:rowOff>12700</xdr:rowOff>
    </xdr:from>
    <xdr:to>
      <xdr:col>6</xdr:col>
      <xdr:colOff>1110805</xdr:colOff>
      <xdr:row>5</xdr:row>
      <xdr:rowOff>387350</xdr:rowOff>
    </xdr:to>
    <xdr:sp macro="" textlink="">
      <xdr:nvSpPr>
        <xdr:cNvPr id="13254" name="Rechthoek: afgeronde hoeken 13253">
          <a:extLst>
            <a:ext uri="{FF2B5EF4-FFF2-40B4-BE49-F238E27FC236}">
              <a16:creationId xmlns:a16="http://schemas.microsoft.com/office/drawing/2014/main" id="{E14AA995-F39C-BDDF-2933-186D03B2C8CC}"/>
            </a:ext>
          </a:extLst>
        </xdr:cNvPr>
        <xdr:cNvSpPr/>
      </xdr:nvSpPr>
      <xdr:spPr>
        <a:xfrm>
          <a:off x="3739705" y="2012950"/>
          <a:ext cx="3400425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J2, Potentiel électrochimique 
08:59-10:29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6</xdr:col>
      <xdr:colOff>1110806</xdr:colOff>
      <xdr:row>5</xdr:row>
      <xdr:rowOff>12700</xdr:rowOff>
    </xdr:from>
    <xdr:to>
      <xdr:col>10</xdr:col>
      <xdr:colOff>147352</xdr:colOff>
      <xdr:row>5</xdr:row>
      <xdr:rowOff>387350</xdr:rowOff>
    </xdr:to>
    <xdr:sp macro="" textlink="">
      <xdr:nvSpPr>
        <xdr:cNvPr id="13255" name="Rechthoek: afgeronde hoeken 13254">
          <a:extLst>
            <a:ext uri="{FF2B5EF4-FFF2-40B4-BE49-F238E27FC236}">
              <a16:creationId xmlns:a16="http://schemas.microsoft.com/office/drawing/2014/main" id="{12465404-A6AA-56EE-5CB2-37D72B0069A3}"/>
            </a:ext>
          </a:extLst>
        </xdr:cNvPr>
        <xdr:cNvSpPr/>
      </xdr:nvSpPr>
      <xdr:spPr>
        <a:xfrm>
          <a:off x="7140131" y="2012950"/>
          <a:ext cx="3570446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J2, intro: mouvements
10:29-12:03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10</xdr:col>
      <xdr:colOff>147351</xdr:colOff>
      <xdr:row>5</xdr:row>
      <xdr:rowOff>12700</xdr:rowOff>
    </xdr:from>
    <xdr:to>
      <xdr:col>12</xdr:col>
      <xdr:colOff>260699</xdr:colOff>
      <xdr:row>5</xdr:row>
      <xdr:rowOff>387350</xdr:rowOff>
    </xdr:to>
    <xdr:sp macro="" textlink="">
      <xdr:nvSpPr>
        <xdr:cNvPr id="13256" name="Rechthoek: afgeronde hoeken 13255">
          <a:extLst>
            <a:ext uri="{FF2B5EF4-FFF2-40B4-BE49-F238E27FC236}">
              <a16:creationId xmlns:a16="http://schemas.microsoft.com/office/drawing/2014/main" id="{E84B50FF-221E-79F7-EC0D-BD49D3BE7A13}"/>
            </a:ext>
          </a:extLst>
        </xdr:cNvPr>
        <xdr:cNvSpPr/>
      </xdr:nvSpPr>
      <xdr:spPr>
        <a:xfrm>
          <a:off x="10710576" y="2012950"/>
          <a:ext cx="2380298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J0, Intervention rééducation part-1 
12:03-13:06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6</xdr:row>
      <xdr:rowOff>12700</xdr:rowOff>
    </xdr:from>
    <xdr:to>
      <xdr:col>2</xdr:col>
      <xdr:colOff>906780</xdr:colOff>
      <xdr:row>6</xdr:row>
      <xdr:rowOff>387350</xdr:rowOff>
    </xdr:to>
    <xdr:sp macro="" textlink="">
      <xdr:nvSpPr>
        <xdr:cNvPr id="13257" name="Rechthoek: afgeronde hoeken 13256">
          <a:extLst>
            <a:ext uri="{FF2B5EF4-FFF2-40B4-BE49-F238E27FC236}">
              <a16:creationId xmlns:a16="http://schemas.microsoft.com/office/drawing/2014/main" id="{EB897522-FA23-3024-C9CF-318ED63068C0}"/>
            </a:ext>
          </a:extLst>
        </xdr:cNvPr>
        <xdr:cNvSpPr/>
      </xdr:nvSpPr>
      <xdr:spPr>
        <a:xfrm>
          <a:off x="1495425" y="2413000"/>
          <a:ext cx="906780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J6, Répercussion sociétales et empowerment 
08:00-08:24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906780</xdr:colOff>
      <xdr:row>6</xdr:row>
      <xdr:rowOff>12700</xdr:rowOff>
    </xdr:from>
    <xdr:to>
      <xdr:col>4</xdr:col>
      <xdr:colOff>782098</xdr:colOff>
      <xdr:row>6</xdr:row>
      <xdr:rowOff>387350</xdr:rowOff>
    </xdr:to>
    <xdr:sp macro="" textlink="">
      <xdr:nvSpPr>
        <xdr:cNvPr id="13258" name="Rechthoek: afgeronde hoeken 13257">
          <a:extLst>
            <a:ext uri="{FF2B5EF4-FFF2-40B4-BE49-F238E27FC236}">
              <a16:creationId xmlns:a16="http://schemas.microsoft.com/office/drawing/2014/main" id="{D1A0122C-0C1B-D4AF-F1A7-CD7EAF1A2633}"/>
            </a:ext>
          </a:extLst>
        </xdr:cNvPr>
        <xdr:cNvSpPr/>
      </xdr:nvSpPr>
      <xdr:spPr>
        <a:xfrm>
          <a:off x="2402205" y="2413000"/>
          <a:ext cx="2142268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J2, Intervention rééducation part-1 
08:24-09:20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4</xdr:col>
      <xdr:colOff>782098</xdr:colOff>
      <xdr:row>6</xdr:row>
      <xdr:rowOff>12700</xdr:rowOff>
    </xdr:from>
    <xdr:to>
      <xdr:col>5</xdr:col>
      <xdr:colOff>1093804</xdr:colOff>
      <xdr:row>6</xdr:row>
      <xdr:rowOff>387350</xdr:rowOff>
    </xdr:to>
    <xdr:sp macro="" textlink="">
      <xdr:nvSpPr>
        <xdr:cNvPr id="13259" name="Rechthoek: afgeronde hoeken 13258">
          <a:extLst>
            <a:ext uri="{FF2B5EF4-FFF2-40B4-BE49-F238E27FC236}">
              <a16:creationId xmlns:a16="http://schemas.microsoft.com/office/drawing/2014/main" id="{84FE8848-71E0-CCF0-408E-5E0A306060AE}"/>
            </a:ext>
          </a:extLst>
        </xdr:cNvPr>
        <xdr:cNvSpPr/>
      </xdr:nvSpPr>
      <xdr:spPr>
        <a:xfrm>
          <a:off x="4544473" y="2413000"/>
          <a:ext cx="1445181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J6, épidémiologie descriptive
09:20-09:58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1093803</xdr:colOff>
      <xdr:row>6</xdr:row>
      <xdr:rowOff>12700</xdr:rowOff>
    </xdr:from>
    <xdr:to>
      <xdr:col>7</xdr:col>
      <xdr:colOff>1065466</xdr:colOff>
      <xdr:row>6</xdr:row>
      <xdr:rowOff>387350</xdr:rowOff>
    </xdr:to>
    <xdr:sp macro="" textlink="">
      <xdr:nvSpPr>
        <xdr:cNvPr id="13260" name="Rechthoek: afgeronde hoeken 13259">
          <a:extLst>
            <a:ext uri="{FF2B5EF4-FFF2-40B4-BE49-F238E27FC236}">
              <a16:creationId xmlns:a16="http://schemas.microsoft.com/office/drawing/2014/main" id="{9E07D21E-DEAE-CA9A-9002-4DFD4719CB59}"/>
            </a:ext>
          </a:extLst>
        </xdr:cNvPr>
        <xdr:cNvSpPr/>
      </xdr:nvSpPr>
      <xdr:spPr>
        <a:xfrm>
          <a:off x="5989653" y="2413000"/>
          <a:ext cx="2238613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J6, Économie du système de santé
09:58-10:58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7</xdr:col>
      <xdr:colOff>1065467</xdr:colOff>
      <xdr:row>6</xdr:row>
      <xdr:rowOff>12700</xdr:rowOff>
    </xdr:from>
    <xdr:to>
      <xdr:col>10</xdr:col>
      <xdr:colOff>272034</xdr:colOff>
      <xdr:row>6</xdr:row>
      <xdr:rowOff>387350</xdr:rowOff>
    </xdr:to>
    <xdr:sp macro="" textlink="">
      <xdr:nvSpPr>
        <xdr:cNvPr id="13261" name="Rechthoek: afgeronde hoeken 13260">
          <a:extLst>
            <a:ext uri="{FF2B5EF4-FFF2-40B4-BE49-F238E27FC236}">
              <a16:creationId xmlns:a16="http://schemas.microsoft.com/office/drawing/2014/main" id="{E95533AD-87E9-F53E-52FE-2053E715913D}"/>
            </a:ext>
          </a:extLst>
        </xdr:cNvPr>
        <xdr:cNvSpPr/>
      </xdr:nvSpPr>
      <xdr:spPr>
        <a:xfrm>
          <a:off x="8228267" y="2413000"/>
          <a:ext cx="2606992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J6, Abdomen et pelvis 1
10:58-12:07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10</xdr:col>
      <xdr:colOff>272034</xdr:colOff>
      <xdr:row>6</xdr:row>
      <xdr:rowOff>12700</xdr:rowOff>
    </xdr:from>
    <xdr:to>
      <xdr:col>13</xdr:col>
      <xdr:colOff>73676</xdr:colOff>
      <xdr:row>6</xdr:row>
      <xdr:rowOff>387350</xdr:rowOff>
    </xdr:to>
    <xdr:sp macro="" textlink="">
      <xdr:nvSpPr>
        <xdr:cNvPr id="13262" name="Rechthoek: afgeronde hoeken 13261">
          <a:extLst>
            <a:ext uri="{FF2B5EF4-FFF2-40B4-BE49-F238E27FC236}">
              <a16:creationId xmlns:a16="http://schemas.microsoft.com/office/drawing/2014/main" id="{153CFE7F-2D28-1C20-AE02-B2EF88299F04}"/>
            </a:ext>
          </a:extLst>
        </xdr:cNvPr>
        <xdr:cNvSpPr/>
      </xdr:nvSpPr>
      <xdr:spPr>
        <a:xfrm>
          <a:off x="10835259" y="2413000"/>
          <a:ext cx="3202067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J6, Synthèse tampons, Diagramme de Davenport
12:07-13:31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13</xdr:col>
      <xdr:colOff>73676</xdr:colOff>
      <xdr:row>6</xdr:row>
      <xdr:rowOff>12700</xdr:rowOff>
    </xdr:from>
    <xdr:to>
      <xdr:col>15</xdr:col>
      <xdr:colOff>413718</xdr:colOff>
      <xdr:row>6</xdr:row>
      <xdr:rowOff>387350</xdr:rowOff>
    </xdr:to>
    <xdr:sp macro="" textlink="">
      <xdr:nvSpPr>
        <xdr:cNvPr id="13263" name="Rechthoek: afgeronde hoeken 13262">
          <a:extLst>
            <a:ext uri="{FF2B5EF4-FFF2-40B4-BE49-F238E27FC236}">
              <a16:creationId xmlns:a16="http://schemas.microsoft.com/office/drawing/2014/main" id="{47BF9CD8-7727-F875-5F92-6CCC0490F51A}"/>
            </a:ext>
          </a:extLst>
        </xdr:cNvPr>
        <xdr:cNvSpPr/>
      </xdr:nvSpPr>
      <xdr:spPr>
        <a:xfrm>
          <a:off x="14037326" y="2413000"/>
          <a:ext cx="2606992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J0, Législation handicap 
13:31-14:40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15</xdr:col>
      <xdr:colOff>413719</xdr:colOff>
      <xdr:row>6</xdr:row>
      <xdr:rowOff>12700</xdr:rowOff>
    </xdr:from>
    <xdr:to>
      <xdr:col>17</xdr:col>
      <xdr:colOff>1093804</xdr:colOff>
      <xdr:row>6</xdr:row>
      <xdr:rowOff>387350</xdr:rowOff>
    </xdr:to>
    <xdr:sp macro="" textlink="">
      <xdr:nvSpPr>
        <xdr:cNvPr id="13264" name="Rechthoek: afgeronde hoeken 13263">
          <a:extLst>
            <a:ext uri="{FF2B5EF4-FFF2-40B4-BE49-F238E27FC236}">
              <a16:creationId xmlns:a16="http://schemas.microsoft.com/office/drawing/2014/main" id="{1D55ACF1-D56F-31A1-16A2-329929E0EC8E}"/>
            </a:ext>
          </a:extLst>
        </xdr:cNvPr>
        <xdr:cNvSpPr/>
      </xdr:nvSpPr>
      <xdr:spPr>
        <a:xfrm>
          <a:off x="16644319" y="2413000"/>
          <a:ext cx="2947035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J0, Dérivés d'acides carboxylique- AG 
14:40-15:58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17</xdr:col>
      <xdr:colOff>1093803</xdr:colOff>
      <xdr:row>6</xdr:row>
      <xdr:rowOff>12700</xdr:rowOff>
    </xdr:from>
    <xdr:to>
      <xdr:col>20</xdr:col>
      <xdr:colOff>829326</xdr:colOff>
      <xdr:row>6</xdr:row>
      <xdr:rowOff>387350</xdr:rowOff>
    </xdr:to>
    <xdr:sp macro="" textlink="">
      <xdr:nvSpPr>
        <xdr:cNvPr id="13265" name="Rechthoek: afgeronde hoeken 13264">
          <a:extLst>
            <a:ext uri="{FF2B5EF4-FFF2-40B4-BE49-F238E27FC236}">
              <a16:creationId xmlns:a16="http://schemas.microsoft.com/office/drawing/2014/main" id="{5FCA4009-9B89-CEFF-1E0F-8939D1D0B7BF}"/>
            </a:ext>
          </a:extLst>
        </xdr:cNvPr>
        <xdr:cNvSpPr/>
      </xdr:nvSpPr>
      <xdr:spPr>
        <a:xfrm>
          <a:off x="19591353" y="2413000"/>
          <a:ext cx="3135948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J0, Intervention rééducation part-6
15:58-17:21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20</xdr:col>
      <xdr:colOff>829326</xdr:colOff>
      <xdr:row>6</xdr:row>
      <xdr:rowOff>12700</xdr:rowOff>
    </xdr:from>
    <xdr:to>
      <xdr:col>22</xdr:col>
      <xdr:colOff>0</xdr:colOff>
      <xdr:row>6</xdr:row>
      <xdr:rowOff>387350</xdr:rowOff>
    </xdr:to>
    <xdr:sp macro="" textlink="">
      <xdr:nvSpPr>
        <xdr:cNvPr id="13266" name="Rechthoek: afgeronde hoeken 13265">
          <a:extLst>
            <a:ext uri="{FF2B5EF4-FFF2-40B4-BE49-F238E27FC236}">
              <a16:creationId xmlns:a16="http://schemas.microsoft.com/office/drawing/2014/main" id="{B67941E9-F339-4585-2A6F-42FEB7F828B3}"/>
            </a:ext>
          </a:extLst>
        </xdr:cNvPr>
        <xdr:cNvSpPr/>
      </xdr:nvSpPr>
      <xdr:spPr>
        <a:xfrm>
          <a:off x="22727301" y="2413000"/>
          <a:ext cx="1437624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J0, Abdomen et pelvis 2 
17:21-08:46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7</xdr:row>
      <xdr:rowOff>12700</xdr:rowOff>
    </xdr:from>
    <xdr:to>
      <xdr:col>3</xdr:col>
      <xdr:colOff>640413</xdr:colOff>
      <xdr:row>7</xdr:row>
      <xdr:rowOff>387350</xdr:rowOff>
    </xdr:to>
    <xdr:sp macro="" textlink="">
      <xdr:nvSpPr>
        <xdr:cNvPr id="13267" name="Rechthoek: afgeronde hoeken 13266">
          <a:extLst>
            <a:ext uri="{FF2B5EF4-FFF2-40B4-BE49-F238E27FC236}">
              <a16:creationId xmlns:a16="http://schemas.microsoft.com/office/drawing/2014/main" id="{878774B0-58AC-A13F-4B8C-5FD7614922B4}"/>
            </a:ext>
          </a:extLst>
        </xdr:cNvPr>
        <xdr:cNvSpPr/>
      </xdr:nvSpPr>
      <xdr:spPr>
        <a:xfrm>
          <a:off x="1495425" y="2813050"/>
          <a:ext cx="1773888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J0, Abdomen et pelvis 2 
17:21-08:46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640413</xdr:colOff>
      <xdr:row>7</xdr:row>
      <xdr:rowOff>12700</xdr:rowOff>
    </xdr:from>
    <xdr:to>
      <xdr:col>6</xdr:col>
      <xdr:colOff>753760</xdr:colOff>
      <xdr:row>7</xdr:row>
      <xdr:rowOff>387350</xdr:rowOff>
    </xdr:to>
    <xdr:sp macro="" textlink="">
      <xdr:nvSpPr>
        <xdr:cNvPr id="13268" name="Rechthoek: afgeronde hoeken 13267">
          <a:extLst>
            <a:ext uri="{FF2B5EF4-FFF2-40B4-BE49-F238E27FC236}">
              <a16:creationId xmlns:a16="http://schemas.microsoft.com/office/drawing/2014/main" id="{E2F9E0E9-0243-0C20-1D8A-F353D9545BAE}"/>
            </a:ext>
          </a:extLst>
        </xdr:cNvPr>
        <xdr:cNvSpPr/>
      </xdr:nvSpPr>
      <xdr:spPr>
        <a:xfrm>
          <a:off x="3269313" y="2813050"/>
          <a:ext cx="3513772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J0, Thorax
08:46-10:19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6</xdr:col>
      <xdr:colOff>753761</xdr:colOff>
      <xdr:row>7</xdr:row>
      <xdr:rowOff>12700</xdr:rowOff>
    </xdr:from>
    <xdr:to>
      <xdr:col>10</xdr:col>
      <xdr:colOff>35894</xdr:colOff>
      <xdr:row>7</xdr:row>
      <xdr:rowOff>387350</xdr:rowOff>
    </xdr:to>
    <xdr:sp macro="" textlink="">
      <xdr:nvSpPr>
        <xdr:cNvPr id="13269" name="Rechthoek: afgeronde hoeken 13268">
          <a:extLst>
            <a:ext uri="{FF2B5EF4-FFF2-40B4-BE49-F238E27FC236}">
              <a16:creationId xmlns:a16="http://schemas.microsoft.com/office/drawing/2014/main" id="{EAC5BC82-79DC-74E1-521C-41806BB00C10}"/>
            </a:ext>
          </a:extLst>
        </xdr:cNvPr>
        <xdr:cNvSpPr/>
      </xdr:nvSpPr>
      <xdr:spPr>
        <a:xfrm>
          <a:off x="6783086" y="2813050"/>
          <a:ext cx="3816033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J0, Propriétés électroniques des liaisons chimiques
10:19-12:00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10</xdr:col>
      <xdr:colOff>35893</xdr:colOff>
      <xdr:row>7</xdr:row>
      <xdr:rowOff>12700</xdr:rowOff>
    </xdr:from>
    <xdr:to>
      <xdr:col>13</xdr:col>
      <xdr:colOff>640413</xdr:colOff>
      <xdr:row>7</xdr:row>
      <xdr:rowOff>387350</xdr:rowOff>
    </xdr:to>
    <xdr:sp macro="" textlink="">
      <xdr:nvSpPr>
        <xdr:cNvPr id="13270" name="Rechthoek: afgeronde hoeken 13269">
          <a:extLst>
            <a:ext uri="{FF2B5EF4-FFF2-40B4-BE49-F238E27FC236}">
              <a16:creationId xmlns:a16="http://schemas.microsoft.com/office/drawing/2014/main" id="{E9A31344-91A3-9DDB-4C6E-26C7EB87E0BC}"/>
            </a:ext>
          </a:extLst>
        </xdr:cNvPr>
        <xdr:cNvSpPr/>
      </xdr:nvSpPr>
      <xdr:spPr>
        <a:xfrm>
          <a:off x="10599118" y="2813050"/>
          <a:ext cx="4004945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J0, intro: référence et particularité
12:00-13:46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13</xdr:col>
      <xdr:colOff>640414</xdr:colOff>
      <xdr:row>7</xdr:row>
      <xdr:rowOff>12700</xdr:rowOff>
    </xdr:from>
    <xdr:to>
      <xdr:col>15</xdr:col>
      <xdr:colOff>243698</xdr:colOff>
      <xdr:row>7</xdr:row>
      <xdr:rowOff>387350</xdr:rowOff>
    </xdr:to>
    <xdr:sp macro="" textlink="">
      <xdr:nvSpPr>
        <xdr:cNvPr id="13271" name="Rechthoek: afgeronde hoeken 13270">
          <a:extLst>
            <a:ext uri="{FF2B5EF4-FFF2-40B4-BE49-F238E27FC236}">
              <a16:creationId xmlns:a16="http://schemas.microsoft.com/office/drawing/2014/main" id="{91162195-3431-232E-CE11-983BA10E0FF1}"/>
            </a:ext>
          </a:extLst>
        </xdr:cNvPr>
        <xdr:cNvSpPr/>
      </xdr:nvSpPr>
      <xdr:spPr>
        <a:xfrm>
          <a:off x="14604064" y="2813050"/>
          <a:ext cx="1870234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J6, Thermorégulation
13:46-14:36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15</xdr:col>
      <xdr:colOff>243697</xdr:colOff>
      <xdr:row>7</xdr:row>
      <xdr:rowOff>12700</xdr:rowOff>
    </xdr:from>
    <xdr:to>
      <xdr:col>17</xdr:col>
      <xdr:colOff>810435</xdr:colOff>
      <xdr:row>7</xdr:row>
      <xdr:rowOff>387350</xdr:rowOff>
    </xdr:to>
    <xdr:sp macro="" textlink="">
      <xdr:nvSpPr>
        <xdr:cNvPr id="13272" name="Rechthoek: afgeronde hoeken 13271">
          <a:extLst>
            <a:ext uri="{FF2B5EF4-FFF2-40B4-BE49-F238E27FC236}">
              <a16:creationId xmlns:a16="http://schemas.microsoft.com/office/drawing/2014/main" id="{D61346E2-1031-D102-EC08-F7E402F1A99B}"/>
            </a:ext>
          </a:extLst>
        </xdr:cNvPr>
        <xdr:cNvSpPr/>
      </xdr:nvSpPr>
      <xdr:spPr>
        <a:xfrm>
          <a:off x="16474297" y="2813050"/>
          <a:ext cx="2833688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J6, Potentiel électrochimique 
14:36-15:51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17</xdr:col>
      <xdr:colOff>810434</xdr:colOff>
      <xdr:row>7</xdr:row>
      <xdr:rowOff>12700</xdr:rowOff>
    </xdr:from>
    <xdr:to>
      <xdr:col>20</xdr:col>
      <xdr:colOff>385381</xdr:colOff>
      <xdr:row>7</xdr:row>
      <xdr:rowOff>387350</xdr:rowOff>
    </xdr:to>
    <xdr:sp macro="" textlink="">
      <xdr:nvSpPr>
        <xdr:cNvPr id="13273" name="Rechthoek: afgeronde hoeken 13272">
          <a:extLst>
            <a:ext uri="{FF2B5EF4-FFF2-40B4-BE49-F238E27FC236}">
              <a16:creationId xmlns:a16="http://schemas.microsoft.com/office/drawing/2014/main" id="{5CE70E18-757F-6CC1-A786-79EED0755C38}"/>
            </a:ext>
          </a:extLst>
        </xdr:cNvPr>
        <xdr:cNvSpPr/>
      </xdr:nvSpPr>
      <xdr:spPr>
        <a:xfrm>
          <a:off x="19307984" y="2813050"/>
          <a:ext cx="2975372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J6, intro: mouvements
15:51-17:10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20</xdr:col>
      <xdr:colOff>385381</xdr:colOff>
      <xdr:row>7</xdr:row>
      <xdr:rowOff>12700</xdr:rowOff>
    </xdr:from>
    <xdr:to>
      <xdr:col>21</xdr:col>
      <xdr:colOff>1133474</xdr:colOff>
      <xdr:row>7</xdr:row>
      <xdr:rowOff>387350</xdr:rowOff>
    </xdr:to>
    <xdr:sp macro="" textlink="">
      <xdr:nvSpPr>
        <xdr:cNvPr id="13274" name="Rechthoek: afgeronde hoeken 13273">
          <a:extLst>
            <a:ext uri="{FF2B5EF4-FFF2-40B4-BE49-F238E27FC236}">
              <a16:creationId xmlns:a16="http://schemas.microsoft.com/office/drawing/2014/main" id="{C935A0C9-107C-FFFA-608C-18D16C725740}"/>
            </a:ext>
          </a:extLst>
        </xdr:cNvPr>
        <xdr:cNvSpPr/>
      </xdr:nvSpPr>
      <xdr:spPr>
        <a:xfrm>
          <a:off x="22283356" y="2813050"/>
          <a:ext cx="1881568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J0, Thermodynamique 
17:10-08:20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8</xdr:row>
      <xdr:rowOff>12700</xdr:rowOff>
    </xdr:from>
    <xdr:to>
      <xdr:col>2</xdr:col>
      <xdr:colOff>763207</xdr:colOff>
      <xdr:row>8</xdr:row>
      <xdr:rowOff>387350</xdr:rowOff>
    </xdr:to>
    <xdr:sp macro="" textlink="">
      <xdr:nvSpPr>
        <xdr:cNvPr id="13275" name="Rechthoek: afgeronde hoeken 13274">
          <a:extLst>
            <a:ext uri="{FF2B5EF4-FFF2-40B4-BE49-F238E27FC236}">
              <a16:creationId xmlns:a16="http://schemas.microsoft.com/office/drawing/2014/main" id="{521D6154-81E6-D009-608F-F1BBA77B074C}"/>
            </a:ext>
          </a:extLst>
        </xdr:cNvPr>
        <xdr:cNvSpPr/>
      </xdr:nvSpPr>
      <xdr:spPr>
        <a:xfrm>
          <a:off x="1495425" y="3213100"/>
          <a:ext cx="763207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J0, Thermodynamique 
17:10-08:20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763207</xdr:colOff>
      <xdr:row>8</xdr:row>
      <xdr:rowOff>12700</xdr:rowOff>
    </xdr:from>
    <xdr:to>
      <xdr:col>6</xdr:col>
      <xdr:colOff>309817</xdr:colOff>
      <xdr:row>8</xdr:row>
      <xdr:rowOff>387350</xdr:rowOff>
    </xdr:to>
    <xdr:sp macro="" textlink="">
      <xdr:nvSpPr>
        <xdr:cNvPr id="13276" name="Rechthoek: afgeronde hoeken 13275">
          <a:extLst>
            <a:ext uri="{FF2B5EF4-FFF2-40B4-BE49-F238E27FC236}">
              <a16:creationId xmlns:a16="http://schemas.microsoft.com/office/drawing/2014/main" id="{46FD44C9-3505-1BD4-4528-599B41AFA7C2}"/>
            </a:ext>
          </a:extLst>
        </xdr:cNvPr>
        <xdr:cNvSpPr/>
      </xdr:nvSpPr>
      <xdr:spPr>
        <a:xfrm>
          <a:off x="2258632" y="3213100"/>
          <a:ext cx="4080510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J0, Intervention rééducation part-3
08:20-10:08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6</xdr:col>
      <xdr:colOff>309816</xdr:colOff>
      <xdr:row>8</xdr:row>
      <xdr:rowOff>12700</xdr:rowOff>
    </xdr:from>
    <xdr:to>
      <xdr:col>9</xdr:col>
      <xdr:colOff>1103249</xdr:colOff>
      <xdr:row>8</xdr:row>
      <xdr:rowOff>387350</xdr:rowOff>
    </xdr:to>
    <xdr:sp macro="" textlink="">
      <xdr:nvSpPr>
        <xdr:cNvPr id="13277" name="Rechthoek: afgeronde hoeken 13276">
          <a:extLst>
            <a:ext uri="{FF2B5EF4-FFF2-40B4-BE49-F238E27FC236}">
              <a16:creationId xmlns:a16="http://schemas.microsoft.com/office/drawing/2014/main" id="{E7A57408-FF71-9630-4A11-6016DA8820EA}"/>
            </a:ext>
          </a:extLst>
        </xdr:cNvPr>
        <xdr:cNvSpPr/>
      </xdr:nvSpPr>
      <xdr:spPr>
        <a:xfrm>
          <a:off x="6339141" y="3213100"/>
          <a:ext cx="4193858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J0, Protéines 
10:08-11:59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9</xdr:col>
      <xdr:colOff>1103249</xdr:colOff>
      <xdr:row>8</xdr:row>
      <xdr:rowOff>12700</xdr:rowOff>
    </xdr:from>
    <xdr:to>
      <xdr:col>12</xdr:col>
      <xdr:colOff>49117</xdr:colOff>
      <xdr:row>8</xdr:row>
      <xdr:rowOff>387350</xdr:rowOff>
    </xdr:to>
    <xdr:sp macro="" textlink="">
      <xdr:nvSpPr>
        <xdr:cNvPr id="13278" name="Rechthoek: afgeronde hoeken 13277">
          <a:extLst>
            <a:ext uri="{FF2B5EF4-FFF2-40B4-BE49-F238E27FC236}">
              <a16:creationId xmlns:a16="http://schemas.microsoft.com/office/drawing/2014/main" id="{264065AF-FF23-35BD-8FC9-0B4E7E0B911D}"/>
            </a:ext>
          </a:extLst>
        </xdr:cNvPr>
        <xdr:cNvSpPr/>
      </xdr:nvSpPr>
      <xdr:spPr>
        <a:xfrm>
          <a:off x="10532999" y="3213100"/>
          <a:ext cx="2346293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J2, Législation handicap 
11:59-13:01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12</xdr:col>
      <xdr:colOff>49117</xdr:colOff>
      <xdr:row>8</xdr:row>
      <xdr:rowOff>12700</xdr:rowOff>
    </xdr:from>
    <xdr:to>
      <xdr:col>14</xdr:col>
      <xdr:colOff>434499</xdr:colOff>
      <xdr:row>8</xdr:row>
      <xdr:rowOff>387350</xdr:rowOff>
    </xdr:to>
    <xdr:sp macro="" textlink="">
      <xdr:nvSpPr>
        <xdr:cNvPr id="13279" name="Rechthoek: afgeronde hoeken 13278">
          <a:extLst>
            <a:ext uri="{FF2B5EF4-FFF2-40B4-BE49-F238E27FC236}">
              <a16:creationId xmlns:a16="http://schemas.microsoft.com/office/drawing/2014/main" id="{01F2DE5A-416C-778C-821A-184277F02EE8}"/>
            </a:ext>
          </a:extLst>
        </xdr:cNvPr>
        <xdr:cNvSpPr/>
      </xdr:nvSpPr>
      <xdr:spPr>
        <a:xfrm>
          <a:off x="12879292" y="3213100"/>
          <a:ext cx="2652332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J2, Dérivés d'acides carboxylique- AG 
13:01-14:11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14</xdr:col>
      <xdr:colOff>434499</xdr:colOff>
      <xdr:row>8</xdr:row>
      <xdr:rowOff>12700</xdr:rowOff>
    </xdr:from>
    <xdr:to>
      <xdr:col>16</xdr:col>
      <xdr:colOff>989902</xdr:colOff>
      <xdr:row>8</xdr:row>
      <xdr:rowOff>387350</xdr:rowOff>
    </xdr:to>
    <xdr:sp macro="" textlink="">
      <xdr:nvSpPr>
        <xdr:cNvPr id="13280" name="Rechthoek: afgeronde hoeken 13279">
          <a:extLst>
            <a:ext uri="{FF2B5EF4-FFF2-40B4-BE49-F238E27FC236}">
              <a16:creationId xmlns:a16="http://schemas.microsoft.com/office/drawing/2014/main" id="{1DD409B9-C5FD-A280-F245-64B0E0CE9553}"/>
            </a:ext>
          </a:extLst>
        </xdr:cNvPr>
        <xdr:cNvSpPr/>
      </xdr:nvSpPr>
      <xdr:spPr>
        <a:xfrm>
          <a:off x="15531624" y="3213100"/>
          <a:ext cx="2822353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J2, Intervention rééducation part-6
14:11-15:26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16</xdr:col>
      <xdr:colOff>989901</xdr:colOff>
      <xdr:row>8</xdr:row>
      <xdr:rowOff>12700</xdr:rowOff>
    </xdr:from>
    <xdr:to>
      <xdr:col>19</xdr:col>
      <xdr:colOff>479837</xdr:colOff>
      <xdr:row>8</xdr:row>
      <xdr:rowOff>387350</xdr:rowOff>
    </xdr:to>
    <xdr:sp macro="" textlink="">
      <xdr:nvSpPr>
        <xdr:cNvPr id="13281" name="Rechthoek: afgeronde hoeken 13280">
          <a:extLst>
            <a:ext uri="{FF2B5EF4-FFF2-40B4-BE49-F238E27FC236}">
              <a16:creationId xmlns:a16="http://schemas.microsoft.com/office/drawing/2014/main" id="{C7FA5928-BBD8-8749-B08B-50F530B95ADA}"/>
            </a:ext>
          </a:extLst>
        </xdr:cNvPr>
        <xdr:cNvSpPr/>
      </xdr:nvSpPr>
      <xdr:spPr>
        <a:xfrm>
          <a:off x="18353976" y="3213100"/>
          <a:ext cx="2890361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J2, Abdomen et pelvis 2 
15:26-16:42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19</xdr:col>
      <xdr:colOff>479837</xdr:colOff>
      <xdr:row>8</xdr:row>
      <xdr:rowOff>12700</xdr:rowOff>
    </xdr:from>
    <xdr:to>
      <xdr:col>21</xdr:col>
      <xdr:colOff>1133474</xdr:colOff>
      <xdr:row>8</xdr:row>
      <xdr:rowOff>387350</xdr:rowOff>
    </xdr:to>
    <xdr:sp macro="" textlink="">
      <xdr:nvSpPr>
        <xdr:cNvPr id="13282" name="Rechthoek: afgeronde hoeken 13281">
          <a:extLst>
            <a:ext uri="{FF2B5EF4-FFF2-40B4-BE49-F238E27FC236}">
              <a16:creationId xmlns:a16="http://schemas.microsoft.com/office/drawing/2014/main" id="{5C598789-E39E-2C6E-13A6-E2CC706C6F62}"/>
            </a:ext>
          </a:extLst>
        </xdr:cNvPr>
        <xdr:cNvSpPr/>
      </xdr:nvSpPr>
      <xdr:spPr>
        <a:xfrm>
          <a:off x="21244337" y="3213100"/>
          <a:ext cx="2920587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J2, Thorax
16:42-08:06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9</xdr:row>
      <xdr:rowOff>12700</xdr:rowOff>
    </xdr:from>
    <xdr:to>
      <xdr:col>2</xdr:col>
      <xdr:colOff>241808</xdr:colOff>
      <xdr:row>9</xdr:row>
      <xdr:rowOff>387350</xdr:rowOff>
    </xdr:to>
    <xdr:sp macro="" textlink="">
      <xdr:nvSpPr>
        <xdr:cNvPr id="13283" name="Rechthoek: afgeronde hoeken 13282">
          <a:extLst>
            <a:ext uri="{FF2B5EF4-FFF2-40B4-BE49-F238E27FC236}">
              <a16:creationId xmlns:a16="http://schemas.microsoft.com/office/drawing/2014/main" id="{C460A694-3E47-1C5C-F52D-DCB10A02F73C}"/>
            </a:ext>
          </a:extLst>
        </xdr:cNvPr>
        <xdr:cNvSpPr/>
      </xdr:nvSpPr>
      <xdr:spPr>
        <a:xfrm>
          <a:off x="1495425" y="3613150"/>
          <a:ext cx="241808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J2, Thorax
16:42-08:06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241808</xdr:colOff>
      <xdr:row>9</xdr:row>
      <xdr:rowOff>12700</xdr:rowOff>
    </xdr:from>
    <xdr:to>
      <xdr:col>5</xdr:col>
      <xdr:colOff>275812</xdr:colOff>
      <xdr:row>9</xdr:row>
      <xdr:rowOff>387350</xdr:rowOff>
    </xdr:to>
    <xdr:sp macro="" textlink="">
      <xdr:nvSpPr>
        <xdr:cNvPr id="13284" name="Rechthoek: afgeronde hoeken 13283">
          <a:extLst>
            <a:ext uri="{FF2B5EF4-FFF2-40B4-BE49-F238E27FC236}">
              <a16:creationId xmlns:a16="http://schemas.microsoft.com/office/drawing/2014/main" id="{09FE6551-9E3B-5494-134C-990EC9BB57B3}"/>
            </a:ext>
          </a:extLst>
        </xdr:cNvPr>
        <xdr:cNvSpPr/>
      </xdr:nvSpPr>
      <xdr:spPr>
        <a:xfrm>
          <a:off x="1737233" y="3613150"/>
          <a:ext cx="3434429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J2, Propriétés électroniques des liaisons chimiques
08:06-09:37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275812</xdr:colOff>
      <xdr:row>9</xdr:row>
      <xdr:rowOff>12700</xdr:rowOff>
    </xdr:from>
    <xdr:to>
      <xdr:col>8</xdr:col>
      <xdr:colOff>479838</xdr:colOff>
      <xdr:row>9</xdr:row>
      <xdr:rowOff>387350</xdr:rowOff>
    </xdr:to>
    <xdr:sp macro="" textlink="">
      <xdr:nvSpPr>
        <xdr:cNvPr id="13285" name="Rechthoek: afgeronde hoeken 13284">
          <a:extLst>
            <a:ext uri="{FF2B5EF4-FFF2-40B4-BE49-F238E27FC236}">
              <a16:creationId xmlns:a16="http://schemas.microsoft.com/office/drawing/2014/main" id="{1BCAA16B-BBBA-A263-06BE-2EC9821575C8}"/>
            </a:ext>
          </a:extLst>
        </xdr:cNvPr>
        <xdr:cNvSpPr/>
      </xdr:nvSpPr>
      <xdr:spPr>
        <a:xfrm>
          <a:off x="5171662" y="3613150"/>
          <a:ext cx="3604451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J2, intro: référence et particularité
09:37-11:12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8</xdr:col>
      <xdr:colOff>479837</xdr:colOff>
      <xdr:row>9</xdr:row>
      <xdr:rowOff>12700</xdr:rowOff>
    </xdr:from>
    <xdr:to>
      <xdr:col>9</xdr:col>
      <xdr:colOff>1131585</xdr:colOff>
      <xdr:row>9</xdr:row>
      <xdr:rowOff>387350</xdr:rowOff>
    </xdr:to>
    <xdr:sp macro="" textlink="">
      <xdr:nvSpPr>
        <xdr:cNvPr id="13286" name="Rechthoek: afgeronde hoeken 13285">
          <a:extLst>
            <a:ext uri="{FF2B5EF4-FFF2-40B4-BE49-F238E27FC236}">
              <a16:creationId xmlns:a16="http://schemas.microsoft.com/office/drawing/2014/main" id="{24E6DCAB-88C1-A8DC-2B70-CA197C464FAA}"/>
            </a:ext>
          </a:extLst>
        </xdr:cNvPr>
        <xdr:cNvSpPr/>
      </xdr:nvSpPr>
      <xdr:spPr>
        <a:xfrm>
          <a:off x="8776112" y="3613150"/>
          <a:ext cx="1785223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J6, Intervention rééducation part-1 
11:12-11:59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9</xdr:col>
      <xdr:colOff>1131586</xdr:colOff>
      <xdr:row>9</xdr:row>
      <xdr:rowOff>12700</xdr:rowOff>
    </xdr:from>
    <xdr:to>
      <xdr:col>12</xdr:col>
      <xdr:colOff>111459</xdr:colOff>
      <xdr:row>9</xdr:row>
      <xdr:rowOff>387350</xdr:rowOff>
    </xdr:to>
    <xdr:sp macro="" textlink="">
      <xdr:nvSpPr>
        <xdr:cNvPr id="13287" name="Rechthoek: afgeronde hoeken 13286">
          <a:extLst>
            <a:ext uri="{FF2B5EF4-FFF2-40B4-BE49-F238E27FC236}">
              <a16:creationId xmlns:a16="http://schemas.microsoft.com/office/drawing/2014/main" id="{4C5AC8CF-7376-439C-4DE2-1452322F8703}"/>
            </a:ext>
          </a:extLst>
        </xdr:cNvPr>
        <xdr:cNvSpPr/>
      </xdr:nvSpPr>
      <xdr:spPr>
        <a:xfrm>
          <a:off x="10561336" y="3613150"/>
          <a:ext cx="2380298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J2, Thermodynamique 
11:59-13:02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12</xdr:col>
      <xdr:colOff>111458</xdr:colOff>
      <xdr:row>9</xdr:row>
      <xdr:rowOff>12700</xdr:rowOff>
    </xdr:from>
    <xdr:to>
      <xdr:col>15</xdr:col>
      <xdr:colOff>383492</xdr:colOff>
      <xdr:row>9</xdr:row>
      <xdr:rowOff>387350</xdr:rowOff>
    </xdr:to>
    <xdr:sp macro="" textlink="">
      <xdr:nvSpPr>
        <xdr:cNvPr id="13288" name="Rechthoek: afgeronde hoeken 13287">
          <a:extLst>
            <a:ext uri="{FF2B5EF4-FFF2-40B4-BE49-F238E27FC236}">
              <a16:creationId xmlns:a16="http://schemas.microsoft.com/office/drawing/2014/main" id="{8713080E-EF2C-0F3D-1FE8-88E87BDBE238}"/>
            </a:ext>
          </a:extLst>
        </xdr:cNvPr>
        <xdr:cNvSpPr/>
      </xdr:nvSpPr>
      <xdr:spPr>
        <a:xfrm>
          <a:off x="12941633" y="3613150"/>
          <a:ext cx="3672459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J2, Intervention rééducation part-3
13:02-14:40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15</xdr:col>
      <xdr:colOff>383493</xdr:colOff>
      <xdr:row>9</xdr:row>
      <xdr:rowOff>12700</xdr:rowOff>
    </xdr:from>
    <xdr:to>
      <xdr:col>18</xdr:col>
      <xdr:colOff>757540</xdr:colOff>
      <xdr:row>9</xdr:row>
      <xdr:rowOff>387350</xdr:rowOff>
    </xdr:to>
    <xdr:sp macro="" textlink="">
      <xdr:nvSpPr>
        <xdr:cNvPr id="13289" name="Rechthoek: afgeronde hoeken 13288">
          <a:extLst>
            <a:ext uri="{FF2B5EF4-FFF2-40B4-BE49-F238E27FC236}">
              <a16:creationId xmlns:a16="http://schemas.microsoft.com/office/drawing/2014/main" id="{851F614E-F0FE-EB7C-4677-7EFC1598B4BC}"/>
            </a:ext>
          </a:extLst>
        </xdr:cNvPr>
        <xdr:cNvSpPr/>
      </xdr:nvSpPr>
      <xdr:spPr>
        <a:xfrm>
          <a:off x="16614093" y="3613150"/>
          <a:ext cx="3774472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J2, Protéines 
14:40-16:20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18</xdr:col>
      <xdr:colOff>757540</xdr:colOff>
      <xdr:row>9</xdr:row>
      <xdr:rowOff>12700</xdr:rowOff>
    </xdr:from>
    <xdr:to>
      <xdr:col>19</xdr:col>
      <xdr:colOff>349489</xdr:colOff>
      <xdr:row>9</xdr:row>
      <xdr:rowOff>387350</xdr:rowOff>
    </xdr:to>
    <xdr:sp macro="" textlink="">
      <xdr:nvSpPr>
        <xdr:cNvPr id="13290" name="Rechthoek: afgeronde hoeken 13289">
          <a:extLst>
            <a:ext uri="{FF2B5EF4-FFF2-40B4-BE49-F238E27FC236}">
              <a16:creationId xmlns:a16="http://schemas.microsoft.com/office/drawing/2014/main" id="{1B8E8374-FD06-07CC-7232-CAE6CC826E99}"/>
            </a:ext>
          </a:extLst>
        </xdr:cNvPr>
        <xdr:cNvSpPr/>
      </xdr:nvSpPr>
      <xdr:spPr>
        <a:xfrm>
          <a:off x="20388565" y="3613150"/>
          <a:ext cx="725424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J10, Répercussion sociétales et empowerment 
16:20-16:39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19</xdr:col>
      <xdr:colOff>349489</xdr:colOff>
      <xdr:row>9</xdr:row>
      <xdr:rowOff>12700</xdr:rowOff>
    </xdr:from>
    <xdr:to>
      <xdr:col>21</xdr:col>
      <xdr:colOff>122794</xdr:colOff>
      <xdr:row>9</xdr:row>
      <xdr:rowOff>387350</xdr:rowOff>
    </xdr:to>
    <xdr:sp macro="" textlink="">
      <xdr:nvSpPr>
        <xdr:cNvPr id="13291" name="Rechthoek: afgeronde hoeken 13290">
          <a:extLst>
            <a:ext uri="{FF2B5EF4-FFF2-40B4-BE49-F238E27FC236}">
              <a16:creationId xmlns:a16="http://schemas.microsoft.com/office/drawing/2014/main" id="{F234F3A4-3335-2FAD-8DF4-7278656425A6}"/>
            </a:ext>
          </a:extLst>
        </xdr:cNvPr>
        <xdr:cNvSpPr/>
      </xdr:nvSpPr>
      <xdr:spPr>
        <a:xfrm>
          <a:off x="21113989" y="3613150"/>
          <a:ext cx="2040255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J0, Intervention rééducation part-4
16:39-17:33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21</xdr:col>
      <xdr:colOff>122793</xdr:colOff>
      <xdr:row>9</xdr:row>
      <xdr:rowOff>12700</xdr:rowOff>
    </xdr:from>
    <xdr:to>
      <xdr:col>22</xdr:col>
      <xdr:colOff>0</xdr:colOff>
      <xdr:row>9</xdr:row>
      <xdr:rowOff>387350</xdr:rowOff>
    </xdr:to>
    <xdr:sp macro="" textlink="">
      <xdr:nvSpPr>
        <xdr:cNvPr id="13292" name="Rechthoek: afgeronde hoeken 13291">
          <a:extLst>
            <a:ext uri="{FF2B5EF4-FFF2-40B4-BE49-F238E27FC236}">
              <a16:creationId xmlns:a16="http://schemas.microsoft.com/office/drawing/2014/main" id="{9D34BA25-13FA-3C5A-5BA3-A97D2A10DCFB}"/>
            </a:ext>
          </a:extLst>
        </xdr:cNvPr>
        <xdr:cNvSpPr/>
      </xdr:nvSpPr>
      <xdr:spPr>
        <a:xfrm>
          <a:off x="23154243" y="3613150"/>
          <a:ext cx="1010682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J0, Elément introductif en santé publique
17:33-08:36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10</xdr:row>
      <xdr:rowOff>12700</xdr:rowOff>
    </xdr:from>
    <xdr:to>
      <xdr:col>3</xdr:col>
      <xdr:colOff>236141</xdr:colOff>
      <xdr:row>10</xdr:row>
      <xdr:rowOff>387350</xdr:rowOff>
    </xdr:to>
    <xdr:sp macro="" textlink="">
      <xdr:nvSpPr>
        <xdr:cNvPr id="13293" name="Rechthoek: afgeronde hoeken 13292">
          <a:extLst>
            <a:ext uri="{FF2B5EF4-FFF2-40B4-BE49-F238E27FC236}">
              <a16:creationId xmlns:a16="http://schemas.microsoft.com/office/drawing/2014/main" id="{7CB7AAEF-845E-EAF2-8B67-9C20F275BF88}"/>
            </a:ext>
          </a:extLst>
        </xdr:cNvPr>
        <xdr:cNvSpPr/>
      </xdr:nvSpPr>
      <xdr:spPr>
        <a:xfrm>
          <a:off x="1495425" y="4013200"/>
          <a:ext cx="1369616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J0, Elément introductif en santé publique
17:33-08:36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236141</xdr:colOff>
      <xdr:row>10</xdr:row>
      <xdr:rowOff>12700</xdr:rowOff>
    </xdr:from>
    <xdr:to>
      <xdr:col>4</xdr:col>
      <xdr:colOff>258811</xdr:colOff>
      <xdr:row>10</xdr:row>
      <xdr:rowOff>387350</xdr:rowOff>
    </xdr:to>
    <xdr:sp macro="" textlink="">
      <xdr:nvSpPr>
        <xdr:cNvPr id="13294" name="Rechthoek: afgeronde hoeken 13293">
          <a:extLst>
            <a:ext uri="{FF2B5EF4-FFF2-40B4-BE49-F238E27FC236}">
              <a16:creationId xmlns:a16="http://schemas.microsoft.com/office/drawing/2014/main" id="{51B96E0E-0A30-0E51-02EA-0487E06C5B4C}"/>
            </a:ext>
          </a:extLst>
        </xdr:cNvPr>
        <xdr:cNvSpPr/>
      </xdr:nvSpPr>
      <xdr:spPr>
        <a:xfrm>
          <a:off x="2865041" y="4013200"/>
          <a:ext cx="1156145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J10, épidémiologie descriptive
08:36-09:06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4</xdr:col>
      <xdr:colOff>258810</xdr:colOff>
      <xdr:row>10</xdr:row>
      <xdr:rowOff>12700</xdr:rowOff>
    </xdr:from>
    <xdr:to>
      <xdr:col>5</xdr:col>
      <xdr:colOff>916225</xdr:colOff>
      <xdr:row>10</xdr:row>
      <xdr:rowOff>387350</xdr:rowOff>
    </xdr:to>
    <xdr:sp macro="" textlink="">
      <xdr:nvSpPr>
        <xdr:cNvPr id="13295" name="Rechthoek: afgeronde hoeken 13294">
          <a:extLst>
            <a:ext uri="{FF2B5EF4-FFF2-40B4-BE49-F238E27FC236}">
              <a16:creationId xmlns:a16="http://schemas.microsoft.com/office/drawing/2014/main" id="{0AC5C43E-0FDF-8705-6CFB-2A2DA73DBCE8}"/>
            </a:ext>
          </a:extLst>
        </xdr:cNvPr>
        <xdr:cNvSpPr/>
      </xdr:nvSpPr>
      <xdr:spPr>
        <a:xfrm>
          <a:off x="4021185" y="4013200"/>
          <a:ext cx="1790890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J10, Économie du système de santé
09:06-09:54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916225</xdr:colOff>
      <xdr:row>10</xdr:row>
      <xdr:rowOff>12700</xdr:rowOff>
    </xdr:from>
    <xdr:to>
      <xdr:col>7</xdr:col>
      <xdr:colOff>734869</xdr:colOff>
      <xdr:row>10</xdr:row>
      <xdr:rowOff>387350</xdr:rowOff>
    </xdr:to>
    <xdr:sp macro="" textlink="">
      <xdr:nvSpPr>
        <xdr:cNvPr id="13296" name="Rechthoek: afgeronde hoeken 13295">
          <a:extLst>
            <a:ext uri="{FF2B5EF4-FFF2-40B4-BE49-F238E27FC236}">
              <a16:creationId xmlns:a16="http://schemas.microsoft.com/office/drawing/2014/main" id="{C5BBE3C5-4755-9492-B2DA-FA92B9D4689E}"/>
            </a:ext>
          </a:extLst>
        </xdr:cNvPr>
        <xdr:cNvSpPr/>
      </xdr:nvSpPr>
      <xdr:spPr>
        <a:xfrm>
          <a:off x="5812075" y="4013200"/>
          <a:ext cx="2085594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J10, Abdomen et pelvis 1
09:54-10:49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7</xdr:col>
      <xdr:colOff>734870</xdr:colOff>
      <xdr:row>10</xdr:row>
      <xdr:rowOff>12700</xdr:rowOff>
    </xdr:from>
    <xdr:to>
      <xdr:col>9</xdr:col>
      <xdr:colOff>1029574</xdr:colOff>
      <xdr:row>10</xdr:row>
      <xdr:rowOff>387350</xdr:rowOff>
    </xdr:to>
    <xdr:sp macro="" textlink="">
      <xdr:nvSpPr>
        <xdr:cNvPr id="13297" name="Rechthoek: afgeronde hoeken 13296">
          <a:extLst>
            <a:ext uri="{FF2B5EF4-FFF2-40B4-BE49-F238E27FC236}">
              <a16:creationId xmlns:a16="http://schemas.microsoft.com/office/drawing/2014/main" id="{E266823A-14F1-C6E0-8093-84329AC16B8A}"/>
            </a:ext>
          </a:extLst>
        </xdr:cNvPr>
        <xdr:cNvSpPr/>
      </xdr:nvSpPr>
      <xdr:spPr>
        <a:xfrm>
          <a:off x="7897670" y="4013200"/>
          <a:ext cx="2561654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J10, Synthèse tampons, Diagramme de Davenport
10:49-11:57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9</xdr:col>
      <xdr:colOff>1029573</xdr:colOff>
      <xdr:row>10</xdr:row>
      <xdr:rowOff>12700</xdr:rowOff>
    </xdr:from>
    <xdr:to>
      <xdr:col>11</xdr:col>
      <xdr:colOff>462836</xdr:colOff>
      <xdr:row>10</xdr:row>
      <xdr:rowOff>387350</xdr:rowOff>
    </xdr:to>
    <xdr:sp macro="" textlink="">
      <xdr:nvSpPr>
        <xdr:cNvPr id="13298" name="Rechthoek: afgeronde hoeken 13297">
          <a:extLst>
            <a:ext uri="{FF2B5EF4-FFF2-40B4-BE49-F238E27FC236}">
              <a16:creationId xmlns:a16="http://schemas.microsoft.com/office/drawing/2014/main" id="{7549185B-87EF-911F-3AD1-57E32A85DB40}"/>
            </a:ext>
          </a:extLst>
        </xdr:cNvPr>
        <xdr:cNvSpPr/>
      </xdr:nvSpPr>
      <xdr:spPr>
        <a:xfrm>
          <a:off x="10459323" y="4013200"/>
          <a:ext cx="1700213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J0, Membre inférieur 3
11:57-12:42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11</xdr:col>
      <xdr:colOff>462835</xdr:colOff>
      <xdr:row>10</xdr:row>
      <xdr:rowOff>12700</xdr:rowOff>
    </xdr:from>
    <xdr:to>
      <xdr:col>13</xdr:col>
      <xdr:colOff>613965</xdr:colOff>
      <xdr:row>10</xdr:row>
      <xdr:rowOff>387350</xdr:rowOff>
    </xdr:to>
    <xdr:sp macro="" textlink="">
      <xdr:nvSpPr>
        <xdr:cNvPr id="13299" name="Rechthoek: afgeronde hoeken 13298">
          <a:extLst>
            <a:ext uri="{FF2B5EF4-FFF2-40B4-BE49-F238E27FC236}">
              <a16:creationId xmlns:a16="http://schemas.microsoft.com/office/drawing/2014/main" id="{F2202B79-6C78-F01F-093A-224C0126D2F9}"/>
            </a:ext>
          </a:extLst>
        </xdr:cNvPr>
        <xdr:cNvSpPr/>
      </xdr:nvSpPr>
      <xdr:spPr>
        <a:xfrm>
          <a:off x="12159535" y="4013200"/>
          <a:ext cx="2418080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J0, Outils mathématique 
12:42-13:46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13</xdr:col>
      <xdr:colOff>613966</xdr:colOff>
      <xdr:row>10</xdr:row>
      <xdr:rowOff>12700</xdr:rowOff>
    </xdr:from>
    <xdr:to>
      <xdr:col>16</xdr:col>
      <xdr:colOff>500619</xdr:colOff>
      <xdr:row>10</xdr:row>
      <xdr:rowOff>387350</xdr:rowOff>
    </xdr:to>
    <xdr:sp macro="" textlink="">
      <xdr:nvSpPr>
        <xdr:cNvPr id="13300" name="Rechthoek: afgeronde hoeken 13299">
          <a:extLst>
            <a:ext uri="{FF2B5EF4-FFF2-40B4-BE49-F238E27FC236}">
              <a16:creationId xmlns:a16="http://schemas.microsoft.com/office/drawing/2014/main" id="{FAE5E426-2F25-7C7D-06E0-47FC2C27AC14}"/>
            </a:ext>
          </a:extLst>
        </xdr:cNvPr>
        <xdr:cNvSpPr/>
      </xdr:nvSpPr>
      <xdr:spPr>
        <a:xfrm>
          <a:off x="14577616" y="4013200"/>
          <a:ext cx="3287078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J0, Mutations 
13:46-15:13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16</xdr:col>
      <xdr:colOff>500618</xdr:colOff>
      <xdr:row>10</xdr:row>
      <xdr:rowOff>12700</xdr:rowOff>
    </xdr:from>
    <xdr:to>
      <xdr:col>19</xdr:col>
      <xdr:colOff>576183</xdr:colOff>
      <xdr:row>10</xdr:row>
      <xdr:rowOff>387350</xdr:rowOff>
    </xdr:to>
    <xdr:sp macro="" textlink="">
      <xdr:nvSpPr>
        <xdr:cNvPr id="13301" name="Rechthoek: afgeronde hoeken 13300">
          <a:extLst>
            <a:ext uri="{FF2B5EF4-FFF2-40B4-BE49-F238E27FC236}">
              <a16:creationId xmlns:a16="http://schemas.microsoft.com/office/drawing/2014/main" id="{826A8BE8-6882-9E36-426C-0DBE2443A2A6}"/>
            </a:ext>
          </a:extLst>
        </xdr:cNvPr>
        <xdr:cNvSpPr/>
      </xdr:nvSpPr>
      <xdr:spPr>
        <a:xfrm>
          <a:off x="17864693" y="4013200"/>
          <a:ext cx="3475990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J0, La composition des membranes cellulaire
15:13-16:45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11</xdr:row>
      <xdr:rowOff>12700</xdr:rowOff>
    </xdr:from>
    <xdr:to>
      <xdr:col>3</xdr:col>
      <xdr:colOff>702755</xdr:colOff>
      <xdr:row>11</xdr:row>
      <xdr:rowOff>387350</xdr:rowOff>
    </xdr:to>
    <xdr:sp macro="" textlink="">
      <xdr:nvSpPr>
        <xdr:cNvPr id="13302" name="Rechthoek: afgeronde hoeken 13301">
          <a:extLst>
            <a:ext uri="{FF2B5EF4-FFF2-40B4-BE49-F238E27FC236}">
              <a16:creationId xmlns:a16="http://schemas.microsoft.com/office/drawing/2014/main" id="{601CCCEC-0DFE-26D2-80BD-AF8995150A9C}"/>
            </a:ext>
          </a:extLst>
        </xdr:cNvPr>
        <xdr:cNvSpPr/>
      </xdr:nvSpPr>
      <xdr:spPr>
        <a:xfrm>
          <a:off x="1495425" y="4413250"/>
          <a:ext cx="1836230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J2, Intervention rééducation part-4
08:00-08:48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702754</xdr:colOff>
      <xdr:row>11</xdr:row>
      <xdr:rowOff>12700</xdr:rowOff>
    </xdr:from>
    <xdr:to>
      <xdr:col>5</xdr:col>
      <xdr:colOff>578072</xdr:colOff>
      <xdr:row>11</xdr:row>
      <xdr:rowOff>387350</xdr:rowOff>
    </xdr:to>
    <xdr:sp macro="" textlink="">
      <xdr:nvSpPr>
        <xdr:cNvPr id="13303" name="Rechthoek: afgeronde hoeken 13302">
          <a:extLst>
            <a:ext uri="{FF2B5EF4-FFF2-40B4-BE49-F238E27FC236}">
              <a16:creationId xmlns:a16="http://schemas.microsoft.com/office/drawing/2014/main" id="{A368BF36-C415-925D-014F-0CD29B8BD5E9}"/>
            </a:ext>
          </a:extLst>
        </xdr:cNvPr>
        <xdr:cNvSpPr/>
      </xdr:nvSpPr>
      <xdr:spPr>
        <a:xfrm>
          <a:off x="3331654" y="4413250"/>
          <a:ext cx="2142268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J2, Elément introductif en santé publique
08:48-09:45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578072</xdr:colOff>
      <xdr:row>11</xdr:row>
      <xdr:rowOff>12700</xdr:rowOff>
    </xdr:from>
    <xdr:to>
      <xdr:col>6</xdr:col>
      <xdr:colOff>940784</xdr:colOff>
      <xdr:row>11</xdr:row>
      <xdr:rowOff>387350</xdr:rowOff>
    </xdr:to>
    <xdr:sp macro="" textlink="">
      <xdr:nvSpPr>
        <xdr:cNvPr id="13304" name="Rechthoek: afgeronde hoeken 13303">
          <a:extLst>
            <a:ext uri="{FF2B5EF4-FFF2-40B4-BE49-F238E27FC236}">
              <a16:creationId xmlns:a16="http://schemas.microsoft.com/office/drawing/2014/main" id="{35B3F8F3-2EEA-4EA5-2D7F-F96C3B44B294}"/>
            </a:ext>
          </a:extLst>
        </xdr:cNvPr>
        <xdr:cNvSpPr/>
      </xdr:nvSpPr>
      <xdr:spPr>
        <a:xfrm>
          <a:off x="5473922" y="4413250"/>
          <a:ext cx="1496187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J10, Thermorégulation
09:45-10:24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6</xdr:col>
      <xdr:colOff>940784</xdr:colOff>
      <xdr:row>11</xdr:row>
      <xdr:rowOff>12700</xdr:rowOff>
    </xdr:from>
    <xdr:to>
      <xdr:col>8</xdr:col>
      <xdr:colOff>940784</xdr:colOff>
      <xdr:row>11</xdr:row>
      <xdr:rowOff>387350</xdr:rowOff>
    </xdr:to>
    <xdr:sp macro="" textlink="">
      <xdr:nvSpPr>
        <xdr:cNvPr id="13305" name="Rechthoek: afgeronde hoeken 13304">
          <a:extLst>
            <a:ext uri="{FF2B5EF4-FFF2-40B4-BE49-F238E27FC236}">
              <a16:creationId xmlns:a16="http://schemas.microsoft.com/office/drawing/2014/main" id="{B620BAB0-CF39-9209-07D9-D3D643F921F0}"/>
            </a:ext>
          </a:extLst>
        </xdr:cNvPr>
        <xdr:cNvSpPr/>
      </xdr:nvSpPr>
      <xdr:spPr>
        <a:xfrm>
          <a:off x="6970109" y="4413250"/>
          <a:ext cx="2266950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J10, Potentiel électrochimique 
10:24-11:24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8</xdr:col>
      <xdr:colOff>940784</xdr:colOff>
      <xdr:row>11</xdr:row>
      <xdr:rowOff>12700</xdr:rowOff>
    </xdr:from>
    <xdr:to>
      <xdr:col>10</xdr:col>
      <xdr:colOff>1054132</xdr:colOff>
      <xdr:row>11</xdr:row>
      <xdr:rowOff>387350</xdr:rowOff>
    </xdr:to>
    <xdr:sp macro="" textlink="">
      <xdr:nvSpPr>
        <xdr:cNvPr id="13306" name="Rechthoek: afgeronde hoeken 13305">
          <a:extLst>
            <a:ext uri="{FF2B5EF4-FFF2-40B4-BE49-F238E27FC236}">
              <a16:creationId xmlns:a16="http://schemas.microsoft.com/office/drawing/2014/main" id="{5282BF15-35B0-ED34-B8BA-34206AB4789E}"/>
            </a:ext>
          </a:extLst>
        </xdr:cNvPr>
        <xdr:cNvSpPr/>
      </xdr:nvSpPr>
      <xdr:spPr>
        <a:xfrm>
          <a:off x="9237059" y="4413250"/>
          <a:ext cx="2380298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J10, intro: mouvements
11:24-12:27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12</xdr:row>
      <xdr:rowOff>12700</xdr:rowOff>
    </xdr:from>
    <xdr:to>
      <xdr:col>3</xdr:col>
      <xdr:colOff>821769</xdr:colOff>
      <xdr:row>12</xdr:row>
      <xdr:rowOff>387350</xdr:rowOff>
    </xdr:to>
    <xdr:sp macro="" textlink="">
      <xdr:nvSpPr>
        <xdr:cNvPr id="13307" name="Rechthoek: afgeronde hoeken 13306">
          <a:extLst>
            <a:ext uri="{FF2B5EF4-FFF2-40B4-BE49-F238E27FC236}">
              <a16:creationId xmlns:a16="http://schemas.microsoft.com/office/drawing/2014/main" id="{B887724C-B204-4344-EFF7-6913A0FB1FAE}"/>
            </a:ext>
          </a:extLst>
        </xdr:cNvPr>
        <xdr:cNvSpPr/>
      </xdr:nvSpPr>
      <xdr:spPr>
        <a:xfrm>
          <a:off x="1495425" y="4813300"/>
          <a:ext cx="1955244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J6, Législation handicap 
08:00-08:51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821769</xdr:colOff>
      <xdr:row>12</xdr:row>
      <xdr:rowOff>12700</xdr:rowOff>
    </xdr:from>
    <xdr:to>
      <xdr:col>5</xdr:col>
      <xdr:colOff>765095</xdr:colOff>
      <xdr:row>12</xdr:row>
      <xdr:rowOff>387350</xdr:rowOff>
    </xdr:to>
    <xdr:sp macro="" textlink="">
      <xdr:nvSpPr>
        <xdr:cNvPr id="13308" name="Rechthoek: afgeronde hoeken 13307">
          <a:extLst>
            <a:ext uri="{FF2B5EF4-FFF2-40B4-BE49-F238E27FC236}">
              <a16:creationId xmlns:a16="http://schemas.microsoft.com/office/drawing/2014/main" id="{7E8E2922-E045-A817-9668-836D1B07F290}"/>
            </a:ext>
          </a:extLst>
        </xdr:cNvPr>
        <xdr:cNvSpPr/>
      </xdr:nvSpPr>
      <xdr:spPr>
        <a:xfrm>
          <a:off x="3450669" y="4813300"/>
          <a:ext cx="2210276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J6, Dérivés d'acides carboxylique- AG 
08:51-09:50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765096</xdr:colOff>
      <xdr:row>12</xdr:row>
      <xdr:rowOff>12700</xdr:rowOff>
    </xdr:from>
    <xdr:to>
      <xdr:col>7</xdr:col>
      <xdr:colOff>850107</xdr:colOff>
      <xdr:row>12</xdr:row>
      <xdr:rowOff>387350</xdr:rowOff>
    </xdr:to>
    <xdr:sp macro="" textlink="">
      <xdr:nvSpPr>
        <xdr:cNvPr id="13309" name="Rechthoek: afgeronde hoeken 13308">
          <a:extLst>
            <a:ext uri="{FF2B5EF4-FFF2-40B4-BE49-F238E27FC236}">
              <a16:creationId xmlns:a16="http://schemas.microsoft.com/office/drawing/2014/main" id="{E73A694C-7A77-830D-B0EE-9160ECB07B0B}"/>
            </a:ext>
          </a:extLst>
        </xdr:cNvPr>
        <xdr:cNvSpPr/>
      </xdr:nvSpPr>
      <xdr:spPr>
        <a:xfrm>
          <a:off x="5660946" y="4813300"/>
          <a:ext cx="2351961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J6, Intervention rééducation part-6
09:50-10:52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7</xdr:col>
      <xdr:colOff>850106</xdr:colOff>
      <xdr:row>12</xdr:row>
      <xdr:rowOff>12700</xdr:rowOff>
    </xdr:from>
    <xdr:to>
      <xdr:col>9</xdr:col>
      <xdr:colOff>991790</xdr:colOff>
      <xdr:row>12</xdr:row>
      <xdr:rowOff>387350</xdr:rowOff>
    </xdr:to>
    <xdr:sp macro="" textlink="">
      <xdr:nvSpPr>
        <xdr:cNvPr id="13310" name="Rechthoek: afgeronde hoeken 13309">
          <a:extLst>
            <a:ext uri="{FF2B5EF4-FFF2-40B4-BE49-F238E27FC236}">
              <a16:creationId xmlns:a16="http://schemas.microsoft.com/office/drawing/2014/main" id="{47574C56-8E43-D015-ACA4-CDDE1F2D0847}"/>
            </a:ext>
          </a:extLst>
        </xdr:cNvPr>
        <xdr:cNvSpPr/>
      </xdr:nvSpPr>
      <xdr:spPr>
        <a:xfrm>
          <a:off x="8012906" y="4813300"/>
          <a:ext cx="2408634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J6, Abdomen et pelvis 2 
10:52-11:56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9</xdr:col>
      <xdr:colOff>991791</xdr:colOff>
      <xdr:row>12</xdr:row>
      <xdr:rowOff>12700</xdr:rowOff>
    </xdr:from>
    <xdr:to>
      <xdr:col>12</xdr:col>
      <xdr:colOff>226695</xdr:colOff>
      <xdr:row>12</xdr:row>
      <xdr:rowOff>387350</xdr:rowOff>
    </xdr:to>
    <xdr:sp macro="" textlink="">
      <xdr:nvSpPr>
        <xdr:cNvPr id="13311" name="Rechthoek: afgeronde hoeken 13310">
          <a:extLst>
            <a:ext uri="{FF2B5EF4-FFF2-40B4-BE49-F238E27FC236}">
              <a16:creationId xmlns:a16="http://schemas.microsoft.com/office/drawing/2014/main" id="{63064D7F-90E6-7484-9006-0FE9D0E5DB6E}"/>
            </a:ext>
          </a:extLst>
        </xdr:cNvPr>
        <xdr:cNvSpPr/>
      </xdr:nvSpPr>
      <xdr:spPr>
        <a:xfrm>
          <a:off x="10421541" y="4813300"/>
          <a:ext cx="2635329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J6, Thorax
11:56-13:06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12</xdr:col>
      <xdr:colOff>226695</xdr:colOff>
      <xdr:row>12</xdr:row>
      <xdr:rowOff>12700</xdr:rowOff>
    </xdr:from>
    <xdr:to>
      <xdr:col>14</xdr:col>
      <xdr:colOff>821769</xdr:colOff>
      <xdr:row>12</xdr:row>
      <xdr:rowOff>387350</xdr:rowOff>
    </xdr:to>
    <xdr:sp macro="" textlink="">
      <xdr:nvSpPr>
        <xdr:cNvPr id="13312" name="Rechthoek: afgeronde hoeken 13311">
          <a:extLst>
            <a:ext uri="{FF2B5EF4-FFF2-40B4-BE49-F238E27FC236}">
              <a16:creationId xmlns:a16="http://schemas.microsoft.com/office/drawing/2014/main" id="{289E86EA-C38F-C41C-EA44-DD54111BC329}"/>
            </a:ext>
          </a:extLst>
        </xdr:cNvPr>
        <xdr:cNvSpPr/>
      </xdr:nvSpPr>
      <xdr:spPr>
        <a:xfrm>
          <a:off x="13056870" y="4813300"/>
          <a:ext cx="2862024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J6, Propriétés électroniques des liaisons chimiques
13:06-14:21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14</xdr:col>
      <xdr:colOff>821770</xdr:colOff>
      <xdr:row>12</xdr:row>
      <xdr:rowOff>12700</xdr:rowOff>
    </xdr:from>
    <xdr:to>
      <xdr:col>17</xdr:col>
      <xdr:colOff>425054</xdr:colOff>
      <xdr:row>12</xdr:row>
      <xdr:rowOff>387350</xdr:rowOff>
    </xdr:to>
    <xdr:sp macro="" textlink="">
      <xdr:nvSpPr>
        <xdr:cNvPr id="13313" name="Rechthoek: afgeronde hoeken 13312">
          <a:extLst>
            <a:ext uri="{FF2B5EF4-FFF2-40B4-BE49-F238E27FC236}">
              <a16:creationId xmlns:a16="http://schemas.microsoft.com/office/drawing/2014/main" id="{10331DA9-3D94-C946-7A38-CFE1B34A3869}"/>
            </a:ext>
          </a:extLst>
        </xdr:cNvPr>
        <xdr:cNvSpPr/>
      </xdr:nvSpPr>
      <xdr:spPr>
        <a:xfrm>
          <a:off x="15918895" y="4813300"/>
          <a:ext cx="3003709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J6, intro: référence et particularité
14:21-15:41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17</xdr:col>
      <xdr:colOff>425053</xdr:colOff>
      <xdr:row>12</xdr:row>
      <xdr:rowOff>12700</xdr:rowOff>
    </xdr:from>
    <xdr:to>
      <xdr:col>18</xdr:col>
      <xdr:colOff>821769</xdr:colOff>
      <xdr:row>12</xdr:row>
      <xdr:rowOff>387350</xdr:rowOff>
    </xdr:to>
    <xdr:sp macro="" textlink="">
      <xdr:nvSpPr>
        <xdr:cNvPr id="13314" name="Rechthoek: afgeronde hoeken 13313">
          <a:extLst>
            <a:ext uri="{FF2B5EF4-FFF2-40B4-BE49-F238E27FC236}">
              <a16:creationId xmlns:a16="http://schemas.microsoft.com/office/drawing/2014/main" id="{1AC872A3-BFAC-B34F-C55B-5349B01BED25}"/>
            </a:ext>
          </a:extLst>
        </xdr:cNvPr>
        <xdr:cNvSpPr/>
      </xdr:nvSpPr>
      <xdr:spPr>
        <a:xfrm>
          <a:off x="18922603" y="4813300"/>
          <a:ext cx="1530191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J2, Membre inférieur 3
15:41-16:21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18</xdr:col>
      <xdr:colOff>821770</xdr:colOff>
      <xdr:row>12</xdr:row>
      <xdr:rowOff>12700</xdr:rowOff>
    </xdr:from>
    <xdr:to>
      <xdr:col>20</xdr:col>
      <xdr:colOff>731092</xdr:colOff>
      <xdr:row>12</xdr:row>
      <xdr:rowOff>387350</xdr:rowOff>
    </xdr:to>
    <xdr:sp macro="" textlink="">
      <xdr:nvSpPr>
        <xdr:cNvPr id="13315" name="Rechthoek: afgeronde hoeken 13314">
          <a:extLst>
            <a:ext uri="{FF2B5EF4-FFF2-40B4-BE49-F238E27FC236}">
              <a16:creationId xmlns:a16="http://schemas.microsoft.com/office/drawing/2014/main" id="{2ABB673A-8EF6-28C8-2370-B1ADA254A25C}"/>
            </a:ext>
          </a:extLst>
        </xdr:cNvPr>
        <xdr:cNvSpPr/>
      </xdr:nvSpPr>
      <xdr:spPr>
        <a:xfrm>
          <a:off x="20452795" y="4813300"/>
          <a:ext cx="2176272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J2, Outils mathématique 
16:21-17:19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20</xdr:col>
      <xdr:colOff>731092</xdr:colOff>
      <xdr:row>12</xdr:row>
      <xdr:rowOff>12700</xdr:rowOff>
    </xdr:from>
    <xdr:to>
      <xdr:col>22</xdr:col>
      <xdr:colOff>1</xdr:colOff>
      <xdr:row>12</xdr:row>
      <xdr:rowOff>387350</xdr:rowOff>
    </xdr:to>
    <xdr:sp macro="" textlink="">
      <xdr:nvSpPr>
        <xdr:cNvPr id="13316" name="Rechthoek: afgeronde hoeken 13315">
          <a:extLst>
            <a:ext uri="{FF2B5EF4-FFF2-40B4-BE49-F238E27FC236}">
              <a16:creationId xmlns:a16="http://schemas.microsoft.com/office/drawing/2014/main" id="{1D5890A4-CBDA-1FD1-8290-8A645C970C8D}"/>
            </a:ext>
          </a:extLst>
        </xdr:cNvPr>
        <xdr:cNvSpPr/>
      </xdr:nvSpPr>
      <xdr:spPr>
        <a:xfrm>
          <a:off x="22629067" y="4813300"/>
          <a:ext cx="1535859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J2, Mutations 
17:19-08:37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13</xdr:row>
      <xdr:rowOff>12700</xdr:rowOff>
    </xdr:from>
    <xdr:to>
      <xdr:col>3</xdr:col>
      <xdr:colOff>289036</xdr:colOff>
      <xdr:row>13</xdr:row>
      <xdr:rowOff>387350</xdr:rowOff>
    </xdr:to>
    <xdr:sp macro="" textlink="">
      <xdr:nvSpPr>
        <xdr:cNvPr id="13317" name="Rechthoek: afgeronde hoeken 13316">
          <a:extLst>
            <a:ext uri="{FF2B5EF4-FFF2-40B4-BE49-F238E27FC236}">
              <a16:creationId xmlns:a16="http://schemas.microsoft.com/office/drawing/2014/main" id="{2058B6DD-0585-943B-5E2B-B7C06990FEDE}"/>
            </a:ext>
          </a:extLst>
        </xdr:cNvPr>
        <xdr:cNvSpPr/>
      </xdr:nvSpPr>
      <xdr:spPr>
        <a:xfrm>
          <a:off x="1495425" y="5213350"/>
          <a:ext cx="1422511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J2, Mutations 
17:19-08:37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289036</xdr:colOff>
      <xdr:row>13</xdr:row>
      <xdr:rowOff>12700</xdr:rowOff>
    </xdr:from>
    <xdr:to>
      <xdr:col>6</xdr:col>
      <xdr:colOff>17002</xdr:colOff>
      <xdr:row>13</xdr:row>
      <xdr:rowOff>387350</xdr:rowOff>
    </xdr:to>
    <xdr:sp macro="" textlink="">
      <xdr:nvSpPr>
        <xdr:cNvPr id="13318" name="Rechthoek: afgeronde hoeken 13317">
          <a:extLst>
            <a:ext uri="{FF2B5EF4-FFF2-40B4-BE49-F238E27FC236}">
              <a16:creationId xmlns:a16="http://schemas.microsoft.com/office/drawing/2014/main" id="{74B64355-5885-F14B-016A-9B4E9AA09ED7}"/>
            </a:ext>
          </a:extLst>
        </xdr:cNvPr>
        <xdr:cNvSpPr/>
      </xdr:nvSpPr>
      <xdr:spPr>
        <a:xfrm>
          <a:off x="2917936" y="5213350"/>
          <a:ext cx="3128391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J2, La composition des membranes cellulaire
08:37-10:00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6</xdr:col>
      <xdr:colOff>17002</xdr:colOff>
      <xdr:row>13</xdr:row>
      <xdr:rowOff>12700</xdr:rowOff>
    </xdr:from>
    <xdr:to>
      <xdr:col>7</xdr:col>
      <xdr:colOff>867108</xdr:colOff>
      <xdr:row>13</xdr:row>
      <xdr:rowOff>387350</xdr:rowOff>
    </xdr:to>
    <xdr:sp macro="" textlink="">
      <xdr:nvSpPr>
        <xdr:cNvPr id="13319" name="Rechthoek: afgeronde hoeken 13318">
          <a:extLst>
            <a:ext uri="{FF2B5EF4-FFF2-40B4-BE49-F238E27FC236}">
              <a16:creationId xmlns:a16="http://schemas.microsoft.com/office/drawing/2014/main" id="{7A6812B6-6081-B4F5-DCDD-13FD8F0A93F0}"/>
            </a:ext>
          </a:extLst>
        </xdr:cNvPr>
        <xdr:cNvSpPr/>
      </xdr:nvSpPr>
      <xdr:spPr>
        <a:xfrm>
          <a:off x="6046327" y="5213350"/>
          <a:ext cx="1983581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J6, Thermodynamique 
10:00-10:52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7</xdr:col>
      <xdr:colOff>867108</xdr:colOff>
      <xdr:row>13</xdr:row>
      <xdr:rowOff>12700</xdr:rowOff>
    </xdr:from>
    <xdr:to>
      <xdr:col>10</xdr:col>
      <xdr:colOff>527066</xdr:colOff>
      <xdr:row>13</xdr:row>
      <xdr:rowOff>387350</xdr:rowOff>
    </xdr:to>
    <xdr:sp macro="" textlink="">
      <xdr:nvSpPr>
        <xdr:cNvPr id="13320" name="Rechthoek: afgeronde hoeken 13319">
          <a:extLst>
            <a:ext uri="{FF2B5EF4-FFF2-40B4-BE49-F238E27FC236}">
              <a16:creationId xmlns:a16="http://schemas.microsoft.com/office/drawing/2014/main" id="{51BCBAB0-739B-4CC2-7BD3-882AB43B92C0}"/>
            </a:ext>
          </a:extLst>
        </xdr:cNvPr>
        <xdr:cNvSpPr/>
      </xdr:nvSpPr>
      <xdr:spPr>
        <a:xfrm>
          <a:off x="8029908" y="5213350"/>
          <a:ext cx="3060383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J6, Intervention rééducation part-3
10:52-12:13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10</xdr:col>
      <xdr:colOff>527066</xdr:colOff>
      <xdr:row>13</xdr:row>
      <xdr:rowOff>12700</xdr:rowOff>
    </xdr:from>
    <xdr:to>
      <xdr:col>13</xdr:col>
      <xdr:colOff>272034</xdr:colOff>
      <xdr:row>13</xdr:row>
      <xdr:rowOff>387350</xdr:rowOff>
    </xdr:to>
    <xdr:sp macro="" textlink="">
      <xdr:nvSpPr>
        <xdr:cNvPr id="13321" name="Rechthoek: afgeronde hoeken 13320">
          <a:extLst>
            <a:ext uri="{FF2B5EF4-FFF2-40B4-BE49-F238E27FC236}">
              <a16:creationId xmlns:a16="http://schemas.microsoft.com/office/drawing/2014/main" id="{66F8401E-FCCA-6039-7409-DAAD6272D515}"/>
            </a:ext>
          </a:extLst>
        </xdr:cNvPr>
        <xdr:cNvSpPr/>
      </xdr:nvSpPr>
      <xdr:spPr>
        <a:xfrm>
          <a:off x="11090291" y="5213350"/>
          <a:ext cx="3145393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J6, Protéines 
12:13-13:37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13</xdr:col>
      <xdr:colOff>272035</xdr:colOff>
      <xdr:row>13</xdr:row>
      <xdr:rowOff>12700</xdr:rowOff>
    </xdr:from>
    <xdr:to>
      <xdr:col>14</xdr:col>
      <xdr:colOff>566739</xdr:colOff>
      <xdr:row>13</xdr:row>
      <xdr:rowOff>387350</xdr:rowOff>
    </xdr:to>
    <xdr:sp macro="" textlink="">
      <xdr:nvSpPr>
        <xdr:cNvPr id="13322" name="Rechthoek: afgeronde hoeken 13321">
          <a:extLst>
            <a:ext uri="{FF2B5EF4-FFF2-40B4-BE49-F238E27FC236}">
              <a16:creationId xmlns:a16="http://schemas.microsoft.com/office/drawing/2014/main" id="{07D6B1BD-F128-40AE-224F-BB330080FE5D}"/>
            </a:ext>
          </a:extLst>
        </xdr:cNvPr>
        <xdr:cNvSpPr/>
      </xdr:nvSpPr>
      <xdr:spPr>
        <a:xfrm>
          <a:off x="14235685" y="5213350"/>
          <a:ext cx="1428179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J10, Intervention rééducation part-1 
13:37-14:15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14</xdr:col>
      <xdr:colOff>566738</xdr:colOff>
      <xdr:row>13</xdr:row>
      <xdr:rowOff>12700</xdr:rowOff>
    </xdr:from>
    <xdr:to>
      <xdr:col>17</xdr:col>
      <xdr:colOff>793433</xdr:colOff>
      <xdr:row>13</xdr:row>
      <xdr:rowOff>387350</xdr:rowOff>
    </xdr:to>
    <xdr:sp macro="" textlink="">
      <xdr:nvSpPr>
        <xdr:cNvPr id="13323" name="Rechthoek: afgeronde hoeken 13322">
          <a:extLst>
            <a:ext uri="{FF2B5EF4-FFF2-40B4-BE49-F238E27FC236}">
              <a16:creationId xmlns:a16="http://schemas.microsoft.com/office/drawing/2014/main" id="{CF51DDEC-CE1A-650F-8F91-829B4196CD40}"/>
            </a:ext>
          </a:extLst>
        </xdr:cNvPr>
        <xdr:cNvSpPr/>
      </xdr:nvSpPr>
      <xdr:spPr>
        <a:xfrm>
          <a:off x="15663863" y="5213350"/>
          <a:ext cx="3627120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J0, La discipline anthropologique 
14:15-15:51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17</xdr:col>
      <xdr:colOff>793432</xdr:colOff>
      <xdr:row>13</xdr:row>
      <xdr:rowOff>12700</xdr:rowOff>
    </xdr:from>
    <xdr:to>
      <xdr:col>21</xdr:col>
      <xdr:colOff>528954</xdr:colOff>
      <xdr:row>13</xdr:row>
      <xdr:rowOff>387350</xdr:rowOff>
    </xdr:to>
    <xdr:sp macro="" textlink="">
      <xdr:nvSpPr>
        <xdr:cNvPr id="13324" name="Rechthoek: afgeronde hoeken 13323">
          <a:extLst>
            <a:ext uri="{FF2B5EF4-FFF2-40B4-BE49-F238E27FC236}">
              <a16:creationId xmlns:a16="http://schemas.microsoft.com/office/drawing/2014/main" id="{7CDA81B9-E8BA-16E0-AC01-F48F6F7ABDC1}"/>
            </a:ext>
          </a:extLst>
        </xdr:cNvPr>
        <xdr:cNvSpPr/>
      </xdr:nvSpPr>
      <xdr:spPr>
        <a:xfrm>
          <a:off x="19290982" y="5213350"/>
          <a:ext cx="4269422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J0, intro: tissus
15:51-17:44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21</xdr:col>
      <xdr:colOff>528955</xdr:colOff>
      <xdr:row>13</xdr:row>
      <xdr:rowOff>12700</xdr:rowOff>
    </xdr:from>
    <xdr:to>
      <xdr:col>21</xdr:col>
      <xdr:colOff>1073023</xdr:colOff>
      <xdr:row>13</xdr:row>
      <xdr:rowOff>387350</xdr:rowOff>
    </xdr:to>
    <xdr:sp macro="" textlink="">
      <xdr:nvSpPr>
        <xdr:cNvPr id="13325" name="Rechthoek: afgeronde hoeken 13324">
          <a:extLst>
            <a:ext uri="{FF2B5EF4-FFF2-40B4-BE49-F238E27FC236}">
              <a16:creationId xmlns:a16="http://schemas.microsoft.com/office/drawing/2014/main" id="{59A9CB55-65D7-24EA-8735-03B8D3A00042}"/>
            </a:ext>
          </a:extLst>
        </xdr:cNvPr>
        <xdr:cNvSpPr/>
      </xdr:nvSpPr>
      <xdr:spPr>
        <a:xfrm>
          <a:off x="23560405" y="5213350"/>
          <a:ext cx="544068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J15, Répercussion sociétales et empowerment 
17:44-17:58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21</xdr:col>
      <xdr:colOff>1073023</xdr:colOff>
      <xdr:row>13</xdr:row>
      <xdr:rowOff>12700</xdr:rowOff>
    </xdr:from>
    <xdr:to>
      <xdr:col>22</xdr:col>
      <xdr:colOff>0</xdr:colOff>
      <xdr:row>13</xdr:row>
      <xdr:rowOff>387350</xdr:rowOff>
    </xdr:to>
    <xdr:sp macro="" textlink="">
      <xdr:nvSpPr>
        <xdr:cNvPr id="13326" name="Rechthoek: afgeronde hoeken 13325">
          <a:extLst>
            <a:ext uri="{FF2B5EF4-FFF2-40B4-BE49-F238E27FC236}">
              <a16:creationId xmlns:a16="http://schemas.microsoft.com/office/drawing/2014/main" id="{2FA56AB4-1AB0-E69A-E0A7-C5A731A0F696}"/>
            </a:ext>
          </a:extLst>
        </xdr:cNvPr>
        <xdr:cNvSpPr/>
      </xdr:nvSpPr>
      <xdr:spPr>
        <a:xfrm>
          <a:off x="24104473" y="5213350"/>
          <a:ext cx="60452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J0, Représentations sociales du handicap 
17:58-08:34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14</xdr:row>
      <xdr:rowOff>12700</xdr:rowOff>
    </xdr:from>
    <xdr:to>
      <xdr:col>3</xdr:col>
      <xdr:colOff>166243</xdr:colOff>
      <xdr:row>14</xdr:row>
      <xdr:rowOff>387350</xdr:rowOff>
    </xdr:to>
    <xdr:sp macro="" textlink="">
      <xdr:nvSpPr>
        <xdr:cNvPr id="13327" name="Rechthoek: afgeronde hoeken 13326">
          <a:extLst>
            <a:ext uri="{FF2B5EF4-FFF2-40B4-BE49-F238E27FC236}">
              <a16:creationId xmlns:a16="http://schemas.microsoft.com/office/drawing/2014/main" id="{F3934D09-1A0C-1E22-D3FD-7E833B5A5185}"/>
            </a:ext>
          </a:extLst>
        </xdr:cNvPr>
        <xdr:cNvSpPr/>
      </xdr:nvSpPr>
      <xdr:spPr>
        <a:xfrm>
          <a:off x="1495425" y="5613400"/>
          <a:ext cx="1299718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J0, Représentations sociales du handicap 
17:58-08:34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166243</xdr:colOff>
      <xdr:row>14</xdr:row>
      <xdr:rowOff>12700</xdr:rowOff>
    </xdr:from>
    <xdr:to>
      <xdr:col>4</xdr:col>
      <xdr:colOff>732981</xdr:colOff>
      <xdr:row>14</xdr:row>
      <xdr:rowOff>387350</xdr:rowOff>
    </xdr:to>
    <xdr:sp macro="" textlink="">
      <xdr:nvSpPr>
        <xdr:cNvPr id="13328" name="Rechthoek: afgeronde hoeken 13327">
          <a:extLst>
            <a:ext uri="{FF2B5EF4-FFF2-40B4-BE49-F238E27FC236}">
              <a16:creationId xmlns:a16="http://schemas.microsoft.com/office/drawing/2014/main" id="{54F8A47F-F01E-CDA6-941D-2169ADC66341}"/>
            </a:ext>
          </a:extLst>
        </xdr:cNvPr>
        <xdr:cNvSpPr/>
      </xdr:nvSpPr>
      <xdr:spPr>
        <a:xfrm>
          <a:off x="2795143" y="5613400"/>
          <a:ext cx="1700213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J0, intro : généralités
08:34-09:19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4</xdr:col>
      <xdr:colOff>732980</xdr:colOff>
      <xdr:row>14</xdr:row>
      <xdr:rowOff>12700</xdr:rowOff>
    </xdr:from>
    <xdr:to>
      <xdr:col>6</xdr:col>
      <xdr:colOff>279590</xdr:colOff>
      <xdr:row>14</xdr:row>
      <xdr:rowOff>387350</xdr:rowOff>
    </xdr:to>
    <xdr:sp macro="" textlink="">
      <xdr:nvSpPr>
        <xdr:cNvPr id="13329" name="Rechthoek: afgeronde hoeken 13328">
          <a:extLst>
            <a:ext uri="{FF2B5EF4-FFF2-40B4-BE49-F238E27FC236}">
              <a16:creationId xmlns:a16="http://schemas.microsoft.com/office/drawing/2014/main" id="{24F1FAE5-E0D1-5E01-FB89-F7F6FE5198A5}"/>
            </a:ext>
          </a:extLst>
        </xdr:cNvPr>
        <xdr:cNvSpPr/>
      </xdr:nvSpPr>
      <xdr:spPr>
        <a:xfrm>
          <a:off x="4495355" y="5613400"/>
          <a:ext cx="1813560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J0, Division cellulaire
09:19-10:07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6</xdr:col>
      <xdr:colOff>279591</xdr:colOff>
      <xdr:row>14</xdr:row>
      <xdr:rowOff>12700</xdr:rowOff>
    </xdr:from>
    <xdr:to>
      <xdr:col>7</xdr:col>
      <xdr:colOff>997458</xdr:colOff>
      <xdr:row>14</xdr:row>
      <xdr:rowOff>387350</xdr:rowOff>
    </xdr:to>
    <xdr:sp macro="" textlink="">
      <xdr:nvSpPr>
        <xdr:cNvPr id="13330" name="Rechthoek: afgeronde hoeken 13329">
          <a:extLst>
            <a:ext uri="{FF2B5EF4-FFF2-40B4-BE49-F238E27FC236}">
              <a16:creationId xmlns:a16="http://schemas.microsoft.com/office/drawing/2014/main" id="{B74EAE65-0667-3AE8-4833-D68BCEF05E1D}"/>
            </a:ext>
          </a:extLst>
        </xdr:cNvPr>
        <xdr:cNvSpPr/>
      </xdr:nvSpPr>
      <xdr:spPr>
        <a:xfrm>
          <a:off x="6308916" y="5613400"/>
          <a:ext cx="1851342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J0, Transcription et régulation 
10:07-10:56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7</xdr:col>
      <xdr:colOff>997458</xdr:colOff>
      <xdr:row>14</xdr:row>
      <xdr:rowOff>12700</xdr:rowOff>
    </xdr:from>
    <xdr:to>
      <xdr:col>9</xdr:col>
      <xdr:colOff>997458</xdr:colOff>
      <xdr:row>14</xdr:row>
      <xdr:rowOff>387350</xdr:rowOff>
    </xdr:to>
    <xdr:sp macro="" textlink="">
      <xdr:nvSpPr>
        <xdr:cNvPr id="13331" name="Rechthoek: afgeronde hoeken 13330">
          <a:extLst>
            <a:ext uri="{FF2B5EF4-FFF2-40B4-BE49-F238E27FC236}">
              <a16:creationId xmlns:a16="http://schemas.microsoft.com/office/drawing/2014/main" id="{8D09D574-44F2-5450-6833-19A37A1ED325}"/>
            </a:ext>
          </a:extLst>
        </xdr:cNvPr>
        <xdr:cNvSpPr/>
      </xdr:nvSpPr>
      <xdr:spPr>
        <a:xfrm>
          <a:off x="8160258" y="5613400"/>
          <a:ext cx="2266950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J0, Membre inférieur 2 
10:56-11:56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9</xdr:col>
      <xdr:colOff>997458</xdr:colOff>
      <xdr:row>14</xdr:row>
      <xdr:rowOff>12700</xdr:rowOff>
    </xdr:from>
    <xdr:to>
      <xdr:col>11</xdr:col>
      <xdr:colOff>260699</xdr:colOff>
      <xdr:row>14</xdr:row>
      <xdr:rowOff>387350</xdr:rowOff>
    </xdr:to>
    <xdr:sp macro="" textlink="">
      <xdr:nvSpPr>
        <xdr:cNvPr id="13332" name="Rechthoek: afgeronde hoeken 13331">
          <a:extLst>
            <a:ext uri="{FF2B5EF4-FFF2-40B4-BE49-F238E27FC236}">
              <a16:creationId xmlns:a16="http://schemas.microsoft.com/office/drawing/2014/main" id="{52768709-F320-680B-0498-638EB4CEF6CB}"/>
            </a:ext>
          </a:extLst>
        </xdr:cNvPr>
        <xdr:cNvSpPr/>
      </xdr:nvSpPr>
      <xdr:spPr>
        <a:xfrm>
          <a:off x="10427208" y="5613400"/>
          <a:ext cx="1530191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J6, Intervention rééducation part-4
11:56-12:36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11</xdr:col>
      <xdr:colOff>260700</xdr:colOff>
      <xdr:row>14</xdr:row>
      <xdr:rowOff>12700</xdr:rowOff>
    </xdr:from>
    <xdr:to>
      <xdr:col>12</xdr:col>
      <xdr:colOff>912448</xdr:colOff>
      <xdr:row>14</xdr:row>
      <xdr:rowOff>387350</xdr:rowOff>
    </xdr:to>
    <xdr:sp macro="" textlink="">
      <xdr:nvSpPr>
        <xdr:cNvPr id="13333" name="Rechthoek: afgeronde hoeken 13332">
          <a:extLst>
            <a:ext uri="{FF2B5EF4-FFF2-40B4-BE49-F238E27FC236}">
              <a16:creationId xmlns:a16="http://schemas.microsoft.com/office/drawing/2014/main" id="{3D3D3FCD-530F-C5BC-6E22-C61D72FD48EF}"/>
            </a:ext>
          </a:extLst>
        </xdr:cNvPr>
        <xdr:cNvSpPr/>
      </xdr:nvSpPr>
      <xdr:spPr>
        <a:xfrm>
          <a:off x="11957400" y="5613400"/>
          <a:ext cx="1785223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J6, Elément introductif en santé publique
12:36-13:24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12</xdr:col>
      <xdr:colOff>912447</xdr:colOff>
      <xdr:row>14</xdr:row>
      <xdr:rowOff>12700</xdr:rowOff>
    </xdr:from>
    <xdr:to>
      <xdr:col>15</xdr:col>
      <xdr:colOff>776430</xdr:colOff>
      <xdr:row>14</xdr:row>
      <xdr:rowOff>387350</xdr:rowOff>
    </xdr:to>
    <xdr:sp macro="" textlink="">
      <xdr:nvSpPr>
        <xdr:cNvPr id="13334" name="Rechthoek: afgeronde hoeken 13333">
          <a:extLst>
            <a:ext uri="{FF2B5EF4-FFF2-40B4-BE49-F238E27FC236}">
              <a16:creationId xmlns:a16="http://schemas.microsoft.com/office/drawing/2014/main" id="{D3107886-69A2-15FD-AFA6-0F1A43ACF883}"/>
            </a:ext>
          </a:extLst>
        </xdr:cNvPr>
        <xdr:cNvSpPr/>
      </xdr:nvSpPr>
      <xdr:spPr>
        <a:xfrm>
          <a:off x="13742622" y="5613400"/>
          <a:ext cx="3264408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J2, La discipline anthropologique 
13:24-14:50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15</xdr:col>
      <xdr:colOff>776430</xdr:colOff>
      <xdr:row>14</xdr:row>
      <xdr:rowOff>12700</xdr:rowOff>
    </xdr:from>
    <xdr:to>
      <xdr:col>19</xdr:col>
      <xdr:colOff>85010</xdr:colOff>
      <xdr:row>14</xdr:row>
      <xdr:rowOff>387350</xdr:rowOff>
    </xdr:to>
    <xdr:sp macro="" textlink="">
      <xdr:nvSpPr>
        <xdr:cNvPr id="13335" name="Rechthoek: afgeronde hoeken 13334">
          <a:extLst>
            <a:ext uri="{FF2B5EF4-FFF2-40B4-BE49-F238E27FC236}">
              <a16:creationId xmlns:a16="http://schemas.microsoft.com/office/drawing/2014/main" id="{10BAD843-1237-B156-9A3A-33784219D9AF}"/>
            </a:ext>
          </a:extLst>
        </xdr:cNvPr>
        <xdr:cNvSpPr/>
      </xdr:nvSpPr>
      <xdr:spPr>
        <a:xfrm>
          <a:off x="17007030" y="5613400"/>
          <a:ext cx="3842480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J2, intro: tissus
14:50-16:32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19</xdr:col>
      <xdr:colOff>85010</xdr:colOff>
      <xdr:row>14</xdr:row>
      <xdr:rowOff>12700</xdr:rowOff>
    </xdr:from>
    <xdr:to>
      <xdr:col>19</xdr:col>
      <xdr:colOff>952118</xdr:colOff>
      <xdr:row>14</xdr:row>
      <xdr:rowOff>387350</xdr:rowOff>
    </xdr:to>
    <xdr:sp macro="" textlink="">
      <xdr:nvSpPr>
        <xdr:cNvPr id="13336" name="Rechthoek: afgeronde hoeken 13335">
          <a:extLst>
            <a:ext uri="{FF2B5EF4-FFF2-40B4-BE49-F238E27FC236}">
              <a16:creationId xmlns:a16="http://schemas.microsoft.com/office/drawing/2014/main" id="{3399A9E3-5E89-0B68-DCA2-963581430052}"/>
            </a:ext>
          </a:extLst>
        </xdr:cNvPr>
        <xdr:cNvSpPr/>
      </xdr:nvSpPr>
      <xdr:spPr>
        <a:xfrm>
          <a:off x="20849510" y="5613400"/>
          <a:ext cx="867108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J15, épidémiologie descriptive
16:32-16:55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19</xdr:col>
      <xdr:colOff>952119</xdr:colOff>
      <xdr:row>14</xdr:row>
      <xdr:rowOff>12700</xdr:rowOff>
    </xdr:from>
    <xdr:to>
      <xdr:col>21</xdr:col>
      <xdr:colOff>28337</xdr:colOff>
      <xdr:row>14</xdr:row>
      <xdr:rowOff>387350</xdr:rowOff>
    </xdr:to>
    <xdr:sp macro="" textlink="">
      <xdr:nvSpPr>
        <xdr:cNvPr id="13337" name="Rechthoek: afgeronde hoeken 13336">
          <a:extLst>
            <a:ext uri="{FF2B5EF4-FFF2-40B4-BE49-F238E27FC236}">
              <a16:creationId xmlns:a16="http://schemas.microsoft.com/office/drawing/2014/main" id="{ED15FDA1-3D90-C7AE-56A0-07DF35CAB20A}"/>
            </a:ext>
          </a:extLst>
        </xdr:cNvPr>
        <xdr:cNvSpPr/>
      </xdr:nvSpPr>
      <xdr:spPr>
        <a:xfrm>
          <a:off x="21716619" y="5613400"/>
          <a:ext cx="1343168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J15, Économie du système de santé
16:55-17:30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21</xdr:col>
      <xdr:colOff>28336</xdr:colOff>
      <xdr:row>14</xdr:row>
      <xdr:rowOff>12700</xdr:rowOff>
    </xdr:from>
    <xdr:to>
      <xdr:col>21</xdr:col>
      <xdr:colOff>1133474</xdr:colOff>
      <xdr:row>14</xdr:row>
      <xdr:rowOff>387350</xdr:rowOff>
    </xdr:to>
    <xdr:sp macro="" textlink="">
      <xdr:nvSpPr>
        <xdr:cNvPr id="13338" name="Rechthoek: afgeronde hoeken 13337">
          <a:extLst>
            <a:ext uri="{FF2B5EF4-FFF2-40B4-BE49-F238E27FC236}">
              <a16:creationId xmlns:a16="http://schemas.microsoft.com/office/drawing/2014/main" id="{E6885D7C-864A-6BCB-DEB9-C20F8A5F3212}"/>
            </a:ext>
          </a:extLst>
        </xdr:cNvPr>
        <xdr:cNvSpPr/>
      </xdr:nvSpPr>
      <xdr:spPr>
        <a:xfrm>
          <a:off x="23059786" y="5613400"/>
          <a:ext cx="1105138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J15, Abdomen et pelvis 1
17:30-08:12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15</xdr:row>
      <xdr:rowOff>12700</xdr:rowOff>
    </xdr:from>
    <xdr:to>
      <xdr:col>2</xdr:col>
      <xdr:colOff>459057</xdr:colOff>
      <xdr:row>15</xdr:row>
      <xdr:rowOff>387350</xdr:rowOff>
    </xdr:to>
    <xdr:sp macro="" textlink="">
      <xdr:nvSpPr>
        <xdr:cNvPr id="13339" name="Rechthoek: afgeronde hoeken 13338">
          <a:extLst>
            <a:ext uri="{FF2B5EF4-FFF2-40B4-BE49-F238E27FC236}">
              <a16:creationId xmlns:a16="http://schemas.microsoft.com/office/drawing/2014/main" id="{0FB373C7-39D2-1426-E376-4DEE3041C096}"/>
            </a:ext>
          </a:extLst>
        </xdr:cNvPr>
        <xdr:cNvSpPr/>
      </xdr:nvSpPr>
      <xdr:spPr>
        <a:xfrm>
          <a:off x="1495425" y="6013450"/>
          <a:ext cx="459057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J15, Abdomen et pelvis 1
17:30-08:12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459057</xdr:colOff>
      <xdr:row>15</xdr:row>
      <xdr:rowOff>12700</xdr:rowOff>
    </xdr:from>
    <xdr:to>
      <xdr:col>4</xdr:col>
      <xdr:colOff>113347</xdr:colOff>
      <xdr:row>15</xdr:row>
      <xdr:rowOff>387350</xdr:rowOff>
    </xdr:to>
    <xdr:sp macro="" textlink="">
      <xdr:nvSpPr>
        <xdr:cNvPr id="13340" name="Rechthoek: afgeronde hoeken 13339">
          <a:extLst>
            <a:ext uri="{FF2B5EF4-FFF2-40B4-BE49-F238E27FC236}">
              <a16:creationId xmlns:a16="http://schemas.microsoft.com/office/drawing/2014/main" id="{49FCA5BA-7EDD-2E87-2BB3-E1C4F7B6F092}"/>
            </a:ext>
          </a:extLst>
        </xdr:cNvPr>
        <xdr:cNvSpPr/>
      </xdr:nvSpPr>
      <xdr:spPr>
        <a:xfrm>
          <a:off x="1954482" y="6013450"/>
          <a:ext cx="1921240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J15, Synthèse tampons, Diagramme de Davenport
08:12-09:03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4</xdr:col>
      <xdr:colOff>113347</xdr:colOff>
      <xdr:row>15</xdr:row>
      <xdr:rowOff>12700</xdr:rowOff>
    </xdr:from>
    <xdr:to>
      <xdr:col>7</xdr:col>
      <xdr:colOff>113347</xdr:colOff>
      <xdr:row>15</xdr:row>
      <xdr:rowOff>387350</xdr:rowOff>
    </xdr:to>
    <xdr:sp macro="" textlink="">
      <xdr:nvSpPr>
        <xdr:cNvPr id="13341" name="Rechthoek: afgeronde hoeken 13340">
          <a:extLst>
            <a:ext uri="{FF2B5EF4-FFF2-40B4-BE49-F238E27FC236}">
              <a16:creationId xmlns:a16="http://schemas.microsoft.com/office/drawing/2014/main" id="{87D614ED-BF35-145D-4F6E-E4B455896B26}"/>
            </a:ext>
          </a:extLst>
        </xdr:cNvPr>
        <xdr:cNvSpPr/>
      </xdr:nvSpPr>
      <xdr:spPr>
        <a:xfrm>
          <a:off x="3875722" y="6013450"/>
          <a:ext cx="3400425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J0, États  de la matière et leur caractérisation 
09:03-10:33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7</xdr:col>
      <xdr:colOff>113347</xdr:colOff>
      <xdr:row>15</xdr:row>
      <xdr:rowOff>12700</xdr:rowOff>
    </xdr:from>
    <xdr:to>
      <xdr:col>10</xdr:col>
      <xdr:colOff>944562</xdr:colOff>
      <xdr:row>15</xdr:row>
      <xdr:rowOff>387350</xdr:rowOff>
    </xdr:to>
    <xdr:sp macro="" textlink="">
      <xdr:nvSpPr>
        <xdr:cNvPr id="13342" name="Rechthoek: afgeronde hoeken 13341">
          <a:extLst>
            <a:ext uri="{FF2B5EF4-FFF2-40B4-BE49-F238E27FC236}">
              <a16:creationId xmlns:a16="http://schemas.microsoft.com/office/drawing/2014/main" id="{B9F3291E-715B-2F26-3BDE-73978E81B1F1}"/>
            </a:ext>
          </a:extLst>
        </xdr:cNvPr>
        <xdr:cNvSpPr/>
      </xdr:nvSpPr>
      <xdr:spPr>
        <a:xfrm>
          <a:off x="7276147" y="6013450"/>
          <a:ext cx="4231640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J0, Interaction rayonnement-Matière 
10:33-12:25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10</xdr:col>
      <xdr:colOff>944563</xdr:colOff>
      <xdr:row>15</xdr:row>
      <xdr:rowOff>12700</xdr:rowOff>
    </xdr:from>
    <xdr:to>
      <xdr:col>14</xdr:col>
      <xdr:colOff>680085</xdr:colOff>
      <xdr:row>15</xdr:row>
      <xdr:rowOff>387350</xdr:rowOff>
    </xdr:to>
    <xdr:sp macro="" textlink="">
      <xdr:nvSpPr>
        <xdr:cNvPr id="13343" name="Rechthoek: afgeronde hoeken 13342">
          <a:extLst>
            <a:ext uri="{FF2B5EF4-FFF2-40B4-BE49-F238E27FC236}">
              <a16:creationId xmlns:a16="http://schemas.microsoft.com/office/drawing/2014/main" id="{03B31029-2FD6-512A-64EB-7B0456417798}"/>
            </a:ext>
          </a:extLst>
        </xdr:cNvPr>
        <xdr:cNvSpPr/>
      </xdr:nvSpPr>
      <xdr:spPr>
        <a:xfrm>
          <a:off x="11507788" y="6013450"/>
          <a:ext cx="4269422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J0, essai thérapeutique 
12:25-14:18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14</xdr:col>
      <xdr:colOff>680086</xdr:colOff>
      <xdr:row>15</xdr:row>
      <xdr:rowOff>12700</xdr:rowOff>
    </xdr:from>
    <xdr:to>
      <xdr:col>18</xdr:col>
      <xdr:colOff>680086</xdr:colOff>
      <xdr:row>15</xdr:row>
      <xdr:rowOff>387350</xdr:rowOff>
    </xdr:to>
    <xdr:sp macro="" textlink="">
      <xdr:nvSpPr>
        <xdr:cNvPr id="13344" name="Rechthoek: afgeronde hoeken 13343">
          <a:extLst>
            <a:ext uri="{FF2B5EF4-FFF2-40B4-BE49-F238E27FC236}">
              <a16:creationId xmlns:a16="http://schemas.microsoft.com/office/drawing/2014/main" id="{E72580D0-560F-57EA-5F3A-CE17E99E4324}"/>
            </a:ext>
          </a:extLst>
        </xdr:cNvPr>
        <xdr:cNvSpPr/>
      </xdr:nvSpPr>
      <xdr:spPr>
        <a:xfrm>
          <a:off x="15777211" y="6013450"/>
          <a:ext cx="4533900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J0, Les très basses fréquences du spectre électromagnétique 
14:18-16:18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18</xdr:col>
      <xdr:colOff>680086</xdr:colOff>
      <xdr:row>15</xdr:row>
      <xdr:rowOff>12700</xdr:rowOff>
    </xdr:from>
    <xdr:to>
      <xdr:col>19</xdr:col>
      <xdr:colOff>821770</xdr:colOff>
      <xdr:row>15</xdr:row>
      <xdr:rowOff>387350</xdr:rowOff>
    </xdr:to>
    <xdr:sp macro="" textlink="">
      <xdr:nvSpPr>
        <xdr:cNvPr id="13345" name="Rechthoek: afgeronde hoeken 13344">
          <a:extLst>
            <a:ext uri="{FF2B5EF4-FFF2-40B4-BE49-F238E27FC236}">
              <a16:creationId xmlns:a16="http://schemas.microsoft.com/office/drawing/2014/main" id="{CCD336A1-8A33-7B8F-2A30-96717BA7A61E}"/>
            </a:ext>
          </a:extLst>
        </xdr:cNvPr>
        <xdr:cNvSpPr/>
      </xdr:nvSpPr>
      <xdr:spPr>
        <a:xfrm>
          <a:off x="20311111" y="6013450"/>
          <a:ext cx="1275159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J6, Membre inférieur 3
16:18-16:51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19</xdr:col>
      <xdr:colOff>821770</xdr:colOff>
      <xdr:row>15</xdr:row>
      <xdr:rowOff>12700</xdr:rowOff>
    </xdr:from>
    <xdr:to>
      <xdr:col>21</xdr:col>
      <xdr:colOff>368380</xdr:colOff>
      <xdr:row>15</xdr:row>
      <xdr:rowOff>387350</xdr:rowOff>
    </xdr:to>
    <xdr:sp macro="" textlink="">
      <xdr:nvSpPr>
        <xdr:cNvPr id="13346" name="Rechthoek: afgeronde hoeken 13345">
          <a:extLst>
            <a:ext uri="{FF2B5EF4-FFF2-40B4-BE49-F238E27FC236}">
              <a16:creationId xmlns:a16="http://schemas.microsoft.com/office/drawing/2014/main" id="{04DEAE2A-1B97-E685-9840-F35AFDB7B3DB}"/>
            </a:ext>
          </a:extLst>
        </xdr:cNvPr>
        <xdr:cNvSpPr/>
      </xdr:nvSpPr>
      <xdr:spPr>
        <a:xfrm>
          <a:off x="21586270" y="6013450"/>
          <a:ext cx="1813560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J6, Outils mathématique 
16:51-17:39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21</xdr:col>
      <xdr:colOff>368379</xdr:colOff>
      <xdr:row>15</xdr:row>
      <xdr:rowOff>12700</xdr:rowOff>
    </xdr:from>
    <xdr:to>
      <xdr:col>22</xdr:col>
      <xdr:colOff>0</xdr:colOff>
      <xdr:row>15</xdr:row>
      <xdr:rowOff>387350</xdr:rowOff>
    </xdr:to>
    <xdr:sp macro="" textlink="">
      <xdr:nvSpPr>
        <xdr:cNvPr id="13347" name="Rechthoek: afgeronde hoeken 13346">
          <a:extLst>
            <a:ext uri="{FF2B5EF4-FFF2-40B4-BE49-F238E27FC236}">
              <a16:creationId xmlns:a16="http://schemas.microsoft.com/office/drawing/2014/main" id="{C5E2F8E1-1414-1D7A-50A3-F48799B59813}"/>
            </a:ext>
          </a:extLst>
        </xdr:cNvPr>
        <xdr:cNvSpPr/>
      </xdr:nvSpPr>
      <xdr:spPr>
        <a:xfrm>
          <a:off x="23399829" y="6013450"/>
          <a:ext cx="765096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J6, Mutations 
17:39-08:45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16</xdr:row>
      <xdr:rowOff>12700</xdr:rowOff>
    </xdr:from>
    <xdr:to>
      <xdr:col>3</xdr:col>
      <xdr:colOff>566738</xdr:colOff>
      <xdr:row>16</xdr:row>
      <xdr:rowOff>387350</xdr:rowOff>
    </xdr:to>
    <xdr:sp macro="" textlink="">
      <xdr:nvSpPr>
        <xdr:cNvPr id="13348" name="Rechthoek: afgeronde hoeken 13347">
          <a:extLst>
            <a:ext uri="{FF2B5EF4-FFF2-40B4-BE49-F238E27FC236}">
              <a16:creationId xmlns:a16="http://schemas.microsoft.com/office/drawing/2014/main" id="{3243B4D0-07DE-FCD1-07E8-706E21264E37}"/>
            </a:ext>
          </a:extLst>
        </xdr:cNvPr>
        <xdr:cNvSpPr/>
      </xdr:nvSpPr>
      <xdr:spPr>
        <a:xfrm>
          <a:off x="1495425" y="6413500"/>
          <a:ext cx="1700213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J6, Mutations 
17:39-08:45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566738</xdr:colOff>
      <xdr:row>16</xdr:row>
      <xdr:rowOff>12700</xdr:rowOff>
    </xdr:from>
    <xdr:to>
      <xdr:col>5</xdr:col>
      <xdr:colOff>906780</xdr:colOff>
      <xdr:row>16</xdr:row>
      <xdr:rowOff>387350</xdr:rowOff>
    </xdr:to>
    <xdr:sp macro="" textlink="">
      <xdr:nvSpPr>
        <xdr:cNvPr id="13349" name="Rechthoek: afgeronde hoeken 13348">
          <a:extLst>
            <a:ext uri="{FF2B5EF4-FFF2-40B4-BE49-F238E27FC236}">
              <a16:creationId xmlns:a16="http://schemas.microsoft.com/office/drawing/2014/main" id="{997DDD52-8669-C541-8912-5726685F7921}"/>
            </a:ext>
          </a:extLst>
        </xdr:cNvPr>
        <xdr:cNvSpPr/>
      </xdr:nvSpPr>
      <xdr:spPr>
        <a:xfrm>
          <a:off x="3195638" y="6413500"/>
          <a:ext cx="2606992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J6, La composition des membranes cellulaire
08:45-09:54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906780</xdr:colOff>
      <xdr:row>16</xdr:row>
      <xdr:rowOff>12700</xdr:rowOff>
    </xdr:from>
    <xdr:to>
      <xdr:col>6</xdr:col>
      <xdr:colOff>997458</xdr:colOff>
      <xdr:row>16</xdr:row>
      <xdr:rowOff>387350</xdr:rowOff>
    </xdr:to>
    <xdr:sp macro="" textlink="">
      <xdr:nvSpPr>
        <xdr:cNvPr id="13350" name="Rechthoek: afgeronde hoeken 13349">
          <a:extLst>
            <a:ext uri="{FF2B5EF4-FFF2-40B4-BE49-F238E27FC236}">
              <a16:creationId xmlns:a16="http://schemas.microsoft.com/office/drawing/2014/main" id="{F281B665-B666-1E2F-4066-4B3E9EA04BD0}"/>
            </a:ext>
          </a:extLst>
        </xdr:cNvPr>
        <xdr:cNvSpPr/>
      </xdr:nvSpPr>
      <xdr:spPr>
        <a:xfrm>
          <a:off x="5802630" y="6413500"/>
          <a:ext cx="1224153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J2, Représentations sociales du handicap 
09:54-10:26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6</xdr:col>
      <xdr:colOff>997458</xdr:colOff>
      <xdr:row>16</xdr:row>
      <xdr:rowOff>12700</xdr:rowOff>
    </xdr:from>
    <xdr:to>
      <xdr:col>8</xdr:col>
      <xdr:colOff>260699</xdr:colOff>
      <xdr:row>16</xdr:row>
      <xdr:rowOff>387350</xdr:rowOff>
    </xdr:to>
    <xdr:sp macro="" textlink="">
      <xdr:nvSpPr>
        <xdr:cNvPr id="13351" name="Rechthoek: afgeronde hoeken 13350">
          <a:extLst>
            <a:ext uri="{FF2B5EF4-FFF2-40B4-BE49-F238E27FC236}">
              <a16:creationId xmlns:a16="http://schemas.microsoft.com/office/drawing/2014/main" id="{51C67CEC-78B6-8195-32BE-0879ADC40B79}"/>
            </a:ext>
          </a:extLst>
        </xdr:cNvPr>
        <xdr:cNvSpPr/>
      </xdr:nvSpPr>
      <xdr:spPr>
        <a:xfrm>
          <a:off x="7026783" y="6413500"/>
          <a:ext cx="1530191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J2, intro : généralités
10:26-11:06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8</xdr:col>
      <xdr:colOff>260700</xdr:colOff>
      <xdr:row>16</xdr:row>
      <xdr:rowOff>12700</xdr:rowOff>
    </xdr:from>
    <xdr:to>
      <xdr:col>9</xdr:col>
      <xdr:colOff>759429</xdr:colOff>
      <xdr:row>16</xdr:row>
      <xdr:rowOff>387350</xdr:rowOff>
    </xdr:to>
    <xdr:sp macro="" textlink="">
      <xdr:nvSpPr>
        <xdr:cNvPr id="13352" name="Rechthoek: afgeronde hoeken 13351">
          <a:extLst>
            <a:ext uri="{FF2B5EF4-FFF2-40B4-BE49-F238E27FC236}">
              <a16:creationId xmlns:a16="http://schemas.microsoft.com/office/drawing/2014/main" id="{BBD864AB-A88D-B117-8338-C5EC0944C4CE}"/>
            </a:ext>
          </a:extLst>
        </xdr:cNvPr>
        <xdr:cNvSpPr/>
      </xdr:nvSpPr>
      <xdr:spPr>
        <a:xfrm>
          <a:off x="8556975" y="6413500"/>
          <a:ext cx="1632204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J2, Division cellulaire
11:06-11:50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9</xdr:col>
      <xdr:colOff>759428</xdr:colOff>
      <xdr:row>16</xdr:row>
      <xdr:rowOff>12700</xdr:rowOff>
    </xdr:from>
    <xdr:to>
      <xdr:col>11</xdr:col>
      <xdr:colOff>158686</xdr:colOff>
      <xdr:row>16</xdr:row>
      <xdr:rowOff>387350</xdr:rowOff>
    </xdr:to>
    <xdr:sp macro="" textlink="">
      <xdr:nvSpPr>
        <xdr:cNvPr id="13353" name="Rechthoek: afgeronde hoeken 13352">
          <a:extLst>
            <a:ext uri="{FF2B5EF4-FFF2-40B4-BE49-F238E27FC236}">
              <a16:creationId xmlns:a16="http://schemas.microsoft.com/office/drawing/2014/main" id="{96C48F13-1881-ECB5-19D6-9459FBFE2646}"/>
            </a:ext>
          </a:extLst>
        </xdr:cNvPr>
        <xdr:cNvSpPr/>
      </xdr:nvSpPr>
      <xdr:spPr>
        <a:xfrm>
          <a:off x="10189178" y="6413500"/>
          <a:ext cx="1666208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J2, Transcription et régulation 
11:50-12:34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11</xdr:col>
      <xdr:colOff>158686</xdr:colOff>
      <xdr:row>16</xdr:row>
      <xdr:rowOff>12700</xdr:rowOff>
    </xdr:from>
    <xdr:to>
      <xdr:col>12</xdr:col>
      <xdr:colOff>1065466</xdr:colOff>
      <xdr:row>16</xdr:row>
      <xdr:rowOff>387350</xdr:rowOff>
    </xdr:to>
    <xdr:sp macro="" textlink="">
      <xdr:nvSpPr>
        <xdr:cNvPr id="13354" name="Rechthoek: afgeronde hoeken 13353">
          <a:extLst>
            <a:ext uri="{FF2B5EF4-FFF2-40B4-BE49-F238E27FC236}">
              <a16:creationId xmlns:a16="http://schemas.microsoft.com/office/drawing/2014/main" id="{AAEB629B-ADD4-981E-8F3D-BB3F2955A0BB}"/>
            </a:ext>
          </a:extLst>
        </xdr:cNvPr>
        <xdr:cNvSpPr/>
      </xdr:nvSpPr>
      <xdr:spPr>
        <a:xfrm>
          <a:off x="11855386" y="6413500"/>
          <a:ext cx="2040255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J2, Membre inférieur 2 
12:34-13:28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12</xdr:col>
      <xdr:colOff>1065467</xdr:colOff>
      <xdr:row>16</xdr:row>
      <xdr:rowOff>12700</xdr:rowOff>
    </xdr:from>
    <xdr:to>
      <xdr:col>13</xdr:col>
      <xdr:colOff>1054132</xdr:colOff>
      <xdr:row>16</xdr:row>
      <xdr:rowOff>387350</xdr:rowOff>
    </xdr:to>
    <xdr:sp macro="" textlink="">
      <xdr:nvSpPr>
        <xdr:cNvPr id="13355" name="Rechthoek: afgeronde hoeken 13354">
          <a:extLst>
            <a:ext uri="{FF2B5EF4-FFF2-40B4-BE49-F238E27FC236}">
              <a16:creationId xmlns:a16="http://schemas.microsoft.com/office/drawing/2014/main" id="{8DC7A120-849B-AC09-2367-08106A0FC7D0}"/>
            </a:ext>
          </a:extLst>
        </xdr:cNvPr>
        <xdr:cNvSpPr/>
      </xdr:nvSpPr>
      <xdr:spPr>
        <a:xfrm>
          <a:off x="13895642" y="6413500"/>
          <a:ext cx="1122140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J15, Thermorégulation
13:28-13:57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13</xdr:col>
      <xdr:colOff>1054131</xdr:colOff>
      <xdr:row>16</xdr:row>
      <xdr:rowOff>12700</xdr:rowOff>
    </xdr:from>
    <xdr:to>
      <xdr:col>15</xdr:col>
      <xdr:colOff>487394</xdr:colOff>
      <xdr:row>16</xdr:row>
      <xdr:rowOff>387350</xdr:rowOff>
    </xdr:to>
    <xdr:sp macro="" textlink="">
      <xdr:nvSpPr>
        <xdr:cNvPr id="13356" name="Rechthoek: afgeronde hoeken 13355">
          <a:extLst>
            <a:ext uri="{FF2B5EF4-FFF2-40B4-BE49-F238E27FC236}">
              <a16:creationId xmlns:a16="http://schemas.microsoft.com/office/drawing/2014/main" id="{D06EBA31-17BD-8314-412B-6A9DDDAB7E29}"/>
            </a:ext>
          </a:extLst>
        </xdr:cNvPr>
        <xdr:cNvSpPr/>
      </xdr:nvSpPr>
      <xdr:spPr>
        <a:xfrm>
          <a:off x="15017781" y="6413500"/>
          <a:ext cx="1700213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J15, Potentiel électrochimique 
13:57-14:42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15</xdr:col>
      <xdr:colOff>487394</xdr:colOff>
      <xdr:row>16</xdr:row>
      <xdr:rowOff>12700</xdr:rowOff>
    </xdr:from>
    <xdr:to>
      <xdr:col>17</xdr:col>
      <xdr:colOff>5667</xdr:colOff>
      <xdr:row>16</xdr:row>
      <xdr:rowOff>387350</xdr:rowOff>
    </xdr:to>
    <xdr:sp macro="" textlink="">
      <xdr:nvSpPr>
        <xdr:cNvPr id="13357" name="Rechthoek: afgeronde hoeken 13356">
          <a:extLst>
            <a:ext uri="{FF2B5EF4-FFF2-40B4-BE49-F238E27FC236}">
              <a16:creationId xmlns:a16="http://schemas.microsoft.com/office/drawing/2014/main" id="{CAD8DF3F-7F87-007A-FCEF-243E0DD7AE96}"/>
            </a:ext>
          </a:extLst>
        </xdr:cNvPr>
        <xdr:cNvSpPr/>
      </xdr:nvSpPr>
      <xdr:spPr>
        <a:xfrm>
          <a:off x="16717994" y="6413500"/>
          <a:ext cx="1785223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J15, intro: mouvements
14:42-15:30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17</xdr:col>
      <xdr:colOff>5668</xdr:colOff>
      <xdr:row>16</xdr:row>
      <xdr:rowOff>12700</xdr:rowOff>
    </xdr:from>
    <xdr:to>
      <xdr:col>18</xdr:col>
      <xdr:colOff>436389</xdr:colOff>
      <xdr:row>16</xdr:row>
      <xdr:rowOff>387350</xdr:rowOff>
    </xdr:to>
    <xdr:sp macro="" textlink="">
      <xdr:nvSpPr>
        <xdr:cNvPr id="13358" name="Rechthoek: afgeronde hoeken 13357">
          <a:extLst>
            <a:ext uri="{FF2B5EF4-FFF2-40B4-BE49-F238E27FC236}">
              <a16:creationId xmlns:a16="http://schemas.microsoft.com/office/drawing/2014/main" id="{4EFAB0F9-1874-9142-B89C-5C3953CE885D}"/>
            </a:ext>
          </a:extLst>
        </xdr:cNvPr>
        <xdr:cNvSpPr/>
      </xdr:nvSpPr>
      <xdr:spPr>
        <a:xfrm>
          <a:off x="18503218" y="6413500"/>
          <a:ext cx="1564196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J10, Législation handicap 
15:30-16:11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18</xdr:col>
      <xdr:colOff>436387</xdr:colOff>
      <xdr:row>16</xdr:row>
      <xdr:rowOff>12700</xdr:rowOff>
    </xdr:from>
    <xdr:to>
      <xdr:col>19</xdr:col>
      <xdr:colOff>1071133</xdr:colOff>
      <xdr:row>16</xdr:row>
      <xdr:rowOff>387350</xdr:rowOff>
    </xdr:to>
    <xdr:sp macro="" textlink="">
      <xdr:nvSpPr>
        <xdr:cNvPr id="13359" name="Rechthoek: afgeronde hoeken 13358">
          <a:extLst>
            <a:ext uri="{FF2B5EF4-FFF2-40B4-BE49-F238E27FC236}">
              <a16:creationId xmlns:a16="http://schemas.microsoft.com/office/drawing/2014/main" id="{5363EF8B-D666-7CBD-2E1B-052ED9CCB177}"/>
            </a:ext>
          </a:extLst>
        </xdr:cNvPr>
        <xdr:cNvSpPr/>
      </xdr:nvSpPr>
      <xdr:spPr>
        <a:xfrm>
          <a:off x="20067412" y="6413500"/>
          <a:ext cx="1768221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J10, Dérivés d'acides carboxylique- AG 
16:11-16:58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19</xdr:col>
      <xdr:colOff>1071135</xdr:colOff>
      <xdr:row>16</xdr:row>
      <xdr:rowOff>12700</xdr:rowOff>
    </xdr:from>
    <xdr:to>
      <xdr:col>21</xdr:col>
      <xdr:colOff>685753</xdr:colOff>
      <xdr:row>16</xdr:row>
      <xdr:rowOff>387350</xdr:rowOff>
    </xdr:to>
    <xdr:sp macro="" textlink="">
      <xdr:nvSpPr>
        <xdr:cNvPr id="13360" name="Rechthoek: afgeronde hoeken 13359">
          <a:extLst>
            <a:ext uri="{FF2B5EF4-FFF2-40B4-BE49-F238E27FC236}">
              <a16:creationId xmlns:a16="http://schemas.microsoft.com/office/drawing/2014/main" id="{94FD1B6F-AF20-F6E6-02A9-C908C9E25FD3}"/>
            </a:ext>
          </a:extLst>
        </xdr:cNvPr>
        <xdr:cNvSpPr/>
      </xdr:nvSpPr>
      <xdr:spPr>
        <a:xfrm>
          <a:off x="21835635" y="6413500"/>
          <a:ext cx="1881568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J10, Intervention rééducation part-6
16:58-17:48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21</xdr:col>
      <xdr:colOff>685752</xdr:colOff>
      <xdr:row>16</xdr:row>
      <xdr:rowOff>12700</xdr:rowOff>
    </xdr:from>
    <xdr:to>
      <xdr:col>22</xdr:col>
      <xdr:colOff>0</xdr:colOff>
      <xdr:row>16</xdr:row>
      <xdr:rowOff>387350</xdr:rowOff>
    </xdr:to>
    <xdr:sp macro="" textlink="">
      <xdr:nvSpPr>
        <xdr:cNvPr id="13361" name="Rechthoek: afgeronde hoeken 13360">
          <a:extLst>
            <a:ext uri="{FF2B5EF4-FFF2-40B4-BE49-F238E27FC236}">
              <a16:creationId xmlns:a16="http://schemas.microsoft.com/office/drawing/2014/main" id="{588A9DCF-6D6F-47BE-88CE-FE839F9894E4}"/>
            </a:ext>
          </a:extLst>
        </xdr:cNvPr>
        <xdr:cNvSpPr/>
      </xdr:nvSpPr>
      <xdr:spPr>
        <a:xfrm>
          <a:off x="23717202" y="6413500"/>
          <a:ext cx="447723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J10, Abdomen et pelvis 2 
17:48-08:39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17</xdr:row>
      <xdr:rowOff>12700</xdr:rowOff>
    </xdr:from>
    <xdr:to>
      <xdr:col>3</xdr:col>
      <xdr:colOff>345710</xdr:colOff>
      <xdr:row>17</xdr:row>
      <xdr:rowOff>387350</xdr:rowOff>
    </xdr:to>
    <xdr:sp macro="" textlink="">
      <xdr:nvSpPr>
        <xdr:cNvPr id="13362" name="Rechthoek: afgeronde hoeken 13361">
          <a:extLst>
            <a:ext uri="{FF2B5EF4-FFF2-40B4-BE49-F238E27FC236}">
              <a16:creationId xmlns:a16="http://schemas.microsoft.com/office/drawing/2014/main" id="{CB9E84BA-DB1E-37B6-A19A-25C703F4C3AC}"/>
            </a:ext>
          </a:extLst>
        </xdr:cNvPr>
        <xdr:cNvSpPr/>
      </xdr:nvSpPr>
      <xdr:spPr>
        <a:xfrm>
          <a:off x="1495425" y="6813550"/>
          <a:ext cx="1479185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J10, Abdomen et pelvis 2 
17:48-08:39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345710</xdr:colOff>
      <xdr:row>17</xdr:row>
      <xdr:rowOff>12700</xdr:rowOff>
    </xdr:from>
    <xdr:to>
      <xdr:col>5</xdr:col>
      <xdr:colOff>187024</xdr:colOff>
      <xdr:row>17</xdr:row>
      <xdr:rowOff>387350</xdr:rowOff>
    </xdr:to>
    <xdr:sp macro="" textlink="">
      <xdr:nvSpPr>
        <xdr:cNvPr id="13363" name="Rechthoek: afgeronde hoeken 13362">
          <a:extLst>
            <a:ext uri="{FF2B5EF4-FFF2-40B4-BE49-F238E27FC236}">
              <a16:creationId xmlns:a16="http://schemas.microsoft.com/office/drawing/2014/main" id="{8B000FEC-1EC4-FFB1-2D01-028BCF1F71E5}"/>
            </a:ext>
          </a:extLst>
        </xdr:cNvPr>
        <xdr:cNvSpPr/>
      </xdr:nvSpPr>
      <xdr:spPr>
        <a:xfrm>
          <a:off x="2974610" y="6813550"/>
          <a:ext cx="2108264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J10, Thorax
08:39-09:34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187023</xdr:colOff>
      <xdr:row>17</xdr:row>
      <xdr:rowOff>12700</xdr:rowOff>
    </xdr:from>
    <xdr:to>
      <xdr:col>7</xdr:col>
      <xdr:colOff>209693</xdr:colOff>
      <xdr:row>17</xdr:row>
      <xdr:rowOff>387350</xdr:rowOff>
    </xdr:to>
    <xdr:sp macro="" textlink="">
      <xdr:nvSpPr>
        <xdr:cNvPr id="13364" name="Rechthoek: afgeronde hoeken 13363">
          <a:extLst>
            <a:ext uri="{FF2B5EF4-FFF2-40B4-BE49-F238E27FC236}">
              <a16:creationId xmlns:a16="http://schemas.microsoft.com/office/drawing/2014/main" id="{E8C3B0AD-AAD3-0314-5C2C-E22107D00865}"/>
            </a:ext>
          </a:extLst>
        </xdr:cNvPr>
        <xdr:cNvSpPr/>
      </xdr:nvSpPr>
      <xdr:spPr>
        <a:xfrm>
          <a:off x="5082873" y="6813550"/>
          <a:ext cx="2289620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J10, Propriétés électroniques des liaisons chimiques
09:34-10:35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7</xdr:col>
      <xdr:colOff>209693</xdr:colOff>
      <xdr:row>17</xdr:row>
      <xdr:rowOff>12700</xdr:rowOff>
    </xdr:from>
    <xdr:to>
      <xdr:col>9</xdr:col>
      <xdr:colOff>345710</xdr:colOff>
      <xdr:row>17</xdr:row>
      <xdr:rowOff>387350</xdr:rowOff>
    </xdr:to>
    <xdr:sp macro="" textlink="">
      <xdr:nvSpPr>
        <xdr:cNvPr id="13365" name="Rechthoek: afgeronde hoeken 13364">
          <a:extLst>
            <a:ext uri="{FF2B5EF4-FFF2-40B4-BE49-F238E27FC236}">
              <a16:creationId xmlns:a16="http://schemas.microsoft.com/office/drawing/2014/main" id="{191A5B2D-F0C3-5290-6BC5-AFBDEAF229C9}"/>
            </a:ext>
          </a:extLst>
        </xdr:cNvPr>
        <xdr:cNvSpPr/>
      </xdr:nvSpPr>
      <xdr:spPr>
        <a:xfrm>
          <a:off x="7372493" y="6813550"/>
          <a:ext cx="2402967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J10, intro: référence et particularité
10:35-11:39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9</xdr:col>
      <xdr:colOff>345710</xdr:colOff>
      <xdr:row>17</xdr:row>
      <xdr:rowOff>12700</xdr:rowOff>
    </xdr:from>
    <xdr:to>
      <xdr:col>10</xdr:col>
      <xdr:colOff>383492</xdr:colOff>
      <xdr:row>17</xdr:row>
      <xdr:rowOff>387350</xdr:rowOff>
    </xdr:to>
    <xdr:sp macro="" textlink="">
      <xdr:nvSpPr>
        <xdr:cNvPr id="13366" name="Rechthoek: afgeronde hoeken 13365">
          <a:extLst>
            <a:ext uri="{FF2B5EF4-FFF2-40B4-BE49-F238E27FC236}">
              <a16:creationId xmlns:a16="http://schemas.microsoft.com/office/drawing/2014/main" id="{17D26F37-0DAD-89C1-E2B9-EF41E648B36B}"/>
            </a:ext>
          </a:extLst>
        </xdr:cNvPr>
        <xdr:cNvSpPr/>
      </xdr:nvSpPr>
      <xdr:spPr>
        <a:xfrm>
          <a:off x="9775460" y="6813550"/>
          <a:ext cx="1171257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J0, Acides Aminés- peptides 
11:39-12:10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10</xdr:col>
      <xdr:colOff>383492</xdr:colOff>
      <xdr:row>17</xdr:row>
      <xdr:rowOff>12700</xdr:rowOff>
    </xdr:from>
    <xdr:to>
      <xdr:col>11</xdr:col>
      <xdr:colOff>761317</xdr:colOff>
      <xdr:row>17</xdr:row>
      <xdr:rowOff>387350</xdr:rowOff>
    </xdr:to>
    <xdr:sp macro="" textlink="">
      <xdr:nvSpPr>
        <xdr:cNvPr id="13367" name="Rechthoek: afgeronde hoeken 13366">
          <a:extLst>
            <a:ext uri="{FF2B5EF4-FFF2-40B4-BE49-F238E27FC236}">
              <a16:creationId xmlns:a16="http://schemas.microsoft.com/office/drawing/2014/main" id="{B48A9A9C-2B96-FD26-2B94-5AADAE0439F1}"/>
            </a:ext>
          </a:extLst>
        </xdr:cNvPr>
        <xdr:cNvSpPr/>
      </xdr:nvSpPr>
      <xdr:spPr>
        <a:xfrm>
          <a:off x="10946717" y="6813550"/>
          <a:ext cx="1511300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J0, Intervention rééducation part-2
12:10-12:50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11</xdr:col>
      <xdr:colOff>761317</xdr:colOff>
      <xdr:row>17</xdr:row>
      <xdr:rowOff>12700</xdr:rowOff>
    </xdr:from>
    <xdr:to>
      <xdr:col>13</xdr:col>
      <xdr:colOff>761317</xdr:colOff>
      <xdr:row>17</xdr:row>
      <xdr:rowOff>387350</xdr:rowOff>
    </xdr:to>
    <xdr:sp macro="" textlink="">
      <xdr:nvSpPr>
        <xdr:cNvPr id="13368" name="Rechthoek: afgeronde hoeken 13367">
          <a:extLst>
            <a:ext uri="{FF2B5EF4-FFF2-40B4-BE49-F238E27FC236}">
              <a16:creationId xmlns:a16="http://schemas.microsoft.com/office/drawing/2014/main" id="{CBE222A6-0CCC-6904-9804-1659D0C9B3CE}"/>
            </a:ext>
          </a:extLst>
        </xdr:cNvPr>
        <xdr:cNvSpPr/>
      </xdr:nvSpPr>
      <xdr:spPr>
        <a:xfrm>
          <a:off x="12458017" y="6813550"/>
          <a:ext cx="2266950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J0, Du chromosome à l'ADN
12:50-13:50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13</xdr:col>
      <xdr:colOff>761318</xdr:colOff>
      <xdr:row>17</xdr:row>
      <xdr:rowOff>12700</xdr:rowOff>
    </xdr:from>
    <xdr:to>
      <xdr:col>16</xdr:col>
      <xdr:colOff>119016</xdr:colOff>
      <xdr:row>17</xdr:row>
      <xdr:rowOff>387350</xdr:rowOff>
    </xdr:to>
    <xdr:sp macro="" textlink="">
      <xdr:nvSpPr>
        <xdr:cNvPr id="13369" name="Rechthoek: afgeronde hoeken 13368">
          <a:extLst>
            <a:ext uri="{FF2B5EF4-FFF2-40B4-BE49-F238E27FC236}">
              <a16:creationId xmlns:a16="http://schemas.microsoft.com/office/drawing/2014/main" id="{17B2FCAD-B099-2628-DE84-88D282E572FD}"/>
            </a:ext>
          </a:extLst>
        </xdr:cNvPr>
        <xdr:cNvSpPr/>
      </xdr:nvSpPr>
      <xdr:spPr>
        <a:xfrm>
          <a:off x="14724968" y="6813550"/>
          <a:ext cx="2758123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J0, corrélation et régression linéaire
13:50-15:03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16</xdr:col>
      <xdr:colOff>119014</xdr:colOff>
      <xdr:row>17</xdr:row>
      <xdr:rowOff>12700</xdr:rowOff>
    </xdr:from>
    <xdr:to>
      <xdr:col>18</xdr:col>
      <xdr:colOff>950229</xdr:colOff>
      <xdr:row>17</xdr:row>
      <xdr:rowOff>387350</xdr:rowOff>
    </xdr:to>
    <xdr:sp macro="" textlink="">
      <xdr:nvSpPr>
        <xdr:cNvPr id="13370" name="Rechthoek: afgeronde hoeken 13369">
          <a:extLst>
            <a:ext uri="{FF2B5EF4-FFF2-40B4-BE49-F238E27FC236}">
              <a16:creationId xmlns:a16="http://schemas.microsoft.com/office/drawing/2014/main" id="{697CCB1B-47F7-253D-4FFC-89E281AEB724}"/>
            </a:ext>
          </a:extLst>
        </xdr:cNvPr>
        <xdr:cNvSpPr/>
      </xdr:nvSpPr>
      <xdr:spPr>
        <a:xfrm>
          <a:off x="17483089" y="6813550"/>
          <a:ext cx="3098165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J0, Signalisation intracellulaire part 1
15:03-16:25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18</xdr:col>
      <xdr:colOff>950230</xdr:colOff>
      <xdr:row>17</xdr:row>
      <xdr:rowOff>12700</xdr:rowOff>
    </xdr:from>
    <xdr:to>
      <xdr:col>22</xdr:col>
      <xdr:colOff>0</xdr:colOff>
      <xdr:row>17</xdr:row>
      <xdr:rowOff>387350</xdr:rowOff>
    </xdr:to>
    <xdr:sp macro="" textlink="">
      <xdr:nvSpPr>
        <xdr:cNvPr id="13371" name="Rechthoek: afgeronde hoeken 13370">
          <a:extLst>
            <a:ext uri="{FF2B5EF4-FFF2-40B4-BE49-F238E27FC236}">
              <a16:creationId xmlns:a16="http://schemas.microsoft.com/office/drawing/2014/main" id="{85371D97-D5D4-7764-264F-CA8E2718E553}"/>
            </a:ext>
          </a:extLst>
        </xdr:cNvPr>
        <xdr:cNvSpPr/>
      </xdr:nvSpPr>
      <xdr:spPr>
        <a:xfrm>
          <a:off x="20581255" y="6813550"/>
          <a:ext cx="3583670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J0, Régulation et rôle du rein 
16:25-08:04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18</xdr:row>
      <xdr:rowOff>12700</xdr:rowOff>
    </xdr:from>
    <xdr:to>
      <xdr:col>2</xdr:col>
      <xdr:colOff>156797</xdr:colOff>
      <xdr:row>18</xdr:row>
      <xdr:rowOff>387350</xdr:rowOff>
    </xdr:to>
    <xdr:sp macro="" textlink="">
      <xdr:nvSpPr>
        <xdr:cNvPr id="13372" name="Rechthoek: afgeronde hoeken 13371">
          <a:extLst>
            <a:ext uri="{FF2B5EF4-FFF2-40B4-BE49-F238E27FC236}">
              <a16:creationId xmlns:a16="http://schemas.microsoft.com/office/drawing/2014/main" id="{617BE7E7-393B-657B-A66A-56AA7CA8A256}"/>
            </a:ext>
          </a:extLst>
        </xdr:cNvPr>
        <xdr:cNvSpPr/>
      </xdr:nvSpPr>
      <xdr:spPr>
        <a:xfrm>
          <a:off x="1495425" y="7213600"/>
          <a:ext cx="156797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J0, Régulation et rôle du rein 
16:25-08:04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156797</xdr:colOff>
      <xdr:row>18</xdr:row>
      <xdr:rowOff>12700</xdr:rowOff>
    </xdr:from>
    <xdr:to>
      <xdr:col>5</xdr:col>
      <xdr:colOff>799100</xdr:colOff>
      <xdr:row>18</xdr:row>
      <xdr:rowOff>387350</xdr:rowOff>
    </xdr:to>
    <xdr:sp macro="" textlink="">
      <xdr:nvSpPr>
        <xdr:cNvPr id="13373" name="Rechthoek: afgeronde hoeken 13372">
          <a:extLst>
            <a:ext uri="{FF2B5EF4-FFF2-40B4-BE49-F238E27FC236}">
              <a16:creationId xmlns:a16="http://schemas.microsoft.com/office/drawing/2014/main" id="{96570826-6881-B139-CB0A-1072B5567D2C}"/>
            </a:ext>
          </a:extLst>
        </xdr:cNvPr>
        <xdr:cNvSpPr/>
      </xdr:nvSpPr>
      <xdr:spPr>
        <a:xfrm>
          <a:off x="1652222" y="7213600"/>
          <a:ext cx="4042728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J0, Liaisons chimique et interactions moléculaires
08:04-09:51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799100</xdr:colOff>
      <xdr:row>18</xdr:row>
      <xdr:rowOff>12700</xdr:rowOff>
    </xdr:from>
    <xdr:to>
      <xdr:col>9</xdr:col>
      <xdr:colOff>421275</xdr:colOff>
      <xdr:row>18</xdr:row>
      <xdr:rowOff>387350</xdr:rowOff>
    </xdr:to>
    <xdr:sp macro="" textlink="">
      <xdr:nvSpPr>
        <xdr:cNvPr id="13374" name="Rechthoek: afgeronde hoeken 13373">
          <a:extLst>
            <a:ext uri="{FF2B5EF4-FFF2-40B4-BE49-F238E27FC236}">
              <a16:creationId xmlns:a16="http://schemas.microsoft.com/office/drawing/2014/main" id="{03F74545-963D-8460-CBDA-0C453D4386C1}"/>
            </a:ext>
          </a:extLst>
        </xdr:cNvPr>
        <xdr:cNvSpPr/>
      </xdr:nvSpPr>
      <xdr:spPr>
        <a:xfrm>
          <a:off x="5694950" y="7213600"/>
          <a:ext cx="4156075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J0, Physiologie et compartiments liquidiens 
09:51-11:41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9</xdr:col>
      <xdr:colOff>421275</xdr:colOff>
      <xdr:row>18</xdr:row>
      <xdr:rowOff>12700</xdr:rowOff>
    </xdr:from>
    <xdr:to>
      <xdr:col>12</xdr:col>
      <xdr:colOff>81233</xdr:colOff>
      <xdr:row>18</xdr:row>
      <xdr:rowOff>387350</xdr:rowOff>
    </xdr:to>
    <xdr:sp macro="" textlink="">
      <xdr:nvSpPr>
        <xdr:cNvPr id="13375" name="Rechthoek: afgeronde hoeken 13374">
          <a:extLst>
            <a:ext uri="{FF2B5EF4-FFF2-40B4-BE49-F238E27FC236}">
              <a16:creationId xmlns:a16="http://schemas.microsoft.com/office/drawing/2014/main" id="{D55E338D-A15A-16EE-BBD2-E2F70F5228F0}"/>
            </a:ext>
          </a:extLst>
        </xdr:cNvPr>
        <xdr:cNvSpPr/>
      </xdr:nvSpPr>
      <xdr:spPr>
        <a:xfrm>
          <a:off x="9851025" y="7213600"/>
          <a:ext cx="3060383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J2, États  de la matière et leur caractérisation 
11:41-13:02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12</xdr:col>
      <xdr:colOff>81232</xdr:colOff>
      <xdr:row>18</xdr:row>
      <xdr:rowOff>12700</xdr:rowOff>
    </xdr:from>
    <xdr:to>
      <xdr:col>15</xdr:col>
      <xdr:colOff>489283</xdr:colOff>
      <xdr:row>18</xdr:row>
      <xdr:rowOff>387350</xdr:rowOff>
    </xdr:to>
    <xdr:sp macro="" textlink="">
      <xdr:nvSpPr>
        <xdr:cNvPr id="13376" name="Rechthoek: afgeronde hoeken 13375">
          <a:extLst>
            <a:ext uri="{FF2B5EF4-FFF2-40B4-BE49-F238E27FC236}">
              <a16:creationId xmlns:a16="http://schemas.microsoft.com/office/drawing/2014/main" id="{4AF2D770-9CE9-79B6-BA3E-8CA6BBCCDA32}"/>
            </a:ext>
          </a:extLst>
        </xdr:cNvPr>
        <xdr:cNvSpPr/>
      </xdr:nvSpPr>
      <xdr:spPr>
        <a:xfrm>
          <a:off x="12911407" y="7213600"/>
          <a:ext cx="3808476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J2, Interaction rayonnement-Matière 
13:02-14:42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15</xdr:col>
      <xdr:colOff>489283</xdr:colOff>
      <xdr:row>18</xdr:row>
      <xdr:rowOff>12700</xdr:rowOff>
    </xdr:from>
    <xdr:to>
      <xdr:col>18</xdr:col>
      <xdr:colOff>931338</xdr:colOff>
      <xdr:row>18</xdr:row>
      <xdr:rowOff>387350</xdr:rowOff>
    </xdr:to>
    <xdr:sp macro="" textlink="">
      <xdr:nvSpPr>
        <xdr:cNvPr id="13377" name="Rechthoek: afgeronde hoeken 13376">
          <a:extLst>
            <a:ext uri="{FF2B5EF4-FFF2-40B4-BE49-F238E27FC236}">
              <a16:creationId xmlns:a16="http://schemas.microsoft.com/office/drawing/2014/main" id="{EBB7831A-EA0A-F7D7-3A79-9AA3BF31462E}"/>
            </a:ext>
          </a:extLst>
        </xdr:cNvPr>
        <xdr:cNvSpPr/>
      </xdr:nvSpPr>
      <xdr:spPr>
        <a:xfrm>
          <a:off x="16719883" y="7213600"/>
          <a:ext cx="3842480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J2, essai thérapeutique 
14:42-16:24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18</xdr:col>
      <xdr:colOff>931339</xdr:colOff>
      <xdr:row>18</xdr:row>
      <xdr:rowOff>12700</xdr:rowOff>
    </xdr:from>
    <xdr:to>
      <xdr:col>22</xdr:col>
      <xdr:colOff>0</xdr:colOff>
      <xdr:row>18</xdr:row>
      <xdr:rowOff>387350</xdr:rowOff>
    </xdr:to>
    <xdr:sp macro="" textlink="">
      <xdr:nvSpPr>
        <xdr:cNvPr id="13378" name="Rechthoek: afgeronde hoeken 13377">
          <a:extLst>
            <a:ext uri="{FF2B5EF4-FFF2-40B4-BE49-F238E27FC236}">
              <a16:creationId xmlns:a16="http://schemas.microsoft.com/office/drawing/2014/main" id="{E61D1397-D0C1-C820-4685-04AE83652EA1}"/>
            </a:ext>
          </a:extLst>
        </xdr:cNvPr>
        <xdr:cNvSpPr/>
      </xdr:nvSpPr>
      <xdr:spPr>
        <a:xfrm>
          <a:off x="20562364" y="7213600"/>
          <a:ext cx="3602561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J2, Les très basses fréquences du spectre électromagnétique 
16:24-08:12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19</xdr:row>
      <xdr:rowOff>12700</xdr:rowOff>
    </xdr:from>
    <xdr:to>
      <xdr:col>2</xdr:col>
      <xdr:colOff>477949</xdr:colOff>
      <xdr:row>19</xdr:row>
      <xdr:rowOff>387350</xdr:rowOff>
    </xdr:to>
    <xdr:sp macro="" textlink="">
      <xdr:nvSpPr>
        <xdr:cNvPr id="13379" name="Rechthoek: afgeronde hoeken 13378">
          <a:extLst>
            <a:ext uri="{FF2B5EF4-FFF2-40B4-BE49-F238E27FC236}">
              <a16:creationId xmlns:a16="http://schemas.microsoft.com/office/drawing/2014/main" id="{F55B3347-83DB-3CF0-94F4-018D4C7145D3}"/>
            </a:ext>
          </a:extLst>
        </xdr:cNvPr>
        <xdr:cNvSpPr/>
      </xdr:nvSpPr>
      <xdr:spPr>
        <a:xfrm>
          <a:off x="1495425" y="7613650"/>
          <a:ext cx="477949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J2, Les très basses fréquences du spectre électromagnétique 
16:24-08:12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477949</xdr:colOff>
      <xdr:row>19</xdr:row>
      <xdr:rowOff>12700</xdr:rowOff>
    </xdr:from>
    <xdr:to>
      <xdr:col>3</xdr:col>
      <xdr:colOff>931339</xdr:colOff>
      <xdr:row>19</xdr:row>
      <xdr:rowOff>387350</xdr:rowOff>
    </xdr:to>
    <xdr:sp macro="" textlink="">
      <xdr:nvSpPr>
        <xdr:cNvPr id="13380" name="Rechthoek: afgeronde hoeken 13379">
          <a:extLst>
            <a:ext uri="{FF2B5EF4-FFF2-40B4-BE49-F238E27FC236}">
              <a16:creationId xmlns:a16="http://schemas.microsoft.com/office/drawing/2014/main" id="{05D5B15B-46F8-7797-E897-0A5A85A3D0C7}"/>
            </a:ext>
          </a:extLst>
        </xdr:cNvPr>
        <xdr:cNvSpPr/>
      </xdr:nvSpPr>
      <xdr:spPr>
        <a:xfrm>
          <a:off x="1973374" y="7613650"/>
          <a:ext cx="1586865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J10, Thermodynamique 
08:12-08:54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931339</xdr:colOff>
      <xdr:row>19</xdr:row>
      <xdr:rowOff>12700</xdr:rowOff>
    </xdr:from>
    <xdr:to>
      <xdr:col>5</xdr:col>
      <xdr:colOff>1112695</xdr:colOff>
      <xdr:row>19</xdr:row>
      <xdr:rowOff>387350</xdr:rowOff>
    </xdr:to>
    <xdr:sp macro="" textlink="">
      <xdr:nvSpPr>
        <xdr:cNvPr id="13381" name="Rechthoek: afgeronde hoeken 13380">
          <a:extLst>
            <a:ext uri="{FF2B5EF4-FFF2-40B4-BE49-F238E27FC236}">
              <a16:creationId xmlns:a16="http://schemas.microsoft.com/office/drawing/2014/main" id="{BEF484A4-7BB5-4A91-E5C0-087A547C3664}"/>
            </a:ext>
          </a:extLst>
        </xdr:cNvPr>
        <xdr:cNvSpPr/>
      </xdr:nvSpPr>
      <xdr:spPr>
        <a:xfrm>
          <a:off x="3560239" y="7613650"/>
          <a:ext cx="2448306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J10, Intervention rééducation part-3
08:54-09:59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1112694</xdr:colOff>
      <xdr:row>19</xdr:row>
      <xdr:rowOff>12700</xdr:rowOff>
    </xdr:from>
    <xdr:to>
      <xdr:col>8</xdr:col>
      <xdr:colOff>228583</xdr:colOff>
      <xdr:row>19</xdr:row>
      <xdr:rowOff>387350</xdr:rowOff>
    </xdr:to>
    <xdr:sp macro="" textlink="">
      <xdr:nvSpPr>
        <xdr:cNvPr id="13382" name="Rechthoek: afgeronde hoeken 13381">
          <a:extLst>
            <a:ext uri="{FF2B5EF4-FFF2-40B4-BE49-F238E27FC236}">
              <a16:creationId xmlns:a16="http://schemas.microsoft.com/office/drawing/2014/main" id="{3BD4D03D-320A-EA96-61B6-38BB87CD5CAE}"/>
            </a:ext>
          </a:extLst>
        </xdr:cNvPr>
        <xdr:cNvSpPr/>
      </xdr:nvSpPr>
      <xdr:spPr>
        <a:xfrm>
          <a:off x="6008544" y="7613650"/>
          <a:ext cx="2516314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J10, Protéines 
09:59-11:06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8</xdr:col>
      <xdr:colOff>228584</xdr:colOff>
      <xdr:row>19</xdr:row>
      <xdr:rowOff>12700</xdr:rowOff>
    </xdr:from>
    <xdr:to>
      <xdr:col>9</xdr:col>
      <xdr:colOff>304149</xdr:colOff>
      <xdr:row>19</xdr:row>
      <xdr:rowOff>387350</xdr:rowOff>
    </xdr:to>
    <xdr:sp macro="" textlink="">
      <xdr:nvSpPr>
        <xdr:cNvPr id="13383" name="Rechthoek: afgeronde hoeken 13382">
          <a:extLst>
            <a:ext uri="{FF2B5EF4-FFF2-40B4-BE49-F238E27FC236}">
              <a16:creationId xmlns:a16="http://schemas.microsoft.com/office/drawing/2014/main" id="{509FFDEE-0B83-7749-623D-8079FE40C4C3}"/>
            </a:ext>
          </a:extLst>
        </xdr:cNvPr>
        <xdr:cNvSpPr/>
      </xdr:nvSpPr>
      <xdr:spPr>
        <a:xfrm>
          <a:off x="8524859" y="7613650"/>
          <a:ext cx="1209040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J0, psychologie générale 
11:06-11:38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9</xdr:col>
      <xdr:colOff>304149</xdr:colOff>
      <xdr:row>19</xdr:row>
      <xdr:rowOff>12700</xdr:rowOff>
    </xdr:from>
    <xdr:to>
      <xdr:col>11</xdr:col>
      <xdr:colOff>153019</xdr:colOff>
      <xdr:row>19</xdr:row>
      <xdr:rowOff>387350</xdr:rowOff>
    </xdr:to>
    <xdr:sp macro="" textlink="">
      <xdr:nvSpPr>
        <xdr:cNvPr id="13384" name="Rechthoek: afgeronde hoeken 13383">
          <a:extLst>
            <a:ext uri="{FF2B5EF4-FFF2-40B4-BE49-F238E27FC236}">
              <a16:creationId xmlns:a16="http://schemas.microsoft.com/office/drawing/2014/main" id="{1AA794F2-7528-5BF0-27A7-0FB7B460913B}"/>
            </a:ext>
          </a:extLst>
        </xdr:cNvPr>
        <xdr:cNvSpPr/>
      </xdr:nvSpPr>
      <xdr:spPr>
        <a:xfrm>
          <a:off x="9733899" y="7613650"/>
          <a:ext cx="2115820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J0, schéma d'étude 
11:38-12:34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11</xdr:col>
      <xdr:colOff>153019</xdr:colOff>
      <xdr:row>19</xdr:row>
      <xdr:rowOff>12700</xdr:rowOff>
    </xdr:from>
    <xdr:to>
      <xdr:col>13</xdr:col>
      <xdr:colOff>1889</xdr:colOff>
      <xdr:row>19</xdr:row>
      <xdr:rowOff>387350</xdr:rowOff>
    </xdr:to>
    <xdr:sp macro="" textlink="">
      <xdr:nvSpPr>
        <xdr:cNvPr id="13385" name="Rechthoek: afgeronde hoeken 13384">
          <a:extLst>
            <a:ext uri="{FF2B5EF4-FFF2-40B4-BE49-F238E27FC236}">
              <a16:creationId xmlns:a16="http://schemas.microsoft.com/office/drawing/2014/main" id="{30145B91-B977-7F68-815D-2F811A120A1C}"/>
            </a:ext>
          </a:extLst>
        </xdr:cNvPr>
        <xdr:cNvSpPr/>
      </xdr:nvSpPr>
      <xdr:spPr>
        <a:xfrm>
          <a:off x="11849719" y="7613650"/>
          <a:ext cx="2115820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J0, Les alcools- les amines
12:34-13:30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13</xdr:col>
      <xdr:colOff>1890</xdr:colOff>
      <xdr:row>19</xdr:row>
      <xdr:rowOff>12700</xdr:rowOff>
    </xdr:from>
    <xdr:to>
      <xdr:col>16</xdr:col>
      <xdr:colOff>455280</xdr:colOff>
      <xdr:row>19</xdr:row>
      <xdr:rowOff>387350</xdr:rowOff>
    </xdr:to>
    <xdr:sp macro="" textlink="">
      <xdr:nvSpPr>
        <xdr:cNvPr id="13386" name="Rechthoek: afgeronde hoeken 13385">
          <a:extLst>
            <a:ext uri="{FF2B5EF4-FFF2-40B4-BE49-F238E27FC236}">
              <a16:creationId xmlns:a16="http://schemas.microsoft.com/office/drawing/2014/main" id="{159FE83D-D41B-788A-C8B6-C80C00ECCD9A}"/>
            </a:ext>
          </a:extLst>
        </xdr:cNvPr>
        <xdr:cNvSpPr/>
      </xdr:nvSpPr>
      <xdr:spPr>
        <a:xfrm>
          <a:off x="13965540" y="7613650"/>
          <a:ext cx="3853815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J0, Introduction épidémiologie et stats
13:30-15:12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16</xdr:col>
      <xdr:colOff>455279</xdr:colOff>
      <xdr:row>19</xdr:row>
      <xdr:rowOff>12700</xdr:rowOff>
    </xdr:from>
    <xdr:to>
      <xdr:col>19</xdr:col>
      <xdr:colOff>984234</xdr:colOff>
      <xdr:row>19</xdr:row>
      <xdr:rowOff>387350</xdr:rowOff>
    </xdr:to>
    <xdr:sp macro="" textlink="">
      <xdr:nvSpPr>
        <xdr:cNvPr id="13387" name="Rechthoek: afgeronde hoeken 13386">
          <a:extLst>
            <a:ext uri="{FF2B5EF4-FFF2-40B4-BE49-F238E27FC236}">
              <a16:creationId xmlns:a16="http://schemas.microsoft.com/office/drawing/2014/main" id="{2745C5A0-6648-A498-39D7-2610C80DB51D}"/>
            </a:ext>
          </a:extLst>
        </xdr:cNvPr>
        <xdr:cNvSpPr/>
      </xdr:nvSpPr>
      <xdr:spPr>
        <a:xfrm>
          <a:off x="17819354" y="7613650"/>
          <a:ext cx="3929380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J0, Intervention rééducation part-5
15:12-16:56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19</xdr:col>
      <xdr:colOff>984234</xdr:colOff>
      <xdr:row>19</xdr:row>
      <xdr:rowOff>12700</xdr:rowOff>
    </xdr:from>
    <xdr:to>
      <xdr:col>20</xdr:col>
      <xdr:colOff>904891</xdr:colOff>
      <xdr:row>19</xdr:row>
      <xdr:rowOff>387350</xdr:rowOff>
    </xdr:to>
    <xdr:sp macro="" textlink="">
      <xdr:nvSpPr>
        <xdr:cNvPr id="13388" name="Rechthoek: afgeronde hoeken 13387">
          <a:extLst>
            <a:ext uri="{FF2B5EF4-FFF2-40B4-BE49-F238E27FC236}">
              <a16:creationId xmlns:a16="http://schemas.microsoft.com/office/drawing/2014/main" id="{5AD8E4EA-61C2-C671-3507-DC2C98D93152}"/>
            </a:ext>
          </a:extLst>
        </xdr:cNvPr>
        <xdr:cNvSpPr/>
      </xdr:nvSpPr>
      <xdr:spPr>
        <a:xfrm>
          <a:off x="21748734" y="7613650"/>
          <a:ext cx="1054132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J2, Acides Aminés- peptides 
16:56-17:23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20</xdr:col>
      <xdr:colOff>904891</xdr:colOff>
      <xdr:row>19</xdr:row>
      <xdr:rowOff>12700</xdr:rowOff>
    </xdr:from>
    <xdr:to>
      <xdr:col>21</xdr:col>
      <xdr:colOff>1131586</xdr:colOff>
      <xdr:row>19</xdr:row>
      <xdr:rowOff>387350</xdr:rowOff>
    </xdr:to>
    <xdr:sp macro="" textlink="">
      <xdr:nvSpPr>
        <xdr:cNvPr id="13389" name="Rechthoek: afgeronde hoeken 13388">
          <a:extLst>
            <a:ext uri="{FF2B5EF4-FFF2-40B4-BE49-F238E27FC236}">
              <a16:creationId xmlns:a16="http://schemas.microsoft.com/office/drawing/2014/main" id="{47E56103-13A6-C941-AB6D-AF3469690A44}"/>
            </a:ext>
          </a:extLst>
        </xdr:cNvPr>
        <xdr:cNvSpPr/>
      </xdr:nvSpPr>
      <xdr:spPr>
        <a:xfrm>
          <a:off x="22802866" y="7613650"/>
          <a:ext cx="1360170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J2, Intervention rééducation part-2
17:23-17:59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21</xdr:col>
      <xdr:colOff>1131586</xdr:colOff>
      <xdr:row>19</xdr:row>
      <xdr:rowOff>12700</xdr:rowOff>
    </xdr:from>
    <xdr:to>
      <xdr:col>22</xdr:col>
      <xdr:colOff>0</xdr:colOff>
      <xdr:row>19</xdr:row>
      <xdr:rowOff>387350</xdr:rowOff>
    </xdr:to>
    <xdr:sp macro="" textlink="">
      <xdr:nvSpPr>
        <xdr:cNvPr id="13390" name="Rechthoek: afgeronde hoeken 13389">
          <a:extLst>
            <a:ext uri="{FF2B5EF4-FFF2-40B4-BE49-F238E27FC236}">
              <a16:creationId xmlns:a16="http://schemas.microsoft.com/office/drawing/2014/main" id="{EDDD256A-BD4F-4578-55C5-E2B0B504EB56}"/>
            </a:ext>
          </a:extLst>
        </xdr:cNvPr>
        <xdr:cNvSpPr/>
      </xdr:nvSpPr>
      <xdr:spPr>
        <a:xfrm>
          <a:off x="24163036" y="7613650"/>
          <a:ext cx="1889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J2, Du chromosome à l'ADN
17:59-08:53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20</xdr:row>
      <xdr:rowOff>12700</xdr:rowOff>
    </xdr:from>
    <xdr:to>
      <xdr:col>3</xdr:col>
      <xdr:colOff>904891</xdr:colOff>
      <xdr:row>20</xdr:row>
      <xdr:rowOff>387350</xdr:rowOff>
    </xdr:to>
    <xdr:sp macro="" textlink="">
      <xdr:nvSpPr>
        <xdr:cNvPr id="13391" name="Rechthoek: afgeronde hoeken 13390">
          <a:extLst>
            <a:ext uri="{FF2B5EF4-FFF2-40B4-BE49-F238E27FC236}">
              <a16:creationId xmlns:a16="http://schemas.microsoft.com/office/drawing/2014/main" id="{15E73561-00BD-6E70-40F5-3DBD05543992}"/>
            </a:ext>
          </a:extLst>
        </xdr:cNvPr>
        <xdr:cNvSpPr/>
      </xdr:nvSpPr>
      <xdr:spPr>
        <a:xfrm>
          <a:off x="1495425" y="8013700"/>
          <a:ext cx="2038366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J2, Du chromosome à l'ADN
17:59-08:53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904891</xdr:colOff>
      <xdr:row>20</xdr:row>
      <xdr:rowOff>12700</xdr:rowOff>
    </xdr:from>
    <xdr:to>
      <xdr:col>5</xdr:col>
      <xdr:colOff>1120251</xdr:colOff>
      <xdr:row>20</xdr:row>
      <xdr:rowOff>387350</xdr:rowOff>
    </xdr:to>
    <xdr:sp macro="" textlink="">
      <xdr:nvSpPr>
        <xdr:cNvPr id="13392" name="Rechthoek: afgeronde hoeken 13391">
          <a:extLst>
            <a:ext uri="{FF2B5EF4-FFF2-40B4-BE49-F238E27FC236}">
              <a16:creationId xmlns:a16="http://schemas.microsoft.com/office/drawing/2014/main" id="{E542F4B1-693B-4E22-35C0-8A99ACB827C6}"/>
            </a:ext>
          </a:extLst>
        </xdr:cNvPr>
        <xdr:cNvSpPr/>
      </xdr:nvSpPr>
      <xdr:spPr>
        <a:xfrm>
          <a:off x="3533791" y="8013700"/>
          <a:ext cx="2482310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J2, corrélation et régression linéaire
08:53-09:59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1120251</xdr:colOff>
      <xdr:row>20</xdr:row>
      <xdr:rowOff>12700</xdr:rowOff>
    </xdr:from>
    <xdr:to>
      <xdr:col>8</xdr:col>
      <xdr:colOff>508174</xdr:colOff>
      <xdr:row>20</xdr:row>
      <xdr:rowOff>387350</xdr:rowOff>
    </xdr:to>
    <xdr:sp macro="" textlink="">
      <xdr:nvSpPr>
        <xdr:cNvPr id="13393" name="Rechthoek: afgeronde hoeken 13392">
          <a:extLst>
            <a:ext uri="{FF2B5EF4-FFF2-40B4-BE49-F238E27FC236}">
              <a16:creationId xmlns:a16="http://schemas.microsoft.com/office/drawing/2014/main" id="{66A810F2-BAFF-E547-DF39-8E1663503AD0}"/>
            </a:ext>
          </a:extLst>
        </xdr:cNvPr>
        <xdr:cNvSpPr/>
      </xdr:nvSpPr>
      <xdr:spPr>
        <a:xfrm>
          <a:off x="6016101" y="8013700"/>
          <a:ext cx="2788348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J2, Signalisation intracellulaire part 1
09:59-11:13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8</xdr:col>
      <xdr:colOff>508174</xdr:colOff>
      <xdr:row>20</xdr:row>
      <xdr:rowOff>12700</xdr:rowOff>
    </xdr:from>
    <xdr:to>
      <xdr:col>11</xdr:col>
      <xdr:colOff>474170</xdr:colOff>
      <xdr:row>20</xdr:row>
      <xdr:rowOff>387350</xdr:rowOff>
    </xdr:to>
    <xdr:sp macro="" textlink="">
      <xdr:nvSpPr>
        <xdr:cNvPr id="13394" name="Rechthoek: afgeronde hoeken 13393">
          <a:extLst>
            <a:ext uri="{FF2B5EF4-FFF2-40B4-BE49-F238E27FC236}">
              <a16:creationId xmlns:a16="http://schemas.microsoft.com/office/drawing/2014/main" id="{BB60CFE9-9A83-B42C-3710-C3AF09E657E8}"/>
            </a:ext>
          </a:extLst>
        </xdr:cNvPr>
        <xdr:cNvSpPr/>
      </xdr:nvSpPr>
      <xdr:spPr>
        <a:xfrm>
          <a:off x="8804449" y="8013700"/>
          <a:ext cx="3366421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J2, Régulation et rôle du rein 
11:13-12:42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11</xdr:col>
      <xdr:colOff>474170</xdr:colOff>
      <xdr:row>20</xdr:row>
      <xdr:rowOff>12700</xdr:rowOff>
    </xdr:from>
    <xdr:to>
      <xdr:col>14</xdr:col>
      <xdr:colOff>712200</xdr:colOff>
      <xdr:row>20</xdr:row>
      <xdr:rowOff>387350</xdr:rowOff>
    </xdr:to>
    <xdr:sp macro="" textlink="">
      <xdr:nvSpPr>
        <xdr:cNvPr id="13395" name="Rechthoek: afgeronde hoeken 13394">
          <a:extLst>
            <a:ext uri="{FF2B5EF4-FFF2-40B4-BE49-F238E27FC236}">
              <a16:creationId xmlns:a16="http://schemas.microsoft.com/office/drawing/2014/main" id="{C52EE06E-2DBE-9B29-D3CF-1B328586C420}"/>
            </a:ext>
          </a:extLst>
        </xdr:cNvPr>
        <xdr:cNvSpPr/>
      </xdr:nvSpPr>
      <xdr:spPr>
        <a:xfrm>
          <a:off x="12170870" y="8013700"/>
          <a:ext cx="3638455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J2, Liaisons chimique et interactions moléculaires
12:42-14:18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14</xdr:col>
      <xdr:colOff>712200</xdr:colOff>
      <xdr:row>20</xdr:row>
      <xdr:rowOff>12700</xdr:rowOff>
    </xdr:from>
    <xdr:to>
      <xdr:col>17</xdr:col>
      <xdr:colOff>1052242</xdr:colOff>
      <xdr:row>20</xdr:row>
      <xdr:rowOff>387350</xdr:rowOff>
    </xdr:to>
    <xdr:sp macro="" textlink="">
      <xdr:nvSpPr>
        <xdr:cNvPr id="13396" name="Rechthoek: afgeronde hoeken 13395">
          <a:extLst>
            <a:ext uri="{FF2B5EF4-FFF2-40B4-BE49-F238E27FC236}">
              <a16:creationId xmlns:a16="http://schemas.microsoft.com/office/drawing/2014/main" id="{EDD55F74-2948-B9DF-D2AD-236B6C46946E}"/>
            </a:ext>
          </a:extLst>
        </xdr:cNvPr>
        <xdr:cNvSpPr/>
      </xdr:nvSpPr>
      <xdr:spPr>
        <a:xfrm>
          <a:off x="15809325" y="8013700"/>
          <a:ext cx="3740467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J2, Physiologie et compartiments liquidiens 
14:18-15:57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17</xdr:col>
      <xdr:colOff>1052243</xdr:colOff>
      <xdr:row>20</xdr:row>
      <xdr:rowOff>12700</xdr:rowOff>
    </xdr:from>
    <xdr:to>
      <xdr:col>18</xdr:col>
      <xdr:colOff>989902</xdr:colOff>
      <xdr:row>20</xdr:row>
      <xdr:rowOff>387350</xdr:rowOff>
    </xdr:to>
    <xdr:sp macro="" textlink="">
      <xdr:nvSpPr>
        <xdr:cNvPr id="13397" name="Rechthoek: afgeronde hoeken 13396">
          <a:extLst>
            <a:ext uri="{FF2B5EF4-FFF2-40B4-BE49-F238E27FC236}">
              <a16:creationId xmlns:a16="http://schemas.microsoft.com/office/drawing/2014/main" id="{62B6CE4A-D545-8FD9-EAD2-58BEC771563B}"/>
            </a:ext>
          </a:extLst>
        </xdr:cNvPr>
        <xdr:cNvSpPr/>
      </xdr:nvSpPr>
      <xdr:spPr>
        <a:xfrm>
          <a:off x="19549793" y="8013700"/>
          <a:ext cx="1071134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J15, Intervention rééducation part-1 
15:57-16:26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18</xdr:col>
      <xdr:colOff>989901</xdr:colOff>
      <xdr:row>20</xdr:row>
      <xdr:rowOff>12700</xdr:rowOff>
    </xdr:from>
    <xdr:to>
      <xdr:col>21</xdr:col>
      <xdr:colOff>309816</xdr:colOff>
      <xdr:row>20</xdr:row>
      <xdr:rowOff>387350</xdr:rowOff>
    </xdr:to>
    <xdr:sp macro="" textlink="">
      <xdr:nvSpPr>
        <xdr:cNvPr id="13398" name="Rechthoek: afgeronde hoeken 13397">
          <a:extLst>
            <a:ext uri="{FF2B5EF4-FFF2-40B4-BE49-F238E27FC236}">
              <a16:creationId xmlns:a16="http://schemas.microsoft.com/office/drawing/2014/main" id="{1BE910F9-DBF4-7FDF-B376-AAB12CD3717A}"/>
            </a:ext>
          </a:extLst>
        </xdr:cNvPr>
        <xdr:cNvSpPr/>
      </xdr:nvSpPr>
      <xdr:spPr>
        <a:xfrm>
          <a:off x="20620926" y="8013700"/>
          <a:ext cx="2720340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J6, La discipline anthropologique 
16:26-17:38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21</xdr:col>
      <xdr:colOff>309817</xdr:colOff>
      <xdr:row>20</xdr:row>
      <xdr:rowOff>12700</xdr:rowOff>
    </xdr:from>
    <xdr:to>
      <xdr:col>22</xdr:col>
      <xdr:colOff>1</xdr:colOff>
      <xdr:row>20</xdr:row>
      <xdr:rowOff>387350</xdr:rowOff>
    </xdr:to>
    <xdr:sp macro="" textlink="">
      <xdr:nvSpPr>
        <xdr:cNvPr id="13399" name="Rechthoek: afgeronde hoeken 13398">
          <a:extLst>
            <a:ext uri="{FF2B5EF4-FFF2-40B4-BE49-F238E27FC236}">
              <a16:creationId xmlns:a16="http://schemas.microsoft.com/office/drawing/2014/main" id="{D25C00CE-5696-FE1F-541E-9C83E561AA8E}"/>
            </a:ext>
          </a:extLst>
        </xdr:cNvPr>
        <xdr:cNvSpPr/>
      </xdr:nvSpPr>
      <xdr:spPr>
        <a:xfrm>
          <a:off x="23341267" y="8013700"/>
          <a:ext cx="823659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J6, intro: tissus
17:38-09:02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21</xdr:row>
      <xdr:rowOff>12700</xdr:rowOff>
    </xdr:from>
    <xdr:to>
      <xdr:col>4</xdr:col>
      <xdr:colOff>111458</xdr:colOff>
      <xdr:row>21</xdr:row>
      <xdr:rowOff>387350</xdr:rowOff>
    </xdr:to>
    <xdr:sp macro="" textlink="">
      <xdr:nvSpPr>
        <xdr:cNvPr id="13400" name="Rechthoek: afgeronde hoeken 13399">
          <a:extLst>
            <a:ext uri="{FF2B5EF4-FFF2-40B4-BE49-F238E27FC236}">
              <a16:creationId xmlns:a16="http://schemas.microsoft.com/office/drawing/2014/main" id="{35386928-F122-9E71-8DED-E951C0BCB1D6}"/>
            </a:ext>
          </a:extLst>
        </xdr:cNvPr>
        <xdr:cNvSpPr/>
      </xdr:nvSpPr>
      <xdr:spPr>
        <a:xfrm>
          <a:off x="1495425" y="8413750"/>
          <a:ext cx="2378408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J6, intro: tissus
17:38-09:02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4</xdr:col>
      <xdr:colOff>111458</xdr:colOff>
      <xdr:row>21</xdr:row>
      <xdr:rowOff>12700</xdr:rowOff>
    </xdr:from>
    <xdr:to>
      <xdr:col>5</xdr:col>
      <xdr:colOff>66119</xdr:colOff>
      <xdr:row>21</xdr:row>
      <xdr:rowOff>387350</xdr:rowOff>
    </xdr:to>
    <xdr:sp macro="" textlink="">
      <xdr:nvSpPr>
        <xdr:cNvPr id="13401" name="Rechthoek: afgeronde hoeken 13400">
          <a:extLst>
            <a:ext uri="{FF2B5EF4-FFF2-40B4-BE49-F238E27FC236}">
              <a16:creationId xmlns:a16="http://schemas.microsoft.com/office/drawing/2014/main" id="{DB2E4010-127C-859E-9795-1624B74444AA}"/>
            </a:ext>
          </a:extLst>
        </xdr:cNvPr>
        <xdr:cNvSpPr/>
      </xdr:nvSpPr>
      <xdr:spPr>
        <a:xfrm>
          <a:off x="3873833" y="8413750"/>
          <a:ext cx="1088136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J2, psychologie générale 
09:02-09:31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66119</xdr:colOff>
      <xdr:row>21</xdr:row>
      <xdr:rowOff>12700</xdr:rowOff>
    </xdr:from>
    <xdr:to>
      <xdr:col>6</xdr:col>
      <xdr:colOff>836882</xdr:colOff>
      <xdr:row>21</xdr:row>
      <xdr:rowOff>387350</xdr:rowOff>
    </xdr:to>
    <xdr:sp macro="" textlink="">
      <xdr:nvSpPr>
        <xdr:cNvPr id="13402" name="Rechthoek: afgeronde hoeken 13401">
          <a:extLst>
            <a:ext uri="{FF2B5EF4-FFF2-40B4-BE49-F238E27FC236}">
              <a16:creationId xmlns:a16="http://schemas.microsoft.com/office/drawing/2014/main" id="{8DE5A34A-CF25-71B0-FB65-46FBC7E3D133}"/>
            </a:ext>
          </a:extLst>
        </xdr:cNvPr>
        <xdr:cNvSpPr/>
      </xdr:nvSpPr>
      <xdr:spPr>
        <a:xfrm>
          <a:off x="4961969" y="8413750"/>
          <a:ext cx="1904238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J2, schéma d'étude 
09:31-10:22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6</xdr:col>
      <xdr:colOff>836882</xdr:colOff>
      <xdr:row>21</xdr:row>
      <xdr:rowOff>12700</xdr:rowOff>
    </xdr:from>
    <xdr:to>
      <xdr:col>8</xdr:col>
      <xdr:colOff>474170</xdr:colOff>
      <xdr:row>21</xdr:row>
      <xdr:rowOff>387350</xdr:rowOff>
    </xdr:to>
    <xdr:sp macro="" textlink="">
      <xdr:nvSpPr>
        <xdr:cNvPr id="13403" name="Rechthoek: afgeronde hoeken 13402">
          <a:extLst>
            <a:ext uri="{FF2B5EF4-FFF2-40B4-BE49-F238E27FC236}">
              <a16:creationId xmlns:a16="http://schemas.microsoft.com/office/drawing/2014/main" id="{4171098F-E6DE-4F5E-81E2-2DBEB6E56C91}"/>
            </a:ext>
          </a:extLst>
        </xdr:cNvPr>
        <xdr:cNvSpPr/>
      </xdr:nvSpPr>
      <xdr:spPr>
        <a:xfrm>
          <a:off x="6866207" y="8413750"/>
          <a:ext cx="1904238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J2, Les alcools- les amines
10:22-11:12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8</xdr:col>
      <xdr:colOff>474170</xdr:colOff>
      <xdr:row>21</xdr:row>
      <xdr:rowOff>12700</xdr:rowOff>
    </xdr:from>
    <xdr:to>
      <xdr:col>11</xdr:col>
      <xdr:colOff>542179</xdr:colOff>
      <xdr:row>21</xdr:row>
      <xdr:rowOff>387350</xdr:rowOff>
    </xdr:to>
    <xdr:sp macro="" textlink="">
      <xdr:nvSpPr>
        <xdr:cNvPr id="13404" name="Rechthoek: afgeronde hoeken 13403">
          <a:extLst>
            <a:ext uri="{FF2B5EF4-FFF2-40B4-BE49-F238E27FC236}">
              <a16:creationId xmlns:a16="http://schemas.microsoft.com/office/drawing/2014/main" id="{BA04FE89-395E-FC1E-002D-0D008B47D8DD}"/>
            </a:ext>
          </a:extLst>
        </xdr:cNvPr>
        <xdr:cNvSpPr/>
      </xdr:nvSpPr>
      <xdr:spPr>
        <a:xfrm>
          <a:off x="8770445" y="8413750"/>
          <a:ext cx="3468434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J2, Introduction épidémiologie et stats
11:12-12:44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11</xdr:col>
      <xdr:colOff>542179</xdr:colOff>
      <xdr:row>21</xdr:row>
      <xdr:rowOff>12700</xdr:rowOff>
    </xdr:from>
    <xdr:to>
      <xdr:col>14</xdr:col>
      <xdr:colOff>678196</xdr:colOff>
      <xdr:row>21</xdr:row>
      <xdr:rowOff>387350</xdr:rowOff>
    </xdr:to>
    <xdr:sp macro="" textlink="">
      <xdr:nvSpPr>
        <xdr:cNvPr id="13405" name="Rechthoek: afgeronde hoeken 13404">
          <a:extLst>
            <a:ext uri="{FF2B5EF4-FFF2-40B4-BE49-F238E27FC236}">
              <a16:creationId xmlns:a16="http://schemas.microsoft.com/office/drawing/2014/main" id="{E9E502A7-40F8-D166-340B-939650845BCC}"/>
            </a:ext>
          </a:extLst>
        </xdr:cNvPr>
        <xdr:cNvSpPr/>
      </xdr:nvSpPr>
      <xdr:spPr>
        <a:xfrm>
          <a:off x="12238879" y="8413750"/>
          <a:ext cx="3536442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J2, Intervention rééducation part-5
12:44-14:17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14</xdr:col>
      <xdr:colOff>678196</xdr:colOff>
      <xdr:row>21</xdr:row>
      <xdr:rowOff>12700</xdr:rowOff>
    </xdr:from>
    <xdr:to>
      <xdr:col>15</xdr:col>
      <xdr:colOff>768874</xdr:colOff>
      <xdr:row>21</xdr:row>
      <xdr:rowOff>387350</xdr:rowOff>
    </xdr:to>
    <xdr:sp macro="" textlink="">
      <xdr:nvSpPr>
        <xdr:cNvPr id="13406" name="Rechthoek: afgeronde hoeken 13405">
          <a:extLst>
            <a:ext uri="{FF2B5EF4-FFF2-40B4-BE49-F238E27FC236}">
              <a16:creationId xmlns:a16="http://schemas.microsoft.com/office/drawing/2014/main" id="{998F795E-0D11-FC7E-7C45-BBE81E8E9442}"/>
            </a:ext>
          </a:extLst>
        </xdr:cNvPr>
        <xdr:cNvSpPr/>
      </xdr:nvSpPr>
      <xdr:spPr>
        <a:xfrm>
          <a:off x="15775321" y="8413750"/>
          <a:ext cx="1224153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J10, Intervention rééducation part-4
14:17-14:50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15</xdr:col>
      <xdr:colOff>768874</xdr:colOff>
      <xdr:row>21</xdr:row>
      <xdr:rowOff>12700</xdr:rowOff>
    </xdr:from>
    <xdr:to>
      <xdr:col>16</xdr:col>
      <xdr:colOff>1063578</xdr:colOff>
      <xdr:row>21</xdr:row>
      <xdr:rowOff>387350</xdr:rowOff>
    </xdr:to>
    <xdr:sp macro="" textlink="">
      <xdr:nvSpPr>
        <xdr:cNvPr id="13407" name="Rechthoek: afgeronde hoeken 13406">
          <a:extLst>
            <a:ext uri="{FF2B5EF4-FFF2-40B4-BE49-F238E27FC236}">
              <a16:creationId xmlns:a16="http://schemas.microsoft.com/office/drawing/2014/main" id="{3B56A4A9-AD0A-ECCF-59DA-4B6ABF9AB09F}"/>
            </a:ext>
          </a:extLst>
        </xdr:cNvPr>
        <xdr:cNvSpPr/>
      </xdr:nvSpPr>
      <xdr:spPr>
        <a:xfrm>
          <a:off x="16999474" y="8413750"/>
          <a:ext cx="1428179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J10, Elément introductif en santé publique
14:50-15:28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16</xdr:col>
      <xdr:colOff>1063577</xdr:colOff>
      <xdr:row>21</xdr:row>
      <xdr:rowOff>12700</xdr:rowOff>
    </xdr:from>
    <xdr:to>
      <xdr:col>17</xdr:col>
      <xdr:colOff>950229</xdr:colOff>
      <xdr:row>21</xdr:row>
      <xdr:rowOff>387350</xdr:rowOff>
    </xdr:to>
    <xdr:sp macro="" textlink="">
      <xdr:nvSpPr>
        <xdr:cNvPr id="13408" name="Rechthoek: afgeronde hoeken 13407">
          <a:extLst>
            <a:ext uri="{FF2B5EF4-FFF2-40B4-BE49-F238E27FC236}">
              <a16:creationId xmlns:a16="http://schemas.microsoft.com/office/drawing/2014/main" id="{752E6482-F435-2768-6323-BEA243AB2A5E}"/>
            </a:ext>
          </a:extLst>
        </xdr:cNvPr>
        <xdr:cNvSpPr/>
      </xdr:nvSpPr>
      <xdr:spPr>
        <a:xfrm>
          <a:off x="18427652" y="8413750"/>
          <a:ext cx="1020127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J6, Représentations sociales du handicap 
15:28-15:55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17</xdr:col>
      <xdr:colOff>950230</xdr:colOff>
      <xdr:row>21</xdr:row>
      <xdr:rowOff>12700</xdr:rowOff>
    </xdr:from>
    <xdr:to>
      <xdr:col>18</xdr:col>
      <xdr:colOff>1091914</xdr:colOff>
      <xdr:row>21</xdr:row>
      <xdr:rowOff>387350</xdr:rowOff>
    </xdr:to>
    <xdr:sp macro="" textlink="">
      <xdr:nvSpPr>
        <xdr:cNvPr id="13409" name="Rechthoek: afgeronde hoeken 13408">
          <a:extLst>
            <a:ext uri="{FF2B5EF4-FFF2-40B4-BE49-F238E27FC236}">
              <a16:creationId xmlns:a16="http://schemas.microsoft.com/office/drawing/2014/main" id="{2D8B0552-5100-BAEE-69DC-C27F4551ABAC}"/>
            </a:ext>
          </a:extLst>
        </xdr:cNvPr>
        <xdr:cNvSpPr/>
      </xdr:nvSpPr>
      <xdr:spPr>
        <a:xfrm>
          <a:off x="19447780" y="8413750"/>
          <a:ext cx="1275159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J6, intro : généralités
15:55-16:28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18</xdr:col>
      <xdr:colOff>1091915</xdr:colOff>
      <xdr:row>21</xdr:row>
      <xdr:rowOff>12700</xdr:rowOff>
    </xdr:from>
    <xdr:to>
      <xdr:col>20</xdr:col>
      <xdr:colOff>185135</xdr:colOff>
      <xdr:row>21</xdr:row>
      <xdr:rowOff>387350</xdr:rowOff>
    </xdr:to>
    <xdr:sp macro="" textlink="">
      <xdr:nvSpPr>
        <xdr:cNvPr id="13410" name="Rechthoek: afgeronde hoeken 13409">
          <a:extLst>
            <a:ext uri="{FF2B5EF4-FFF2-40B4-BE49-F238E27FC236}">
              <a16:creationId xmlns:a16="http://schemas.microsoft.com/office/drawing/2014/main" id="{1C7BC3FE-15BD-9D62-707F-13AC42F0286E}"/>
            </a:ext>
          </a:extLst>
        </xdr:cNvPr>
        <xdr:cNvSpPr/>
      </xdr:nvSpPr>
      <xdr:spPr>
        <a:xfrm>
          <a:off x="20722940" y="8413750"/>
          <a:ext cx="1360170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J6, Division cellulaire
16:28-17:04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20</xdr:col>
      <xdr:colOff>185134</xdr:colOff>
      <xdr:row>21</xdr:row>
      <xdr:rowOff>12700</xdr:rowOff>
    </xdr:from>
    <xdr:to>
      <xdr:col>21</xdr:col>
      <xdr:colOff>440166</xdr:colOff>
      <xdr:row>21</xdr:row>
      <xdr:rowOff>387350</xdr:rowOff>
    </xdr:to>
    <xdr:sp macro="" textlink="">
      <xdr:nvSpPr>
        <xdr:cNvPr id="13411" name="Rechthoek: afgeronde hoeken 13410">
          <a:extLst>
            <a:ext uri="{FF2B5EF4-FFF2-40B4-BE49-F238E27FC236}">
              <a16:creationId xmlns:a16="http://schemas.microsoft.com/office/drawing/2014/main" id="{698E1438-0076-C492-4976-97AFDBE71E9B}"/>
            </a:ext>
          </a:extLst>
        </xdr:cNvPr>
        <xdr:cNvSpPr/>
      </xdr:nvSpPr>
      <xdr:spPr>
        <a:xfrm>
          <a:off x="22083109" y="8413750"/>
          <a:ext cx="1388507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J6, Transcription et régulation 
17:04-17:41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21</xdr:col>
      <xdr:colOff>440165</xdr:colOff>
      <xdr:row>21</xdr:row>
      <xdr:rowOff>12700</xdr:rowOff>
    </xdr:from>
    <xdr:to>
      <xdr:col>21</xdr:col>
      <xdr:colOff>1133474</xdr:colOff>
      <xdr:row>21</xdr:row>
      <xdr:rowOff>387350</xdr:rowOff>
    </xdr:to>
    <xdr:sp macro="" textlink="">
      <xdr:nvSpPr>
        <xdr:cNvPr id="13412" name="Rechthoek: afgeronde hoeken 13411">
          <a:extLst>
            <a:ext uri="{FF2B5EF4-FFF2-40B4-BE49-F238E27FC236}">
              <a16:creationId xmlns:a16="http://schemas.microsoft.com/office/drawing/2014/main" id="{1172C904-3FDD-FB92-BC96-00DBDFF2C9E8}"/>
            </a:ext>
          </a:extLst>
        </xdr:cNvPr>
        <xdr:cNvSpPr/>
      </xdr:nvSpPr>
      <xdr:spPr>
        <a:xfrm>
          <a:off x="23471615" y="8413750"/>
          <a:ext cx="693309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J6, Membre inférieur 2 
17:41-08:26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22</xdr:row>
      <xdr:rowOff>12700</xdr:rowOff>
    </xdr:from>
    <xdr:to>
      <xdr:col>2</xdr:col>
      <xdr:colOff>1006904</xdr:colOff>
      <xdr:row>22</xdr:row>
      <xdr:rowOff>387350</xdr:rowOff>
    </xdr:to>
    <xdr:sp macro="" textlink="">
      <xdr:nvSpPr>
        <xdr:cNvPr id="13413" name="Rechthoek: afgeronde hoeken 13412">
          <a:extLst>
            <a:ext uri="{FF2B5EF4-FFF2-40B4-BE49-F238E27FC236}">
              <a16:creationId xmlns:a16="http://schemas.microsoft.com/office/drawing/2014/main" id="{B0568B20-5D65-FFE6-37A7-DC837B157D77}"/>
            </a:ext>
          </a:extLst>
        </xdr:cNvPr>
        <xdr:cNvSpPr/>
      </xdr:nvSpPr>
      <xdr:spPr>
        <a:xfrm>
          <a:off x="1495425" y="8813800"/>
          <a:ext cx="1006904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J6, Membre inférieur 2 
17:41-08:26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1006904</xdr:colOff>
      <xdr:row>22</xdr:row>
      <xdr:rowOff>12700</xdr:rowOff>
    </xdr:from>
    <xdr:to>
      <xdr:col>3</xdr:col>
      <xdr:colOff>893556</xdr:colOff>
      <xdr:row>22</xdr:row>
      <xdr:rowOff>387350</xdr:rowOff>
    </xdr:to>
    <xdr:sp macro="" textlink="">
      <xdr:nvSpPr>
        <xdr:cNvPr id="13414" name="Rechthoek: afgeronde hoeken 13413">
          <a:extLst>
            <a:ext uri="{FF2B5EF4-FFF2-40B4-BE49-F238E27FC236}">
              <a16:creationId xmlns:a16="http://schemas.microsoft.com/office/drawing/2014/main" id="{1EDE7068-ED53-F602-3B3D-33ECBC6CAA93}"/>
            </a:ext>
          </a:extLst>
        </xdr:cNvPr>
        <xdr:cNvSpPr/>
      </xdr:nvSpPr>
      <xdr:spPr>
        <a:xfrm>
          <a:off x="2502329" y="8813800"/>
          <a:ext cx="1020127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J10, Membre inférieur 3
08:26-08:53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893556</xdr:colOff>
      <xdr:row>22</xdr:row>
      <xdr:rowOff>12700</xdr:rowOff>
    </xdr:from>
    <xdr:to>
      <xdr:col>5</xdr:col>
      <xdr:colOff>77454</xdr:colOff>
      <xdr:row>22</xdr:row>
      <xdr:rowOff>387350</xdr:rowOff>
    </xdr:to>
    <xdr:sp macro="" textlink="">
      <xdr:nvSpPr>
        <xdr:cNvPr id="13415" name="Rechthoek: afgeronde hoeken 13414">
          <a:extLst>
            <a:ext uri="{FF2B5EF4-FFF2-40B4-BE49-F238E27FC236}">
              <a16:creationId xmlns:a16="http://schemas.microsoft.com/office/drawing/2014/main" id="{8F55EFA7-3A76-C68B-3F07-1E64B5B00463}"/>
            </a:ext>
          </a:extLst>
        </xdr:cNvPr>
        <xdr:cNvSpPr/>
      </xdr:nvSpPr>
      <xdr:spPr>
        <a:xfrm>
          <a:off x="3522456" y="8813800"/>
          <a:ext cx="1450848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J10, Outils mathématique 
08:53-09:32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77454</xdr:colOff>
      <xdr:row>22</xdr:row>
      <xdr:rowOff>12700</xdr:rowOff>
    </xdr:from>
    <xdr:to>
      <xdr:col>6</xdr:col>
      <xdr:colOff>916225</xdr:colOff>
      <xdr:row>22</xdr:row>
      <xdr:rowOff>387350</xdr:rowOff>
    </xdr:to>
    <xdr:sp macro="" textlink="">
      <xdr:nvSpPr>
        <xdr:cNvPr id="13416" name="Rechthoek: afgeronde hoeken 13415">
          <a:extLst>
            <a:ext uri="{FF2B5EF4-FFF2-40B4-BE49-F238E27FC236}">
              <a16:creationId xmlns:a16="http://schemas.microsoft.com/office/drawing/2014/main" id="{968E7D31-C163-C511-58B3-F48413936F3A}"/>
            </a:ext>
          </a:extLst>
        </xdr:cNvPr>
        <xdr:cNvSpPr/>
      </xdr:nvSpPr>
      <xdr:spPr>
        <a:xfrm>
          <a:off x="4973304" y="8813800"/>
          <a:ext cx="1972246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J10, Mutations 
09:32-10:24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6</xdr:col>
      <xdr:colOff>916225</xdr:colOff>
      <xdr:row>22</xdr:row>
      <xdr:rowOff>12700</xdr:rowOff>
    </xdr:from>
    <xdr:to>
      <xdr:col>8</xdr:col>
      <xdr:colOff>734869</xdr:colOff>
      <xdr:row>22</xdr:row>
      <xdr:rowOff>387350</xdr:rowOff>
    </xdr:to>
    <xdr:sp macro="" textlink="">
      <xdr:nvSpPr>
        <xdr:cNvPr id="13417" name="Rechthoek: afgeronde hoeken 13416">
          <a:extLst>
            <a:ext uri="{FF2B5EF4-FFF2-40B4-BE49-F238E27FC236}">
              <a16:creationId xmlns:a16="http://schemas.microsoft.com/office/drawing/2014/main" id="{8DA30749-D9F1-5FE3-1BD0-A09723CA91D8}"/>
            </a:ext>
          </a:extLst>
        </xdr:cNvPr>
        <xdr:cNvSpPr/>
      </xdr:nvSpPr>
      <xdr:spPr>
        <a:xfrm>
          <a:off x="6945550" y="8813800"/>
          <a:ext cx="2085594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J10, La composition des membranes cellulaire
10:24-11:19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8</xdr:col>
      <xdr:colOff>734870</xdr:colOff>
      <xdr:row>22</xdr:row>
      <xdr:rowOff>12700</xdr:rowOff>
    </xdr:from>
    <xdr:to>
      <xdr:col>9</xdr:col>
      <xdr:colOff>848218</xdr:colOff>
      <xdr:row>22</xdr:row>
      <xdr:rowOff>387350</xdr:rowOff>
    </xdr:to>
    <xdr:sp macro="" textlink="">
      <xdr:nvSpPr>
        <xdr:cNvPr id="13418" name="Rechthoek: afgeronde hoeken 13417">
          <a:extLst>
            <a:ext uri="{FF2B5EF4-FFF2-40B4-BE49-F238E27FC236}">
              <a16:creationId xmlns:a16="http://schemas.microsoft.com/office/drawing/2014/main" id="{5BC23790-5006-DE4A-3ED2-FD29B5FC67AC}"/>
            </a:ext>
          </a:extLst>
        </xdr:cNvPr>
        <xdr:cNvSpPr/>
      </xdr:nvSpPr>
      <xdr:spPr>
        <a:xfrm>
          <a:off x="9031145" y="8813800"/>
          <a:ext cx="1246823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J0, Transport intracellulaire et trafic vésiculaire 
11:19-11:52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9</xdr:col>
      <xdr:colOff>848217</xdr:colOff>
      <xdr:row>22</xdr:row>
      <xdr:rowOff>12700</xdr:rowOff>
    </xdr:from>
    <xdr:to>
      <xdr:col>13</xdr:col>
      <xdr:colOff>470392</xdr:colOff>
      <xdr:row>22</xdr:row>
      <xdr:rowOff>387350</xdr:rowOff>
    </xdr:to>
    <xdr:sp macro="" textlink="">
      <xdr:nvSpPr>
        <xdr:cNvPr id="13419" name="Rechthoek: afgeronde hoeken 13418">
          <a:extLst>
            <a:ext uri="{FF2B5EF4-FFF2-40B4-BE49-F238E27FC236}">
              <a16:creationId xmlns:a16="http://schemas.microsoft.com/office/drawing/2014/main" id="{E996D673-751C-F807-6B64-CB8DA976D6DC}"/>
            </a:ext>
          </a:extLst>
        </xdr:cNvPr>
        <xdr:cNvSpPr/>
      </xdr:nvSpPr>
      <xdr:spPr>
        <a:xfrm>
          <a:off x="10277967" y="8813800"/>
          <a:ext cx="4156075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J0, Membre inférieur 1
11:52-13:42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13</xdr:col>
      <xdr:colOff>470391</xdr:colOff>
      <xdr:row>22</xdr:row>
      <xdr:rowOff>12700</xdr:rowOff>
    </xdr:from>
    <xdr:to>
      <xdr:col>17</xdr:col>
      <xdr:colOff>168131</xdr:colOff>
      <xdr:row>22</xdr:row>
      <xdr:rowOff>387350</xdr:rowOff>
    </xdr:to>
    <xdr:sp macro="" textlink="">
      <xdr:nvSpPr>
        <xdr:cNvPr id="13420" name="Rechthoek: afgeronde hoeken 13419">
          <a:extLst>
            <a:ext uri="{FF2B5EF4-FFF2-40B4-BE49-F238E27FC236}">
              <a16:creationId xmlns:a16="http://schemas.microsoft.com/office/drawing/2014/main" id="{85AAC8C6-1A46-6B5E-4AD5-D78273F051A0}"/>
            </a:ext>
          </a:extLst>
        </xdr:cNvPr>
        <xdr:cNvSpPr/>
      </xdr:nvSpPr>
      <xdr:spPr>
        <a:xfrm>
          <a:off x="14434041" y="8813800"/>
          <a:ext cx="4231640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J0, intro: région, fascias et appareil 
13:42-15:34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17</xdr:col>
      <xdr:colOff>168132</xdr:colOff>
      <xdr:row>22</xdr:row>
      <xdr:rowOff>12700</xdr:rowOff>
    </xdr:from>
    <xdr:to>
      <xdr:col>19</xdr:col>
      <xdr:colOff>451501</xdr:colOff>
      <xdr:row>22</xdr:row>
      <xdr:rowOff>387350</xdr:rowOff>
    </xdr:to>
    <xdr:sp macro="" textlink="">
      <xdr:nvSpPr>
        <xdr:cNvPr id="13421" name="Rechthoek: afgeronde hoeken 13420">
          <a:extLst>
            <a:ext uri="{FF2B5EF4-FFF2-40B4-BE49-F238E27FC236}">
              <a16:creationId xmlns:a16="http://schemas.microsoft.com/office/drawing/2014/main" id="{AF77044C-B687-DF9F-5C71-D0FA3D7270DC}"/>
            </a:ext>
          </a:extLst>
        </xdr:cNvPr>
        <xdr:cNvSpPr/>
      </xdr:nvSpPr>
      <xdr:spPr>
        <a:xfrm>
          <a:off x="18665682" y="8813800"/>
          <a:ext cx="2550319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J6, États  de la matière et leur caractérisation 
15:34-16:41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19</xdr:col>
      <xdr:colOff>451501</xdr:colOff>
      <xdr:row>22</xdr:row>
      <xdr:rowOff>12700</xdr:rowOff>
    </xdr:from>
    <xdr:to>
      <xdr:col>22</xdr:col>
      <xdr:colOff>0</xdr:colOff>
      <xdr:row>22</xdr:row>
      <xdr:rowOff>387350</xdr:rowOff>
    </xdr:to>
    <xdr:sp macro="" textlink="">
      <xdr:nvSpPr>
        <xdr:cNvPr id="13422" name="Rechthoek: afgeronde hoeken 13421">
          <a:extLst>
            <a:ext uri="{FF2B5EF4-FFF2-40B4-BE49-F238E27FC236}">
              <a16:creationId xmlns:a16="http://schemas.microsoft.com/office/drawing/2014/main" id="{F4F58AA3-42B6-1BE7-142F-221F0B6A6B26}"/>
            </a:ext>
          </a:extLst>
        </xdr:cNvPr>
        <xdr:cNvSpPr/>
      </xdr:nvSpPr>
      <xdr:spPr>
        <a:xfrm>
          <a:off x="21216001" y="8813800"/>
          <a:ext cx="2948924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J6, Interaction rayonnement-Matière 
16:41-08:05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23</xdr:row>
      <xdr:rowOff>12700</xdr:rowOff>
    </xdr:from>
    <xdr:to>
      <xdr:col>2</xdr:col>
      <xdr:colOff>224806</xdr:colOff>
      <xdr:row>23</xdr:row>
      <xdr:rowOff>387350</xdr:rowOff>
    </xdr:to>
    <xdr:sp macro="" textlink="">
      <xdr:nvSpPr>
        <xdr:cNvPr id="13423" name="Rechthoek: afgeronde hoeken 13422">
          <a:extLst>
            <a:ext uri="{FF2B5EF4-FFF2-40B4-BE49-F238E27FC236}">
              <a16:creationId xmlns:a16="http://schemas.microsoft.com/office/drawing/2014/main" id="{F2FE4268-A51C-0805-2739-A46429840417}"/>
            </a:ext>
          </a:extLst>
        </xdr:cNvPr>
        <xdr:cNvSpPr/>
      </xdr:nvSpPr>
      <xdr:spPr>
        <a:xfrm>
          <a:off x="1495425" y="9213850"/>
          <a:ext cx="224806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J6, Interaction rayonnement-Matière 
16:41-08:05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224806</xdr:colOff>
      <xdr:row>23</xdr:row>
      <xdr:rowOff>12700</xdr:rowOff>
    </xdr:from>
    <xdr:to>
      <xdr:col>5</xdr:col>
      <xdr:colOff>26448</xdr:colOff>
      <xdr:row>23</xdr:row>
      <xdr:rowOff>387350</xdr:rowOff>
    </xdr:to>
    <xdr:sp macro="" textlink="">
      <xdr:nvSpPr>
        <xdr:cNvPr id="13424" name="Rechthoek: afgeronde hoeken 13423">
          <a:extLst>
            <a:ext uri="{FF2B5EF4-FFF2-40B4-BE49-F238E27FC236}">
              <a16:creationId xmlns:a16="http://schemas.microsoft.com/office/drawing/2014/main" id="{2562C639-4777-7393-ED84-83458825CD9F}"/>
            </a:ext>
          </a:extLst>
        </xdr:cNvPr>
        <xdr:cNvSpPr/>
      </xdr:nvSpPr>
      <xdr:spPr>
        <a:xfrm>
          <a:off x="1720231" y="9213850"/>
          <a:ext cx="3202067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J6, essai thérapeutique 
08:05-09:30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26448</xdr:colOff>
      <xdr:row>23</xdr:row>
      <xdr:rowOff>12700</xdr:rowOff>
    </xdr:from>
    <xdr:to>
      <xdr:col>8</xdr:col>
      <xdr:colOff>26448</xdr:colOff>
      <xdr:row>23</xdr:row>
      <xdr:rowOff>387350</xdr:rowOff>
    </xdr:to>
    <xdr:sp macro="" textlink="">
      <xdr:nvSpPr>
        <xdr:cNvPr id="13425" name="Rechthoek: afgeronde hoeken 13424">
          <a:extLst>
            <a:ext uri="{FF2B5EF4-FFF2-40B4-BE49-F238E27FC236}">
              <a16:creationId xmlns:a16="http://schemas.microsoft.com/office/drawing/2014/main" id="{8E270BB8-8F61-5625-6734-32F02B08237A}"/>
            </a:ext>
          </a:extLst>
        </xdr:cNvPr>
        <xdr:cNvSpPr/>
      </xdr:nvSpPr>
      <xdr:spPr>
        <a:xfrm>
          <a:off x="4922298" y="9213850"/>
          <a:ext cx="3400425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J6, Les très basses fréquences du spectre électromagnétique 
09:30-11:00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8</xdr:col>
      <xdr:colOff>26448</xdr:colOff>
      <xdr:row>23</xdr:row>
      <xdr:rowOff>12700</xdr:rowOff>
    </xdr:from>
    <xdr:to>
      <xdr:col>9</xdr:col>
      <xdr:colOff>66120</xdr:colOff>
      <xdr:row>23</xdr:row>
      <xdr:rowOff>387350</xdr:rowOff>
    </xdr:to>
    <xdr:sp macro="" textlink="">
      <xdr:nvSpPr>
        <xdr:cNvPr id="13426" name="Rechthoek: afgeronde hoeken 13425">
          <a:extLst>
            <a:ext uri="{FF2B5EF4-FFF2-40B4-BE49-F238E27FC236}">
              <a16:creationId xmlns:a16="http://schemas.microsoft.com/office/drawing/2014/main" id="{4E40DB89-AA29-9CCA-1DDA-02EB50DF3C07}"/>
            </a:ext>
          </a:extLst>
        </xdr:cNvPr>
        <xdr:cNvSpPr/>
      </xdr:nvSpPr>
      <xdr:spPr>
        <a:xfrm>
          <a:off x="8322723" y="9213850"/>
          <a:ext cx="1173147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J15, Législation handicap 
11:00-11:31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9</xdr:col>
      <xdr:colOff>66119</xdr:colOff>
      <xdr:row>23</xdr:row>
      <xdr:rowOff>12700</xdr:rowOff>
    </xdr:from>
    <xdr:to>
      <xdr:col>10</xdr:col>
      <xdr:colOff>258810</xdr:colOff>
      <xdr:row>23</xdr:row>
      <xdr:rowOff>387350</xdr:rowOff>
    </xdr:to>
    <xdr:sp macro="" textlink="">
      <xdr:nvSpPr>
        <xdr:cNvPr id="13427" name="Rechthoek: afgeronde hoeken 13426">
          <a:extLst>
            <a:ext uri="{FF2B5EF4-FFF2-40B4-BE49-F238E27FC236}">
              <a16:creationId xmlns:a16="http://schemas.microsoft.com/office/drawing/2014/main" id="{8C865DF4-F3CD-494A-F99F-5D032194C540}"/>
            </a:ext>
          </a:extLst>
        </xdr:cNvPr>
        <xdr:cNvSpPr/>
      </xdr:nvSpPr>
      <xdr:spPr>
        <a:xfrm>
          <a:off x="9495869" y="9213850"/>
          <a:ext cx="1326166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J15, Dérivés d'acides carboxylique- AG 
11:31-12:06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10</xdr:col>
      <xdr:colOff>258810</xdr:colOff>
      <xdr:row>23</xdr:row>
      <xdr:rowOff>12700</xdr:rowOff>
    </xdr:from>
    <xdr:to>
      <xdr:col>11</xdr:col>
      <xdr:colOff>536511</xdr:colOff>
      <xdr:row>23</xdr:row>
      <xdr:rowOff>387350</xdr:rowOff>
    </xdr:to>
    <xdr:sp macro="" textlink="">
      <xdr:nvSpPr>
        <xdr:cNvPr id="13428" name="Rechthoek: afgeronde hoeken 13427">
          <a:extLst>
            <a:ext uri="{FF2B5EF4-FFF2-40B4-BE49-F238E27FC236}">
              <a16:creationId xmlns:a16="http://schemas.microsoft.com/office/drawing/2014/main" id="{3F92C9FA-D4BC-21A3-7F43-82A1799430E5}"/>
            </a:ext>
          </a:extLst>
        </xdr:cNvPr>
        <xdr:cNvSpPr/>
      </xdr:nvSpPr>
      <xdr:spPr>
        <a:xfrm>
          <a:off x="10822035" y="9213850"/>
          <a:ext cx="1411176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J15, Intervention rééducation part-6
12:06-12:44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11</xdr:col>
      <xdr:colOff>536511</xdr:colOff>
      <xdr:row>23</xdr:row>
      <xdr:rowOff>12700</xdr:rowOff>
    </xdr:from>
    <xdr:to>
      <xdr:col>12</xdr:col>
      <xdr:colOff>848217</xdr:colOff>
      <xdr:row>23</xdr:row>
      <xdr:rowOff>387350</xdr:rowOff>
    </xdr:to>
    <xdr:sp macro="" textlink="">
      <xdr:nvSpPr>
        <xdr:cNvPr id="13429" name="Rechthoek: afgeronde hoeken 13428">
          <a:extLst>
            <a:ext uri="{FF2B5EF4-FFF2-40B4-BE49-F238E27FC236}">
              <a16:creationId xmlns:a16="http://schemas.microsoft.com/office/drawing/2014/main" id="{A032BF92-8BB8-24B4-B1AD-A927C50F39C9}"/>
            </a:ext>
          </a:extLst>
        </xdr:cNvPr>
        <xdr:cNvSpPr/>
      </xdr:nvSpPr>
      <xdr:spPr>
        <a:xfrm>
          <a:off x="12233211" y="9213850"/>
          <a:ext cx="1445181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J15, Abdomen et pelvis 2 
12:44-13:22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12</xdr:col>
      <xdr:colOff>848216</xdr:colOff>
      <xdr:row>23</xdr:row>
      <xdr:rowOff>12700</xdr:rowOff>
    </xdr:from>
    <xdr:to>
      <xdr:col>14</xdr:col>
      <xdr:colOff>162464</xdr:colOff>
      <xdr:row>23</xdr:row>
      <xdr:rowOff>387350</xdr:rowOff>
    </xdr:to>
    <xdr:sp macro="" textlink="">
      <xdr:nvSpPr>
        <xdr:cNvPr id="13430" name="Rechthoek: afgeronde hoeken 13429">
          <a:extLst>
            <a:ext uri="{FF2B5EF4-FFF2-40B4-BE49-F238E27FC236}">
              <a16:creationId xmlns:a16="http://schemas.microsoft.com/office/drawing/2014/main" id="{414B6410-681A-DC5C-05B9-49FD70A90FF3}"/>
            </a:ext>
          </a:extLst>
        </xdr:cNvPr>
        <xdr:cNvSpPr/>
      </xdr:nvSpPr>
      <xdr:spPr>
        <a:xfrm>
          <a:off x="13678391" y="9213850"/>
          <a:ext cx="1581198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J15, Thorax
13:22-14:04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14</xdr:col>
      <xdr:colOff>162465</xdr:colOff>
      <xdr:row>23</xdr:row>
      <xdr:rowOff>12700</xdr:rowOff>
    </xdr:from>
    <xdr:to>
      <xdr:col>15</xdr:col>
      <xdr:colOff>746205</xdr:colOff>
      <xdr:row>23</xdr:row>
      <xdr:rowOff>387350</xdr:rowOff>
    </xdr:to>
    <xdr:sp macro="" textlink="">
      <xdr:nvSpPr>
        <xdr:cNvPr id="13431" name="Rechthoek: afgeronde hoeken 13430">
          <a:extLst>
            <a:ext uri="{FF2B5EF4-FFF2-40B4-BE49-F238E27FC236}">
              <a16:creationId xmlns:a16="http://schemas.microsoft.com/office/drawing/2014/main" id="{188635E8-5E6B-84AF-FCD4-39CACEAD9EBA}"/>
            </a:ext>
          </a:extLst>
        </xdr:cNvPr>
        <xdr:cNvSpPr/>
      </xdr:nvSpPr>
      <xdr:spPr>
        <a:xfrm>
          <a:off x="15259590" y="9213850"/>
          <a:ext cx="1717215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J15, Propriétés électroniques des liaisons chimiques
14:04-14:49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15</xdr:col>
      <xdr:colOff>746204</xdr:colOff>
      <xdr:row>23</xdr:row>
      <xdr:rowOff>12700</xdr:rowOff>
    </xdr:from>
    <xdr:to>
      <xdr:col>17</xdr:col>
      <xdr:colOff>281479</xdr:colOff>
      <xdr:row>23</xdr:row>
      <xdr:rowOff>387350</xdr:rowOff>
    </xdr:to>
    <xdr:sp macro="" textlink="">
      <xdr:nvSpPr>
        <xdr:cNvPr id="13432" name="Rechthoek: afgeronde hoeken 13431">
          <a:extLst>
            <a:ext uri="{FF2B5EF4-FFF2-40B4-BE49-F238E27FC236}">
              <a16:creationId xmlns:a16="http://schemas.microsoft.com/office/drawing/2014/main" id="{FCE98BAE-AF84-7E1B-2683-276572EC8989}"/>
            </a:ext>
          </a:extLst>
        </xdr:cNvPr>
        <xdr:cNvSpPr/>
      </xdr:nvSpPr>
      <xdr:spPr>
        <a:xfrm>
          <a:off x="16976804" y="9213850"/>
          <a:ext cx="1802225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J15, intro: référence et particularité
14:49-15:37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17</xdr:col>
      <xdr:colOff>281479</xdr:colOff>
      <xdr:row>23</xdr:row>
      <xdr:rowOff>12700</xdr:rowOff>
    </xdr:from>
    <xdr:to>
      <xdr:col>19</xdr:col>
      <xdr:colOff>205914</xdr:colOff>
      <xdr:row>23</xdr:row>
      <xdr:rowOff>387350</xdr:rowOff>
    </xdr:to>
    <xdr:sp macro="" textlink="">
      <xdr:nvSpPr>
        <xdr:cNvPr id="13433" name="Rechthoek: afgeronde hoeken 13432">
          <a:extLst>
            <a:ext uri="{FF2B5EF4-FFF2-40B4-BE49-F238E27FC236}">
              <a16:creationId xmlns:a16="http://schemas.microsoft.com/office/drawing/2014/main" id="{CE348050-72B3-3EEB-23B8-EBD64975C98F}"/>
            </a:ext>
          </a:extLst>
        </xdr:cNvPr>
        <xdr:cNvSpPr/>
      </xdr:nvSpPr>
      <xdr:spPr>
        <a:xfrm>
          <a:off x="18779029" y="9213850"/>
          <a:ext cx="2191385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J0, CI du fonctionnement, du handicap et de la santé 
15:37-16:35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19</xdr:col>
      <xdr:colOff>205915</xdr:colOff>
      <xdr:row>23</xdr:row>
      <xdr:rowOff>12700</xdr:rowOff>
    </xdr:from>
    <xdr:to>
      <xdr:col>21</xdr:col>
      <xdr:colOff>886000</xdr:colOff>
      <xdr:row>23</xdr:row>
      <xdr:rowOff>387350</xdr:rowOff>
    </xdr:to>
    <xdr:sp macro="" textlink="">
      <xdr:nvSpPr>
        <xdr:cNvPr id="13434" name="Rechthoek: afgeronde hoeken 13433">
          <a:extLst>
            <a:ext uri="{FF2B5EF4-FFF2-40B4-BE49-F238E27FC236}">
              <a16:creationId xmlns:a16="http://schemas.microsoft.com/office/drawing/2014/main" id="{ACD44971-FAC9-61AC-470D-E089A8B75EBA}"/>
            </a:ext>
          </a:extLst>
        </xdr:cNvPr>
        <xdr:cNvSpPr/>
      </xdr:nvSpPr>
      <xdr:spPr>
        <a:xfrm>
          <a:off x="20970415" y="9213850"/>
          <a:ext cx="2947035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J0, Jonction neuro-musculaire
16:35-17:53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21</xdr:col>
      <xdr:colOff>886000</xdr:colOff>
      <xdr:row>23</xdr:row>
      <xdr:rowOff>12700</xdr:rowOff>
    </xdr:from>
    <xdr:to>
      <xdr:col>22</xdr:col>
      <xdr:colOff>0</xdr:colOff>
      <xdr:row>23</xdr:row>
      <xdr:rowOff>387350</xdr:rowOff>
    </xdr:to>
    <xdr:sp macro="" textlink="">
      <xdr:nvSpPr>
        <xdr:cNvPr id="13435" name="Rechthoek: afgeronde hoeken 13434">
          <a:extLst>
            <a:ext uri="{FF2B5EF4-FFF2-40B4-BE49-F238E27FC236}">
              <a16:creationId xmlns:a16="http://schemas.microsoft.com/office/drawing/2014/main" id="{A2979B87-0CB2-B1D2-CE77-010D374C4BE4}"/>
            </a:ext>
          </a:extLst>
        </xdr:cNvPr>
        <xdr:cNvSpPr/>
      </xdr:nvSpPr>
      <xdr:spPr>
        <a:xfrm>
          <a:off x="23917450" y="9213850"/>
          <a:ext cx="247475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J0, Culture, corps et santé
17:53-09:15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24</xdr:row>
      <xdr:rowOff>12700</xdr:rowOff>
    </xdr:from>
    <xdr:to>
      <xdr:col>4</xdr:col>
      <xdr:colOff>583740</xdr:colOff>
      <xdr:row>24</xdr:row>
      <xdr:rowOff>387350</xdr:rowOff>
    </xdr:to>
    <xdr:sp macro="" textlink="">
      <xdr:nvSpPr>
        <xdr:cNvPr id="13436" name="Rechthoek: afgeronde hoeken 13435">
          <a:extLst>
            <a:ext uri="{FF2B5EF4-FFF2-40B4-BE49-F238E27FC236}">
              <a16:creationId xmlns:a16="http://schemas.microsoft.com/office/drawing/2014/main" id="{A862AEC6-B26C-0815-70F6-D9ECD2E0BF7F}"/>
            </a:ext>
          </a:extLst>
        </xdr:cNvPr>
        <xdr:cNvSpPr/>
      </xdr:nvSpPr>
      <xdr:spPr>
        <a:xfrm>
          <a:off x="1495425" y="9613900"/>
          <a:ext cx="2850690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J0, Culture, corps et santé
17:53-09:15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4</xdr:col>
      <xdr:colOff>583740</xdr:colOff>
      <xdr:row>24</xdr:row>
      <xdr:rowOff>12700</xdr:rowOff>
    </xdr:from>
    <xdr:to>
      <xdr:col>7</xdr:col>
      <xdr:colOff>1037130</xdr:colOff>
      <xdr:row>24</xdr:row>
      <xdr:rowOff>387350</xdr:rowOff>
    </xdr:to>
    <xdr:sp macro="" textlink="">
      <xdr:nvSpPr>
        <xdr:cNvPr id="13437" name="Rechthoek: afgeronde hoeken 13436">
          <a:extLst>
            <a:ext uri="{FF2B5EF4-FFF2-40B4-BE49-F238E27FC236}">
              <a16:creationId xmlns:a16="http://schemas.microsoft.com/office/drawing/2014/main" id="{B6F1EC85-B8EA-ADEB-4BED-9E52823DADF1}"/>
            </a:ext>
          </a:extLst>
        </xdr:cNvPr>
        <xdr:cNvSpPr/>
      </xdr:nvSpPr>
      <xdr:spPr>
        <a:xfrm>
          <a:off x="4346115" y="9613900"/>
          <a:ext cx="3853815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J0, Les acides aminés- les oses 
09:15-10:57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7</xdr:col>
      <xdr:colOff>1037130</xdr:colOff>
      <xdr:row>24</xdr:row>
      <xdr:rowOff>12700</xdr:rowOff>
    </xdr:from>
    <xdr:to>
      <xdr:col>8</xdr:col>
      <xdr:colOff>782098</xdr:colOff>
      <xdr:row>24</xdr:row>
      <xdr:rowOff>387350</xdr:rowOff>
    </xdr:to>
    <xdr:sp macro="" textlink="">
      <xdr:nvSpPr>
        <xdr:cNvPr id="13438" name="Rechthoek: afgeronde hoeken 13437">
          <a:extLst>
            <a:ext uri="{FF2B5EF4-FFF2-40B4-BE49-F238E27FC236}">
              <a16:creationId xmlns:a16="http://schemas.microsoft.com/office/drawing/2014/main" id="{10EC8D34-C55B-12E9-3C96-950806FA09CE}"/>
            </a:ext>
          </a:extLst>
        </xdr:cNvPr>
        <xdr:cNvSpPr/>
      </xdr:nvSpPr>
      <xdr:spPr>
        <a:xfrm>
          <a:off x="8199930" y="9613900"/>
          <a:ext cx="878443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J6, Acides Aminés- peptides 
10:57-11:20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8</xdr:col>
      <xdr:colOff>782098</xdr:colOff>
      <xdr:row>24</xdr:row>
      <xdr:rowOff>12700</xdr:rowOff>
    </xdr:from>
    <xdr:to>
      <xdr:col>9</xdr:col>
      <xdr:colOff>782098</xdr:colOff>
      <xdr:row>24</xdr:row>
      <xdr:rowOff>387350</xdr:rowOff>
    </xdr:to>
    <xdr:sp macro="" textlink="">
      <xdr:nvSpPr>
        <xdr:cNvPr id="13439" name="Rechthoek: afgeronde hoeken 13438">
          <a:extLst>
            <a:ext uri="{FF2B5EF4-FFF2-40B4-BE49-F238E27FC236}">
              <a16:creationId xmlns:a16="http://schemas.microsoft.com/office/drawing/2014/main" id="{44FDB54F-DB95-62E4-2628-C302D47B9ADC}"/>
            </a:ext>
          </a:extLst>
        </xdr:cNvPr>
        <xdr:cNvSpPr/>
      </xdr:nvSpPr>
      <xdr:spPr>
        <a:xfrm>
          <a:off x="9078373" y="9613900"/>
          <a:ext cx="1133475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J6, Intervention rééducation part-2
11:20-11:50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9</xdr:col>
      <xdr:colOff>782098</xdr:colOff>
      <xdr:row>24</xdr:row>
      <xdr:rowOff>12700</xdr:rowOff>
    </xdr:from>
    <xdr:to>
      <xdr:col>11</xdr:col>
      <xdr:colOff>215361</xdr:colOff>
      <xdr:row>24</xdr:row>
      <xdr:rowOff>387350</xdr:rowOff>
    </xdr:to>
    <xdr:sp macro="" textlink="">
      <xdr:nvSpPr>
        <xdr:cNvPr id="13440" name="Rechthoek: afgeronde hoeken 13439">
          <a:extLst>
            <a:ext uri="{FF2B5EF4-FFF2-40B4-BE49-F238E27FC236}">
              <a16:creationId xmlns:a16="http://schemas.microsoft.com/office/drawing/2014/main" id="{7CBB31C6-9F58-AEF7-AACF-F387E6D26E9E}"/>
            </a:ext>
          </a:extLst>
        </xdr:cNvPr>
        <xdr:cNvSpPr/>
      </xdr:nvSpPr>
      <xdr:spPr>
        <a:xfrm>
          <a:off x="10211848" y="9613900"/>
          <a:ext cx="1700213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J6, Du chromosome à l'ADN
11:50-12:35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11</xdr:col>
      <xdr:colOff>215360</xdr:colOff>
      <xdr:row>24</xdr:row>
      <xdr:rowOff>12700</xdr:rowOff>
    </xdr:from>
    <xdr:to>
      <xdr:col>13</xdr:col>
      <xdr:colOff>17002</xdr:colOff>
      <xdr:row>24</xdr:row>
      <xdr:rowOff>387350</xdr:rowOff>
    </xdr:to>
    <xdr:sp macro="" textlink="">
      <xdr:nvSpPr>
        <xdr:cNvPr id="13441" name="Rechthoek: afgeronde hoeken 13440">
          <a:extLst>
            <a:ext uri="{FF2B5EF4-FFF2-40B4-BE49-F238E27FC236}">
              <a16:creationId xmlns:a16="http://schemas.microsoft.com/office/drawing/2014/main" id="{4730B96F-38B4-655F-5928-F67CC1CB0DE3}"/>
            </a:ext>
          </a:extLst>
        </xdr:cNvPr>
        <xdr:cNvSpPr/>
      </xdr:nvSpPr>
      <xdr:spPr>
        <a:xfrm>
          <a:off x="11912060" y="9613900"/>
          <a:ext cx="2068592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J6, corrélation et régression linéaire
12:35-13:30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13</xdr:col>
      <xdr:colOff>17002</xdr:colOff>
      <xdr:row>24</xdr:row>
      <xdr:rowOff>12700</xdr:rowOff>
    </xdr:from>
    <xdr:to>
      <xdr:col>15</xdr:col>
      <xdr:colOff>73676</xdr:colOff>
      <xdr:row>24</xdr:row>
      <xdr:rowOff>387350</xdr:rowOff>
    </xdr:to>
    <xdr:sp macro="" textlink="">
      <xdr:nvSpPr>
        <xdr:cNvPr id="13442" name="Rechthoek: afgeronde hoeken 13441">
          <a:extLst>
            <a:ext uri="{FF2B5EF4-FFF2-40B4-BE49-F238E27FC236}">
              <a16:creationId xmlns:a16="http://schemas.microsoft.com/office/drawing/2014/main" id="{6600E518-A77E-9838-1FB8-ECCBBFEB6878}"/>
            </a:ext>
          </a:extLst>
        </xdr:cNvPr>
        <xdr:cNvSpPr/>
      </xdr:nvSpPr>
      <xdr:spPr>
        <a:xfrm>
          <a:off x="13980652" y="9613900"/>
          <a:ext cx="2323624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J6, Signalisation intracellulaire part 1
13:30-14:31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15</xdr:col>
      <xdr:colOff>73676</xdr:colOff>
      <xdr:row>24</xdr:row>
      <xdr:rowOff>12700</xdr:rowOff>
    </xdr:from>
    <xdr:to>
      <xdr:col>17</xdr:col>
      <xdr:colOff>612077</xdr:colOff>
      <xdr:row>24</xdr:row>
      <xdr:rowOff>387350</xdr:rowOff>
    </xdr:to>
    <xdr:sp macro="" textlink="">
      <xdr:nvSpPr>
        <xdr:cNvPr id="13443" name="Rechthoek: afgeronde hoeken 13442">
          <a:extLst>
            <a:ext uri="{FF2B5EF4-FFF2-40B4-BE49-F238E27FC236}">
              <a16:creationId xmlns:a16="http://schemas.microsoft.com/office/drawing/2014/main" id="{D640CCE7-DF75-161B-585D-32DC35D46512}"/>
            </a:ext>
          </a:extLst>
        </xdr:cNvPr>
        <xdr:cNvSpPr/>
      </xdr:nvSpPr>
      <xdr:spPr>
        <a:xfrm>
          <a:off x="16304276" y="9613900"/>
          <a:ext cx="2805351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J6, Régulation et rôle du rein 
14:31-15:46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17</xdr:col>
      <xdr:colOff>612076</xdr:colOff>
      <xdr:row>24</xdr:row>
      <xdr:rowOff>12700</xdr:rowOff>
    </xdr:from>
    <xdr:to>
      <xdr:col>20</xdr:col>
      <xdr:colOff>243697</xdr:colOff>
      <xdr:row>24</xdr:row>
      <xdr:rowOff>387350</xdr:rowOff>
    </xdr:to>
    <xdr:sp macro="" textlink="">
      <xdr:nvSpPr>
        <xdr:cNvPr id="13444" name="Rechthoek: afgeronde hoeken 13443">
          <a:extLst>
            <a:ext uri="{FF2B5EF4-FFF2-40B4-BE49-F238E27FC236}">
              <a16:creationId xmlns:a16="http://schemas.microsoft.com/office/drawing/2014/main" id="{5F6EC724-0C92-A26C-4040-98E133412389}"/>
            </a:ext>
          </a:extLst>
        </xdr:cNvPr>
        <xdr:cNvSpPr/>
      </xdr:nvSpPr>
      <xdr:spPr>
        <a:xfrm>
          <a:off x="19109626" y="9613900"/>
          <a:ext cx="3032046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J6, Liaisons chimique et interactions moléculaires
15:46-17:06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20</xdr:col>
      <xdr:colOff>243697</xdr:colOff>
      <xdr:row>24</xdr:row>
      <xdr:rowOff>12700</xdr:rowOff>
    </xdr:from>
    <xdr:to>
      <xdr:col>22</xdr:col>
      <xdr:colOff>0</xdr:colOff>
      <xdr:row>24</xdr:row>
      <xdr:rowOff>387350</xdr:rowOff>
    </xdr:to>
    <xdr:sp macro="" textlink="">
      <xdr:nvSpPr>
        <xdr:cNvPr id="13445" name="Rechthoek: afgeronde hoeken 13444">
          <a:extLst>
            <a:ext uri="{FF2B5EF4-FFF2-40B4-BE49-F238E27FC236}">
              <a16:creationId xmlns:a16="http://schemas.microsoft.com/office/drawing/2014/main" id="{C101707D-0688-5C09-BDE0-85D3EB899A71}"/>
            </a:ext>
          </a:extLst>
        </xdr:cNvPr>
        <xdr:cNvSpPr/>
      </xdr:nvSpPr>
      <xdr:spPr>
        <a:xfrm>
          <a:off x="22141672" y="9613900"/>
          <a:ext cx="2023253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J6, Physiologie et compartiments liquidiens 
17:06-08:28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25</xdr:row>
      <xdr:rowOff>12700</xdr:rowOff>
    </xdr:from>
    <xdr:to>
      <xdr:col>2</xdr:col>
      <xdr:colOff>1093803</xdr:colOff>
      <xdr:row>25</xdr:row>
      <xdr:rowOff>387350</xdr:rowOff>
    </xdr:to>
    <xdr:sp macro="" textlink="">
      <xdr:nvSpPr>
        <xdr:cNvPr id="13446" name="Rechthoek: afgeronde hoeken 13445">
          <a:extLst>
            <a:ext uri="{FF2B5EF4-FFF2-40B4-BE49-F238E27FC236}">
              <a16:creationId xmlns:a16="http://schemas.microsoft.com/office/drawing/2014/main" id="{8BF6361E-2DE0-94C3-BABC-3443C9487082}"/>
            </a:ext>
          </a:extLst>
        </xdr:cNvPr>
        <xdr:cNvSpPr/>
      </xdr:nvSpPr>
      <xdr:spPr>
        <a:xfrm>
          <a:off x="1495425" y="10013950"/>
          <a:ext cx="1093803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J6, Physiologie et compartiments liquidiens 
17:06-08:28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1093803</xdr:colOff>
      <xdr:row>25</xdr:row>
      <xdr:rowOff>12700</xdr:rowOff>
    </xdr:from>
    <xdr:to>
      <xdr:col>3</xdr:col>
      <xdr:colOff>1082468</xdr:colOff>
      <xdr:row>25</xdr:row>
      <xdr:rowOff>387350</xdr:rowOff>
    </xdr:to>
    <xdr:sp macro="" textlink="">
      <xdr:nvSpPr>
        <xdr:cNvPr id="13447" name="Rechthoek: afgeronde hoeken 13446">
          <a:extLst>
            <a:ext uri="{FF2B5EF4-FFF2-40B4-BE49-F238E27FC236}">
              <a16:creationId xmlns:a16="http://schemas.microsoft.com/office/drawing/2014/main" id="{742BAC29-2CA6-F07F-EF0D-7017F8459641}"/>
            </a:ext>
          </a:extLst>
        </xdr:cNvPr>
        <xdr:cNvSpPr/>
      </xdr:nvSpPr>
      <xdr:spPr>
        <a:xfrm>
          <a:off x="2589228" y="10013950"/>
          <a:ext cx="1122140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J2, Transport intracellulaire et trafic vésiculaire 
08:28-08:58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1082469</xdr:colOff>
      <xdr:row>25</xdr:row>
      <xdr:rowOff>12700</xdr:rowOff>
    </xdr:from>
    <xdr:to>
      <xdr:col>7</xdr:col>
      <xdr:colOff>289036</xdr:colOff>
      <xdr:row>25</xdr:row>
      <xdr:rowOff>387350</xdr:rowOff>
    </xdr:to>
    <xdr:sp macro="" textlink="">
      <xdr:nvSpPr>
        <xdr:cNvPr id="13448" name="Rechthoek: afgeronde hoeken 13447">
          <a:extLst>
            <a:ext uri="{FF2B5EF4-FFF2-40B4-BE49-F238E27FC236}">
              <a16:creationId xmlns:a16="http://schemas.microsoft.com/office/drawing/2014/main" id="{10812A82-819F-BAB6-8C12-F352F977E327}"/>
            </a:ext>
          </a:extLst>
        </xdr:cNvPr>
        <xdr:cNvSpPr/>
      </xdr:nvSpPr>
      <xdr:spPr>
        <a:xfrm>
          <a:off x="3711369" y="10013950"/>
          <a:ext cx="3740467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J2, Membre inférieur 1
08:58-10:37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7</xdr:col>
      <xdr:colOff>289036</xdr:colOff>
      <xdr:row>25</xdr:row>
      <xdr:rowOff>12700</xdr:rowOff>
    </xdr:from>
    <xdr:to>
      <xdr:col>10</xdr:col>
      <xdr:colOff>697087</xdr:colOff>
      <xdr:row>25</xdr:row>
      <xdr:rowOff>387350</xdr:rowOff>
    </xdr:to>
    <xdr:sp macro="" textlink="">
      <xdr:nvSpPr>
        <xdr:cNvPr id="13449" name="Rechthoek: afgeronde hoeken 13448">
          <a:extLst>
            <a:ext uri="{FF2B5EF4-FFF2-40B4-BE49-F238E27FC236}">
              <a16:creationId xmlns:a16="http://schemas.microsoft.com/office/drawing/2014/main" id="{4E659993-203E-7FCF-845E-B090FF198FD5}"/>
            </a:ext>
          </a:extLst>
        </xdr:cNvPr>
        <xdr:cNvSpPr/>
      </xdr:nvSpPr>
      <xdr:spPr>
        <a:xfrm>
          <a:off x="7451836" y="10013950"/>
          <a:ext cx="3808476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J2, intro: région, fascias et appareil 
10:37-12:18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10</xdr:col>
      <xdr:colOff>697087</xdr:colOff>
      <xdr:row>25</xdr:row>
      <xdr:rowOff>12700</xdr:rowOff>
    </xdr:from>
    <xdr:to>
      <xdr:col>11</xdr:col>
      <xdr:colOff>753761</xdr:colOff>
      <xdr:row>25</xdr:row>
      <xdr:rowOff>387350</xdr:rowOff>
    </xdr:to>
    <xdr:sp macro="" textlink="">
      <xdr:nvSpPr>
        <xdr:cNvPr id="13450" name="Rechthoek: afgeronde hoeken 13449">
          <a:extLst>
            <a:ext uri="{FF2B5EF4-FFF2-40B4-BE49-F238E27FC236}">
              <a16:creationId xmlns:a16="http://schemas.microsoft.com/office/drawing/2014/main" id="{6A7C7C15-7A84-E95F-2B48-D1CF88A8980E}"/>
            </a:ext>
          </a:extLst>
        </xdr:cNvPr>
        <xdr:cNvSpPr/>
      </xdr:nvSpPr>
      <xdr:spPr>
        <a:xfrm>
          <a:off x="11260312" y="10013950"/>
          <a:ext cx="1190149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J15, Thermodynamique 
12:18-12:49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11</xdr:col>
      <xdr:colOff>753761</xdr:colOff>
      <xdr:row>25</xdr:row>
      <xdr:rowOff>12700</xdr:rowOff>
    </xdr:from>
    <xdr:to>
      <xdr:col>13</xdr:col>
      <xdr:colOff>323041</xdr:colOff>
      <xdr:row>25</xdr:row>
      <xdr:rowOff>387350</xdr:rowOff>
    </xdr:to>
    <xdr:sp macro="" textlink="">
      <xdr:nvSpPr>
        <xdr:cNvPr id="13451" name="Rechthoek: afgeronde hoeken 13450">
          <a:extLst>
            <a:ext uri="{FF2B5EF4-FFF2-40B4-BE49-F238E27FC236}">
              <a16:creationId xmlns:a16="http://schemas.microsoft.com/office/drawing/2014/main" id="{E70559DC-348D-E82A-DC4A-C1AD6DA5E590}"/>
            </a:ext>
          </a:extLst>
        </xdr:cNvPr>
        <xdr:cNvSpPr/>
      </xdr:nvSpPr>
      <xdr:spPr>
        <a:xfrm>
          <a:off x="12450461" y="10013950"/>
          <a:ext cx="1836230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J15, Intervention rééducation part-3
12:49-13:38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13</xdr:col>
      <xdr:colOff>323041</xdr:colOff>
      <xdr:row>25</xdr:row>
      <xdr:rowOff>12700</xdr:rowOff>
    </xdr:from>
    <xdr:to>
      <xdr:col>14</xdr:col>
      <xdr:colOff>1076802</xdr:colOff>
      <xdr:row>25</xdr:row>
      <xdr:rowOff>387350</xdr:rowOff>
    </xdr:to>
    <xdr:sp macro="" textlink="">
      <xdr:nvSpPr>
        <xdr:cNvPr id="13452" name="Rechthoek: afgeronde hoeken 13451">
          <a:extLst>
            <a:ext uri="{FF2B5EF4-FFF2-40B4-BE49-F238E27FC236}">
              <a16:creationId xmlns:a16="http://schemas.microsoft.com/office/drawing/2014/main" id="{E5F01964-802F-14EE-D22F-EC0EBA876FCA}"/>
            </a:ext>
          </a:extLst>
        </xdr:cNvPr>
        <xdr:cNvSpPr/>
      </xdr:nvSpPr>
      <xdr:spPr>
        <a:xfrm>
          <a:off x="14286691" y="10013950"/>
          <a:ext cx="1887236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J15, Protéines 
13:38-14:28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14</xdr:col>
      <xdr:colOff>1076801</xdr:colOff>
      <xdr:row>25</xdr:row>
      <xdr:rowOff>12700</xdr:rowOff>
    </xdr:from>
    <xdr:to>
      <xdr:col>16</xdr:col>
      <xdr:colOff>321151</xdr:colOff>
      <xdr:row>25</xdr:row>
      <xdr:rowOff>387350</xdr:rowOff>
    </xdr:to>
    <xdr:sp macro="" textlink="">
      <xdr:nvSpPr>
        <xdr:cNvPr id="13453" name="Rechthoek: afgeronde hoeken 13452">
          <a:extLst>
            <a:ext uri="{FF2B5EF4-FFF2-40B4-BE49-F238E27FC236}">
              <a16:creationId xmlns:a16="http://schemas.microsoft.com/office/drawing/2014/main" id="{DE29825E-9E30-C404-2F7E-571691DE13B7}"/>
            </a:ext>
          </a:extLst>
        </xdr:cNvPr>
        <xdr:cNvSpPr/>
      </xdr:nvSpPr>
      <xdr:spPr>
        <a:xfrm>
          <a:off x="16173926" y="10013950"/>
          <a:ext cx="1511300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J0, Structure des glucides 
14:28-15:08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16</xdr:col>
      <xdr:colOff>321151</xdr:colOff>
      <xdr:row>25</xdr:row>
      <xdr:rowOff>12700</xdr:rowOff>
    </xdr:from>
    <xdr:to>
      <xdr:col>18</xdr:col>
      <xdr:colOff>321151</xdr:colOff>
      <xdr:row>25</xdr:row>
      <xdr:rowOff>387350</xdr:rowOff>
    </xdr:to>
    <xdr:sp macro="" textlink="">
      <xdr:nvSpPr>
        <xdr:cNvPr id="13454" name="Rechthoek: afgeronde hoeken 13453">
          <a:extLst>
            <a:ext uri="{FF2B5EF4-FFF2-40B4-BE49-F238E27FC236}">
              <a16:creationId xmlns:a16="http://schemas.microsoft.com/office/drawing/2014/main" id="{9E010B04-019B-C331-D306-E49BD3EB0F41}"/>
            </a:ext>
          </a:extLst>
        </xdr:cNvPr>
        <xdr:cNvSpPr/>
      </xdr:nvSpPr>
      <xdr:spPr>
        <a:xfrm>
          <a:off x="17685226" y="10013950"/>
          <a:ext cx="2266950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J0, Cytosquellette
15:08-16:08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18</xdr:col>
      <xdr:colOff>321151</xdr:colOff>
      <xdr:row>25</xdr:row>
      <xdr:rowOff>12700</xdr:rowOff>
    </xdr:from>
    <xdr:to>
      <xdr:col>20</xdr:col>
      <xdr:colOff>661193</xdr:colOff>
      <xdr:row>25</xdr:row>
      <xdr:rowOff>387350</xdr:rowOff>
    </xdr:to>
    <xdr:sp macro="" textlink="">
      <xdr:nvSpPr>
        <xdr:cNvPr id="13455" name="Rechthoek: afgeronde hoeken 13454">
          <a:extLst>
            <a:ext uri="{FF2B5EF4-FFF2-40B4-BE49-F238E27FC236}">
              <a16:creationId xmlns:a16="http://schemas.microsoft.com/office/drawing/2014/main" id="{AD54CD9E-7B52-127B-12AD-89AAF72A8A1A}"/>
            </a:ext>
          </a:extLst>
        </xdr:cNvPr>
        <xdr:cNvSpPr/>
      </xdr:nvSpPr>
      <xdr:spPr>
        <a:xfrm>
          <a:off x="19952176" y="10013950"/>
          <a:ext cx="2606992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J0, Membre supérieur 3
16:08-17:17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20</xdr:col>
      <xdr:colOff>661194</xdr:colOff>
      <xdr:row>25</xdr:row>
      <xdr:rowOff>12700</xdr:rowOff>
    </xdr:from>
    <xdr:to>
      <xdr:col>22</xdr:col>
      <xdr:colOff>0</xdr:colOff>
      <xdr:row>25</xdr:row>
      <xdr:rowOff>387350</xdr:rowOff>
    </xdr:to>
    <xdr:sp macro="" textlink="">
      <xdr:nvSpPr>
        <xdr:cNvPr id="13456" name="Rechthoek: afgeronde hoeken 13455">
          <a:extLst>
            <a:ext uri="{FF2B5EF4-FFF2-40B4-BE49-F238E27FC236}">
              <a16:creationId xmlns:a16="http://schemas.microsoft.com/office/drawing/2014/main" id="{CF2EAD02-951E-99F3-6B76-CC32C89F8403}"/>
            </a:ext>
          </a:extLst>
        </xdr:cNvPr>
        <xdr:cNvSpPr/>
      </xdr:nvSpPr>
      <xdr:spPr>
        <a:xfrm>
          <a:off x="22559169" y="10013950"/>
          <a:ext cx="1605756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J0, Dos
17:17-08:55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26</xdr:row>
      <xdr:rowOff>12700</xdr:rowOff>
    </xdr:from>
    <xdr:to>
      <xdr:col>3</xdr:col>
      <xdr:colOff>963454</xdr:colOff>
      <xdr:row>26</xdr:row>
      <xdr:rowOff>387350</xdr:rowOff>
    </xdr:to>
    <xdr:sp macro="" textlink="">
      <xdr:nvSpPr>
        <xdr:cNvPr id="13457" name="Rechthoek: afgeronde hoeken 13456">
          <a:extLst>
            <a:ext uri="{FF2B5EF4-FFF2-40B4-BE49-F238E27FC236}">
              <a16:creationId xmlns:a16="http://schemas.microsoft.com/office/drawing/2014/main" id="{D996B843-469F-CB94-6C84-4FD9A8218A49}"/>
            </a:ext>
          </a:extLst>
        </xdr:cNvPr>
        <xdr:cNvSpPr/>
      </xdr:nvSpPr>
      <xdr:spPr>
        <a:xfrm>
          <a:off x="1495425" y="10414000"/>
          <a:ext cx="2096929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J0, Dos
17:17-08:55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963454</xdr:colOff>
      <xdr:row>26</xdr:row>
      <xdr:rowOff>12700</xdr:rowOff>
    </xdr:from>
    <xdr:to>
      <xdr:col>7</xdr:col>
      <xdr:colOff>207804</xdr:colOff>
      <xdr:row>26</xdr:row>
      <xdr:rowOff>387350</xdr:rowOff>
    </xdr:to>
    <xdr:sp macro="" textlink="">
      <xdr:nvSpPr>
        <xdr:cNvPr id="13458" name="Rechthoek: afgeronde hoeken 13457">
          <a:extLst>
            <a:ext uri="{FF2B5EF4-FFF2-40B4-BE49-F238E27FC236}">
              <a16:creationId xmlns:a16="http://schemas.microsoft.com/office/drawing/2014/main" id="{F21935F1-7B23-5B22-B540-C0CD9AD9D6EC}"/>
            </a:ext>
          </a:extLst>
        </xdr:cNvPr>
        <xdr:cNvSpPr/>
      </xdr:nvSpPr>
      <xdr:spPr>
        <a:xfrm>
          <a:off x="3592354" y="10414000"/>
          <a:ext cx="3778250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J0, Le domaine de l'optique 
08:55-10:35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7</xdr:col>
      <xdr:colOff>207804</xdr:colOff>
      <xdr:row>26</xdr:row>
      <xdr:rowOff>12700</xdr:rowOff>
    </xdr:from>
    <xdr:to>
      <xdr:col>10</xdr:col>
      <xdr:colOff>585629</xdr:colOff>
      <xdr:row>26</xdr:row>
      <xdr:rowOff>387350</xdr:rowOff>
    </xdr:to>
    <xdr:sp macro="" textlink="">
      <xdr:nvSpPr>
        <xdr:cNvPr id="13459" name="Rechthoek: afgeronde hoeken 13458">
          <a:extLst>
            <a:ext uri="{FF2B5EF4-FFF2-40B4-BE49-F238E27FC236}">
              <a16:creationId xmlns:a16="http://schemas.microsoft.com/office/drawing/2014/main" id="{00BA7535-C3F2-BC7F-A193-D1286824ACE1}"/>
            </a:ext>
          </a:extLst>
        </xdr:cNvPr>
        <xdr:cNvSpPr/>
      </xdr:nvSpPr>
      <xdr:spPr>
        <a:xfrm>
          <a:off x="7370604" y="10414000"/>
          <a:ext cx="3778250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J0, Rayons X et gamma-Rayonnement particulaire
10:35-12:15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10</xdr:col>
      <xdr:colOff>585629</xdr:colOff>
      <xdr:row>26</xdr:row>
      <xdr:rowOff>12700</xdr:rowOff>
    </xdr:from>
    <xdr:to>
      <xdr:col>13</xdr:col>
      <xdr:colOff>963454</xdr:colOff>
      <xdr:row>26</xdr:row>
      <xdr:rowOff>387350</xdr:rowOff>
    </xdr:to>
    <xdr:sp macro="" textlink="">
      <xdr:nvSpPr>
        <xdr:cNvPr id="13460" name="Rechthoek: afgeronde hoeken 13459">
          <a:extLst>
            <a:ext uri="{FF2B5EF4-FFF2-40B4-BE49-F238E27FC236}">
              <a16:creationId xmlns:a16="http://schemas.microsoft.com/office/drawing/2014/main" id="{805D587E-A972-B563-854F-9AEE79325488}"/>
            </a:ext>
          </a:extLst>
        </xdr:cNvPr>
        <xdr:cNvSpPr/>
      </xdr:nvSpPr>
      <xdr:spPr>
        <a:xfrm>
          <a:off x="11148854" y="10414000"/>
          <a:ext cx="3778250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J0, Tête
12:15-13:55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13</xdr:col>
      <xdr:colOff>963454</xdr:colOff>
      <xdr:row>26</xdr:row>
      <xdr:rowOff>12700</xdr:rowOff>
    </xdr:from>
    <xdr:to>
      <xdr:col>14</xdr:col>
      <xdr:colOff>736759</xdr:colOff>
      <xdr:row>26</xdr:row>
      <xdr:rowOff>387350</xdr:rowOff>
    </xdr:to>
    <xdr:sp macro="" textlink="">
      <xdr:nvSpPr>
        <xdr:cNvPr id="13461" name="Rechthoek: afgeronde hoeken 13460">
          <a:extLst>
            <a:ext uri="{FF2B5EF4-FFF2-40B4-BE49-F238E27FC236}">
              <a16:creationId xmlns:a16="http://schemas.microsoft.com/office/drawing/2014/main" id="{B14B4346-89F4-ADFA-704B-FE884D7E2BBE}"/>
            </a:ext>
          </a:extLst>
        </xdr:cNvPr>
        <xdr:cNvSpPr/>
      </xdr:nvSpPr>
      <xdr:spPr>
        <a:xfrm>
          <a:off x="14927104" y="10414000"/>
          <a:ext cx="906780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J6, psychologie générale 
13:55-14:19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14</xdr:col>
      <xdr:colOff>736758</xdr:colOff>
      <xdr:row>26</xdr:row>
      <xdr:rowOff>12700</xdr:rowOff>
    </xdr:from>
    <xdr:to>
      <xdr:col>16</xdr:col>
      <xdr:colOff>56673</xdr:colOff>
      <xdr:row>26</xdr:row>
      <xdr:rowOff>387350</xdr:rowOff>
    </xdr:to>
    <xdr:sp macro="" textlink="">
      <xdr:nvSpPr>
        <xdr:cNvPr id="13462" name="Rechthoek: afgeronde hoeken 13461">
          <a:extLst>
            <a:ext uri="{FF2B5EF4-FFF2-40B4-BE49-F238E27FC236}">
              <a16:creationId xmlns:a16="http://schemas.microsoft.com/office/drawing/2014/main" id="{57A33ECC-6AB5-BF80-B4C3-EB67FB7582BB}"/>
            </a:ext>
          </a:extLst>
        </xdr:cNvPr>
        <xdr:cNvSpPr/>
      </xdr:nvSpPr>
      <xdr:spPr>
        <a:xfrm>
          <a:off x="15833883" y="10414000"/>
          <a:ext cx="1586865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J6, schéma d'étude 
14:19-15:01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16</xdr:col>
      <xdr:colOff>56674</xdr:colOff>
      <xdr:row>26</xdr:row>
      <xdr:rowOff>12700</xdr:rowOff>
    </xdr:from>
    <xdr:to>
      <xdr:col>17</xdr:col>
      <xdr:colOff>510064</xdr:colOff>
      <xdr:row>26</xdr:row>
      <xdr:rowOff>387350</xdr:rowOff>
    </xdr:to>
    <xdr:sp macro="" textlink="">
      <xdr:nvSpPr>
        <xdr:cNvPr id="13463" name="Rechthoek: afgeronde hoeken 13462">
          <a:extLst>
            <a:ext uri="{FF2B5EF4-FFF2-40B4-BE49-F238E27FC236}">
              <a16:creationId xmlns:a16="http://schemas.microsoft.com/office/drawing/2014/main" id="{DD0DC244-3E6A-0B27-D342-9904725D2F35}"/>
            </a:ext>
          </a:extLst>
        </xdr:cNvPr>
        <xdr:cNvSpPr/>
      </xdr:nvSpPr>
      <xdr:spPr>
        <a:xfrm>
          <a:off x="17420749" y="10414000"/>
          <a:ext cx="1586865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J6, Les alcools- les amines
15:01-15:43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17</xdr:col>
      <xdr:colOff>510063</xdr:colOff>
      <xdr:row>26</xdr:row>
      <xdr:rowOff>12700</xdr:rowOff>
    </xdr:from>
    <xdr:to>
      <xdr:col>19</xdr:col>
      <xdr:colOff>1133474</xdr:colOff>
      <xdr:row>26</xdr:row>
      <xdr:rowOff>387350</xdr:rowOff>
    </xdr:to>
    <xdr:sp macro="" textlink="">
      <xdr:nvSpPr>
        <xdr:cNvPr id="13464" name="Rechthoek: afgeronde hoeken 13463">
          <a:extLst>
            <a:ext uri="{FF2B5EF4-FFF2-40B4-BE49-F238E27FC236}">
              <a16:creationId xmlns:a16="http://schemas.microsoft.com/office/drawing/2014/main" id="{4D51C32F-C652-A9B6-AAD6-F5467A571C16}"/>
            </a:ext>
          </a:extLst>
        </xdr:cNvPr>
        <xdr:cNvSpPr/>
      </xdr:nvSpPr>
      <xdr:spPr>
        <a:xfrm>
          <a:off x="19007613" y="10414000"/>
          <a:ext cx="2890361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J6, Introduction épidémiologie et stats
15:43-17:00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20</xdr:col>
      <xdr:colOff>0</xdr:colOff>
      <xdr:row>26</xdr:row>
      <xdr:rowOff>12700</xdr:rowOff>
    </xdr:from>
    <xdr:to>
      <xdr:col>22</xdr:col>
      <xdr:colOff>0</xdr:colOff>
      <xdr:row>26</xdr:row>
      <xdr:rowOff>387350</xdr:rowOff>
    </xdr:to>
    <xdr:sp macro="" textlink="">
      <xdr:nvSpPr>
        <xdr:cNvPr id="13465" name="Rechthoek: afgeronde hoeken 13464">
          <a:extLst>
            <a:ext uri="{FF2B5EF4-FFF2-40B4-BE49-F238E27FC236}">
              <a16:creationId xmlns:a16="http://schemas.microsoft.com/office/drawing/2014/main" id="{3655977B-ABC9-A0B4-0359-98B3C8D5C47D}"/>
            </a:ext>
          </a:extLst>
        </xdr:cNvPr>
        <xdr:cNvSpPr/>
      </xdr:nvSpPr>
      <xdr:spPr>
        <a:xfrm>
          <a:off x="21897975" y="10414000"/>
          <a:ext cx="2266950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J6, Intervention rééducation part-5
17:00-08:18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27</xdr:row>
      <xdr:rowOff>12700</xdr:rowOff>
    </xdr:from>
    <xdr:to>
      <xdr:col>2</xdr:col>
      <xdr:colOff>680085</xdr:colOff>
      <xdr:row>27</xdr:row>
      <xdr:rowOff>387350</xdr:rowOff>
    </xdr:to>
    <xdr:sp macro="" textlink="">
      <xdr:nvSpPr>
        <xdr:cNvPr id="13466" name="Rechthoek: afgeronde hoeken 13465">
          <a:extLst>
            <a:ext uri="{FF2B5EF4-FFF2-40B4-BE49-F238E27FC236}">
              <a16:creationId xmlns:a16="http://schemas.microsoft.com/office/drawing/2014/main" id="{BA421673-11D3-6E54-FA98-AB74F026A040}"/>
            </a:ext>
          </a:extLst>
        </xdr:cNvPr>
        <xdr:cNvSpPr/>
      </xdr:nvSpPr>
      <xdr:spPr>
        <a:xfrm>
          <a:off x="1495425" y="10814050"/>
          <a:ext cx="680085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J6, Intervention rééducation part-5
17:00-08:18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680085</xdr:colOff>
      <xdr:row>27</xdr:row>
      <xdr:rowOff>12700</xdr:rowOff>
    </xdr:from>
    <xdr:to>
      <xdr:col>4</xdr:col>
      <xdr:colOff>385381</xdr:colOff>
      <xdr:row>27</xdr:row>
      <xdr:rowOff>387350</xdr:rowOff>
    </xdr:to>
    <xdr:sp macro="" textlink="">
      <xdr:nvSpPr>
        <xdr:cNvPr id="13467" name="Rechthoek: afgeronde hoeken 13466">
          <a:extLst>
            <a:ext uri="{FF2B5EF4-FFF2-40B4-BE49-F238E27FC236}">
              <a16:creationId xmlns:a16="http://schemas.microsoft.com/office/drawing/2014/main" id="{74958379-34C8-7EE0-0406-AE026103B636}"/>
            </a:ext>
          </a:extLst>
        </xdr:cNvPr>
        <xdr:cNvSpPr/>
      </xdr:nvSpPr>
      <xdr:spPr>
        <a:xfrm>
          <a:off x="2175510" y="10814050"/>
          <a:ext cx="1972246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J2, CI du fonctionnement, du handicap et de la santé 
08:18-09:10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4</xdr:col>
      <xdr:colOff>385382</xdr:colOff>
      <xdr:row>27</xdr:row>
      <xdr:rowOff>12700</xdr:rowOff>
    </xdr:from>
    <xdr:to>
      <xdr:col>6</xdr:col>
      <xdr:colOff>770764</xdr:colOff>
      <xdr:row>27</xdr:row>
      <xdr:rowOff>387350</xdr:rowOff>
    </xdr:to>
    <xdr:sp macro="" textlink="">
      <xdr:nvSpPr>
        <xdr:cNvPr id="13468" name="Rechthoek: afgeronde hoeken 13467">
          <a:extLst>
            <a:ext uri="{FF2B5EF4-FFF2-40B4-BE49-F238E27FC236}">
              <a16:creationId xmlns:a16="http://schemas.microsoft.com/office/drawing/2014/main" id="{8831B9EA-917F-4810-9F48-F41F0ECD5EB1}"/>
            </a:ext>
          </a:extLst>
        </xdr:cNvPr>
        <xdr:cNvSpPr/>
      </xdr:nvSpPr>
      <xdr:spPr>
        <a:xfrm>
          <a:off x="4147757" y="10814050"/>
          <a:ext cx="2652332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J2, Jonction neuro-musculaire
09:10-10:20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6</xdr:col>
      <xdr:colOff>770763</xdr:colOff>
      <xdr:row>27</xdr:row>
      <xdr:rowOff>12700</xdr:rowOff>
    </xdr:from>
    <xdr:to>
      <xdr:col>9</xdr:col>
      <xdr:colOff>158686</xdr:colOff>
      <xdr:row>27</xdr:row>
      <xdr:rowOff>387350</xdr:rowOff>
    </xdr:to>
    <xdr:sp macro="" textlink="">
      <xdr:nvSpPr>
        <xdr:cNvPr id="13469" name="Rechthoek: afgeronde hoeken 13468">
          <a:extLst>
            <a:ext uri="{FF2B5EF4-FFF2-40B4-BE49-F238E27FC236}">
              <a16:creationId xmlns:a16="http://schemas.microsoft.com/office/drawing/2014/main" id="{746D7B3C-D51E-296A-5741-F56AD7779834}"/>
            </a:ext>
          </a:extLst>
        </xdr:cNvPr>
        <xdr:cNvSpPr/>
      </xdr:nvSpPr>
      <xdr:spPr>
        <a:xfrm>
          <a:off x="6800088" y="10814050"/>
          <a:ext cx="2788348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J2, Culture, corps et santé
10:20-11:34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9</xdr:col>
      <xdr:colOff>158686</xdr:colOff>
      <xdr:row>27</xdr:row>
      <xdr:rowOff>12700</xdr:rowOff>
    </xdr:from>
    <xdr:to>
      <xdr:col>12</xdr:col>
      <xdr:colOff>226695</xdr:colOff>
      <xdr:row>27</xdr:row>
      <xdr:rowOff>387350</xdr:rowOff>
    </xdr:to>
    <xdr:sp macro="" textlink="">
      <xdr:nvSpPr>
        <xdr:cNvPr id="13470" name="Rechthoek: afgeronde hoeken 13469">
          <a:extLst>
            <a:ext uri="{FF2B5EF4-FFF2-40B4-BE49-F238E27FC236}">
              <a16:creationId xmlns:a16="http://schemas.microsoft.com/office/drawing/2014/main" id="{4E711095-D9F2-BC4B-E8AA-1F8BA36139A3}"/>
            </a:ext>
          </a:extLst>
        </xdr:cNvPr>
        <xdr:cNvSpPr/>
      </xdr:nvSpPr>
      <xdr:spPr>
        <a:xfrm>
          <a:off x="9588436" y="10814050"/>
          <a:ext cx="3468434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J2, Les acides aminés- les oses 
11:34-13:06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12</xdr:col>
      <xdr:colOff>226695</xdr:colOff>
      <xdr:row>27</xdr:row>
      <xdr:rowOff>12700</xdr:rowOff>
    </xdr:from>
    <xdr:to>
      <xdr:col>14</xdr:col>
      <xdr:colOff>136017</xdr:colOff>
      <xdr:row>27</xdr:row>
      <xdr:rowOff>387350</xdr:rowOff>
    </xdr:to>
    <xdr:sp macro="" textlink="">
      <xdr:nvSpPr>
        <xdr:cNvPr id="13471" name="Rechthoek: afgeronde hoeken 13470">
          <a:extLst>
            <a:ext uri="{FF2B5EF4-FFF2-40B4-BE49-F238E27FC236}">
              <a16:creationId xmlns:a16="http://schemas.microsoft.com/office/drawing/2014/main" id="{7F11B709-19EE-C1AB-70BA-7185B8164AE2}"/>
            </a:ext>
          </a:extLst>
        </xdr:cNvPr>
        <xdr:cNvSpPr/>
      </xdr:nvSpPr>
      <xdr:spPr>
        <a:xfrm>
          <a:off x="13056870" y="10814050"/>
          <a:ext cx="2176272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J10, La discipline anthropologique 
13:06-14:03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14</xdr:col>
      <xdr:colOff>136017</xdr:colOff>
      <xdr:row>27</xdr:row>
      <xdr:rowOff>12700</xdr:rowOff>
    </xdr:from>
    <xdr:to>
      <xdr:col>16</xdr:col>
      <xdr:colOff>430721</xdr:colOff>
      <xdr:row>27</xdr:row>
      <xdr:rowOff>387350</xdr:rowOff>
    </xdr:to>
    <xdr:sp macro="" textlink="">
      <xdr:nvSpPr>
        <xdr:cNvPr id="13472" name="Rechthoek: afgeronde hoeken 13471">
          <a:extLst>
            <a:ext uri="{FF2B5EF4-FFF2-40B4-BE49-F238E27FC236}">
              <a16:creationId xmlns:a16="http://schemas.microsoft.com/office/drawing/2014/main" id="{E8B50B6B-1C29-C2DE-123B-840231A497F3}"/>
            </a:ext>
          </a:extLst>
        </xdr:cNvPr>
        <xdr:cNvSpPr/>
      </xdr:nvSpPr>
      <xdr:spPr>
        <a:xfrm>
          <a:off x="15233142" y="10814050"/>
          <a:ext cx="2561654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J10, intro: tissus
14:03-15:11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16</xdr:col>
      <xdr:colOff>430721</xdr:colOff>
      <xdr:row>27</xdr:row>
      <xdr:rowOff>12700</xdr:rowOff>
    </xdr:from>
    <xdr:to>
      <xdr:col>17</xdr:col>
      <xdr:colOff>581851</xdr:colOff>
      <xdr:row>27</xdr:row>
      <xdr:rowOff>387350</xdr:rowOff>
    </xdr:to>
    <xdr:sp macro="" textlink="">
      <xdr:nvSpPr>
        <xdr:cNvPr id="13473" name="Rechthoek: afgeronde hoeken 13472">
          <a:extLst>
            <a:ext uri="{FF2B5EF4-FFF2-40B4-BE49-F238E27FC236}">
              <a16:creationId xmlns:a16="http://schemas.microsoft.com/office/drawing/2014/main" id="{40C098C8-00EA-903F-7DC7-2BB5391EE3DC}"/>
            </a:ext>
          </a:extLst>
        </xdr:cNvPr>
        <xdr:cNvSpPr/>
      </xdr:nvSpPr>
      <xdr:spPr>
        <a:xfrm>
          <a:off x="17794796" y="10814050"/>
          <a:ext cx="1284605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J0, Membre supérieur 1
15:11-15:45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17</xdr:col>
      <xdr:colOff>581850</xdr:colOff>
      <xdr:row>27</xdr:row>
      <xdr:rowOff>12700</xdr:rowOff>
    </xdr:from>
    <xdr:to>
      <xdr:col>18</xdr:col>
      <xdr:colOff>808545</xdr:colOff>
      <xdr:row>27</xdr:row>
      <xdr:rowOff>387350</xdr:rowOff>
    </xdr:to>
    <xdr:sp macro="" textlink="">
      <xdr:nvSpPr>
        <xdr:cNvPr id="13474" name="Rechthoek: afgeronde hoeken 13473">
          <a:extLst>
            <a:ext uri="{FF2B5EF4-FFF2-40B4-BE49-F238E27FC236}">
              <a16:creationId xmlns:a16="http://schemas.microsoft.com/office/drawing/2014/main" id="{97C33D88-3C2B-414A-0DCF-23AF6C86F238}"/>
            </a:ext>
          </a:extLst>
        </xdr:cNvPr>
        <xdr:cNvSpPr/>
      </xdr:nvSpPr>
      <xdr:spPr>
        <a:xfrm>
          <a:off x="19079400" y="10814050"/>
          <a:ext cx="1360170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J0, pH et équilibre acido basique d'une solution
15:45-16:21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18</xdr:col>
      <xdr:colOff>808546</xdr:colOff>
      <xdr:row>27</xdr:row>
      <xdr:rowOff>12700</xdr:rowOff>
    </xdr:from>
    <xdr:to>
      <xdr:col>21</xdr:col>
      <xdr:colOff>52896</xdr:colOff>
      <xdr:row>27</xdr:row>
      <xdr:rowOff>387350</xdr:rowOff>
    </xdr:to>
    <xdr:sp macro="" textlink="">
      <xdr:nvSpPr>
        <xdr:cNvPr id="13475" name="Rechthoek: afgeronde hoeken 13474">
          <a:extLst>
            <a:ext uri="{FF2B5EF4-FFF2-40B4-BE49-F238E27FC236}">
              <a16:creationId xmlns:a16="http://schemas.microsoft.com/office/drawing/2014/main" id="{7472AD00-201E-19C0-4857-2227B20D9DE0}"/>
            </a:ext>
          </a:extLst>
        </xdr:cNvPr>
        <xdr:cNvSpPr/>
      </xdr:nvSpPr>
      <xdr:spPr>
        <a:xfrm>
          <a:off x="20439571" y="10814050"/>
          <a:ext cx="2644775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J0, système nerveux autonome 
16:21-17:31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21</xdr:col>
      <xdr:colOff>52896</xdr:colOff>
      <xdr:row>27</xdr:row>
      <xdr:rowOff>12700</xdr:rowOff>
    </xdr:from>
    <xdr:to>
      <xdr:col>22</xdr:col>
      <xdr:colOff>0</xdr:colOff>
      <xdr:row>27</xdr:row>
      <xdr:rowOff>387350</xdr:rowOff>
    </xdr:to>
    <xdr:sp macro="" textlink="">
      <xdr:nvSpPr>
        <xdr:cNvPr id="13476" name="Rechthoek: afgeronde hoeken 13475">
          <a:extLst>
            <a:ext uri="{FF2B5EF4-FFF2-40B4-BE49-F238E27FC236}">
              <a16:creationId xmlns:a16="http://schemas.microsoft.com/office/drawing/2014/main" id="{936FF62A-0E88-BC38-6F2E-A5DFFF078064}"/>
            </a:ext>
          </a:extLst>
        </xdr:cNvPr>
        <xdr:cNvSpPr/>
      </xdr:nvSpPr>
      <xdr:spPr>
        <a:xfrm>
          <a:off x="23084346" y="10814050"/>
          <a:ext cx="1080579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J0, Maladies, itinéraire thérapeutique
17:31-08:47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28</xdr:row>
      <xdr:rowOff>12700</xdr:rowOff>
    </xdr:from>
    <xdr:to>
      <xdr:col>3</xdr:col>
      <xdr:colOff>657415</xdr:colOff>
      <xdr:row>28</xdr:row>
      <xdr:rowOff>387350</xdr:rowOff>
    </xdr:to>
    <xdr:sp macro="" textlink="">
      <xdr:nvSpPr>
        <xdr:cNvPr id="13477" name="Rechthoek: afgeronde hoeken 13476">
          <a:extLst>
            <a:ext uri="{FF2B5EF4-FFF2-40B4-BE49-F238E27FC236}">
              <a16:creationId xmlns:a16="http://schemas.microsoft.com/office/drawing/2014/main" id="{45AA2CDA-A208-99F9-E96D-1ED9A3C3057C}"/>
            </a:ext>
          </a:extLst>
        </xdr:cNvPr>
        <xdr:cNvSpPr/>
      </xdr:nvSpPr>
      <xdr:spPr>
        <a:xfrm>
          <a:off x="1495425" y="11214100"/>
          <a:ext cx="1790890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J0, Maladies, itinéraire thérapeutique
17:31-08:47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657416</xdr:colOff>
      <xdr:row>28</xdr:row>
      <xdr:rowOff>12700</xdr:rowOff>
    </xdr:from>
    <xdr:to>
      <xdr:col>6</xdr:col>
      <xdr:colOff>581851</xdr:colOff>
      <xdr:row>28</xdr:row>
      <xdr:rowOff>387350</xdr:rowOff>
    </xdr:to>
    <xdr:sp macro="" textlink="">
      <xdr:nvSpPr>
        <xdr:cNvPr id="13478" name="Rechthoek: afgeronde hoeken 13477">
          <a:extLst>
            <a:ext uri="{FF2B5EF4-FFF2-40B4-BE49-F238E27FC236}">
              <a16:creationId xmlns:a16="http://schemas.microsoft.com/office/drawing/2014/main" id="{11518069-E60E-E7BA-66A1-CE229C2C672F}"/>
            </a:ext>
          </a:extLst>
        </xdr:cNvPr>
        <xdr:cNvSpPr/>
      </xdr:nvSpPr>
      <xdr:spPr>
        <a:xfrm>
          <a:off x="3286316" y="11214100"/>
          <a:ext cx="3324860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J0, Nomenclature chimique- Isomérie 
08:47-10:15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6</xdr:col>
      <xdr:colOff>581851</xdr:colOff>
      <xdr:row>28</xdr:row>
      <xdr:rowOff>12700</xdr:rowOff>
    </xdr:from>
    <xdr:to>
      <xdr:col>7</xdr:col>
      <xdr:colOff>808546</xdr:colOff>
      <xdr:row>28</xdr:row>
      <xdr:rowOff>387350</xdr:rowOff>
    </xdr:to>
    <xdr:sp macro="" textlink="">
      <xdr:nvSpPr>
        <xdr:cNvPr id="13479" name="Rechthoek: afgeronde hoeken 13478">
          <a:extLst>
            <a:ext uri="{FF2B5EF4-FFF2-40B4-BE49-F238E27FC236}">
              <a16:creationId xmlns:a16="http://schemas.microsoft.com/office/drawing/2014/main" id="{1F85FAE0-6D5D-C477-19BA-34A89E7FFAE9}"/>
            </a:ext>
          </a:extLst>
        </xdr:cNvPr>
        <xdr:cNvSpPr/>
      </xdr:nvSpPr>
      <xdr:spPr>
        <a:xfrm>
          <a:off x="6611176" y="11214100"/>
          <a:ext cx="1360170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J2, Structure des glucides 
10:15-10:51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7</xdr:col>
      <xdr:colOff>808545</xdr:colOff>
      <xdr:row>28</xdr:row>
      <xdr:rowOff>12700</xdr:rowOff>
    </xdr:from>
    <xdr:to>
      <xdr:col>9</xdr:col>
      <xdr:colOff>581850</xdr:colOff>
      <xdr:row>28</xdr:row>
      <xdr:rowOff>387350</xdr:rowOff>
    </xdr:to>
    <xdr:sp macro="" textlink="">
      <xdr:nvSpPr>
        <xdr:cNvPr id="13480" name="Rechthoek: afgeronde hoeken 13479">
          <a:extLst>
            <a:ext uri="{FF2B5EF4-FFF2-40B4-BE49-F238E27FC236}">
              <a16:creationId xmlns:a16="http://schemas.microsoft.com/office/drawing/2014/main" id="{DA36FCD0-1682-AF60-20EF-C6F8333CACF2}"/>
            </a:ext>
          </a:extLst>
        </xdr:cNvPr>
        <xdr:cNvSpPr/>
      </xdr:nvSpPr>
      <xdr:spPr>
        <a:xfrm>
          <a:off x="7971345" y="11214100"/>
          <a:ext cx="2040255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J2, Cytosquellette
10:51-11:45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9</xdr:col>
      <xdr:colOff>581851</xdr:colOff>
      <xdr:row>28</xdr:row>
      <xdr:rowOff>12700</xdr:rowOff>
    </xdr:from>
    <xdr:to>
      <xdr:col>11</xdr:col>
      <xdr:colOff>661194</xdr:colOff>
      <xdr:row>28</xdr:row>
      <xdr:rowOff>387350</xdr:rowOff>
    </xdr:to>
    <xdr:sp macro="" textlink="">
      <xdr:nvSpPr>
        <xdr:cNvPr id="13481" name="Rechthoek: afgeronde hoeken 13480">
          <a:extLst>
            <a:ext uri="{FF2B5EF4-FFF2-40B4-BE49-F238E27FC236}">
              <a16:creationId xmlns:a16="http://schemas.microsoft.com/office/drawing/2014/main" id="{06F8B56C-A7CD-3D0E-E08C-5995EF095359}"/>
            </a:ext>
          </a:extLst>
        </xdr:cNvPr>
        <xdr:cNvSpPr/>
      </xdr:nvSpPr>
      <xdr:spPr>
        <a:xfrm>
          <a:off x="10011601" y="11214100"/>
          <a:ext cx="2346293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J2, Membre supérieur 3
11:45-12:47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11</xdr:col>
      <xdr:colOff>661194</xdr:colOff>
      <xdr:row>28</xdr:row>
      <xdr:rowOff>12700</xdr:rowOff>
    </xdr:from>
    <xdr:to>
      <xdr:col>14</xdr:col>
      <xdr:colOff>593185</xdr:colOff>
      <xdr:row>28</xdr:row>
      <xdr:rowOff>387350</xdr:rowOff>
    </xdr:to>
    <xdr:sp macro="" textlink="">
      <xdr:nvSpPr>
        <xdr:cNvPr id="13482" name="Rechthoek: afgeronde hoeken 13481">
          <a:extLst>
            <a:ext uri="{FF2B5EF4-FFF2-40B4-BE49-F238E27FC236}">
              <a16:creationId xmlns:a16="http://schemas.microsoft.com/office/drawing/2014/main" id="{36FF15AC-350A-683A-BC0C-AC56BC87D5AF}"/>
            </a:ext>
          </a:extLst>
        </xdr:cNvPr>
        <xdr:cNvSpPr/>
      </xdr:nvSpPr>
      <xdr:spPr>
        <a:xfrm>
          <a:off x="12357894" y="11214100"/>
          <a:ext cx="3332416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J2, Dos
12:47-14:15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14</xdr:col>
      <xdr:colOff>593185</xdr:colOff>
      <xdr:row>28</xdr:row>
      <xdr:rowOff>12700</xdr:rowOff>
    </xdr:from>
    <xdr:to>
      <xdr:col>17</xdr:col>
      <xdr:colOff>593185</xdr:colOff>
      <xdr:row>28</xdr:row>
      <xdr:rowOff>387350</xdr:rowOff>
    </xdr:to>
    <xdr:sp macro="" textlink="">
      <xdr:nvSpPr>
        <xdr:cNvPr id="13483" name="Rechthoek: afgeronde hoeken 13482">
          <a:extLst>
            <a:ext uri="{FF2B5EF4-FFF2-40B4-BE49-F238E27FC236}">
              <a16:creationId xmlns:a16="http://schemas.microsoft.com/office/drawing/2014/main" id="{00765F74-3377-17FC-EF21-02F6D80BCE26}"/>
            </a:ext>
          </a:extLst>
        </xdr:cNvPr>
        <xdr:cNvSpPr/>
      </xdr:nvSpPr>
      <xdr:spPr>
        <a:xfrm>
          <a:off x="15690310" y="11214100"/>
          <a:ext cx="3400425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J2, Le domaine de l'optique 
14:15-15:45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17</xdr:col>
      <xdr:colOff>593185</xdr:colOff>
      <xdr:row>28</xdr:row>
      <xdr:rowOff>12700</xdr:rowOff>
    </xdr:from>
    <xdr:to>
      <xdr:col>20</xdr:col>
      <xdr:colOff>593185</xdr:colOff>
      <xdr:row>28</xdr:row>
      <xdr:rowOff>387350</xdr:rowOff>
    </xdr:to>
    <xdr:sp macro="" textlink="">
      <xdr:nvSpPr>
        <xdr:cNvPr id="13484" name="Rechthoek: afgeronde hoeken 13483">
          <a:extLst>
            <a:ext uri="{FF2B5EF4-FFF2-40B4-BE49-F238E27FC236}">
              <a16:creationId xmlns:a16="http://schemas.microsoft.com/office/drawing/2014/main" id="{1BC564F2-2BF1-1AFB-4CA9-3DB0F005278B}"/>
            </a:ext>
          </a:extLst>
        </xdr:cNvPr>
        <xdr:cNvSpPr/>
      </xdr:nvSpPr>
      <xdr:spPr>
        <a:xfrm>
          <a:off x="19090735" y="11214100"/>
          <a:ext cx="3400425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J2, Rayons X et gamma-Rayonnement particulaire
15:45-17:15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20</xdr:col>
      <xdr:colOff>593185</xdr:colOff>
      <xdr:row>28</xdr:row>
      <xdr:rowOff>12700</xdr:rowOff>
    </xdr:from>
    <xdr:to>
      <xdr:col>22</xdr:col>
      <xdr:colOff>0</xdr:colOff>
      <xdr:row>28</xdr:row>
      <xdr:rowOff>387350</xdr:rowOff>
    </xdr:to>
    <xdr:sp macro="" textlink="">
      <xdr:nvSpPr>
        <xdr:cNvPr id="13485" name="Rechthoek: afgeronde hoeken 13484">
          <a:extLst>
            <a:ext uri="{FF2B5EF4-FFF2-40B4-BE49-F238E27FC236}">
              <a16:creationId xmlns:a16="http://schemas.microsoft.com/office/drawing/2014/main" id="{4A4840C7-6C46-6AFF-7699-CF155123DEDB}"/>
            </a:ext>
          </a:extLst>
        </xdr:cNvPr>
        <xdr:cNvSpPr/>
      </xdr:nvSpPr>
      <xdr:spPr>
        <a:xfrm>
          <a:off x="22491160" y="11214100"/>
          <a:ext cx="1673765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J2, Tête
17:15-08:45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29</xdr:row>
      <xdr:rowOff>12700</xdr:rowOff>
    </xdr:from>
    <xdr:to>
      <xdr:col>3</xdr:col>
      <xdr:colOff>593185</xdr:colOff>
      <xdr:row>29</xdr:row>
      <xdr:rowOff>387350</xdr:rowOff>
    </xdr:to>
    <xdr:sp macro="" textlink="">
      <xdr:nvSpPr>
        <xdr:cNvPr id="13486" name="Rechthoek: afgeronde hoeken 13485">
          <a:extLst>
            <a:ext uri="{FF2B5EF4-FFF2-40B4-BE49-F238E27FC236}">
              <a16:creationId xmlns:a16="http://schemas.microsoft.com/office/drawing/2014/main" id="{7C41D00F-B43C-8094-D46B-FE8C96BDC498}"/>
            </a:ext>
          </a:extLst>
        </xdr:cNvPr>
        <xdr:cNvSpPr/>
      </xdr:nvSpPr>
      <xdr:spPr>
        <a:xfrm>
          <a:off x="1495425" y="11614150"/>
          <a:ext cx="1726660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J2, Tête
17:15-08:45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593185</xdr:colOff>
      <xdr:row>29</xdr:row>
      <xdr:rowOff>12700</xdr:rowOff>
    </xdr:from>
    <xdr:to>
      <xdr:col>4</xdr:col>
      <xdr:colOff>377825</xdr:colOff>
      <xdr:row>29</xdr:row>
      <xdr:rowOff>387350</xdr:rowOff>
    </xdr:to>
    <xdr:sp macro="" textlink="">
      <xdr:nvSpPr>
        <xdr:cNvPr id="13487" name="Rechthoek: afgeronde hoeken 13486">
          <a:extLst>
            <a:ext uri="{FF2B5EF4-FFF2-40B4-BE49-F238E27FC236}">
              <a16:creationId xmlns:a16="http://schemas.microsoft.com/office/drawing/2014/main" id="{A1C8888D-88FE-935E-2092-0E9384B79737}"/>
            </a:ext>
          </a:extLst>
        </xdr:cNvPr>
        <xdr:cNvSpPr/>
      </xdr:nvSpPr>
      <xdr:spPr>
        <a:xfrm>
          <a:off x="3222085" y="11614150"/>
          <a:ext cx="918115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J15, Intervention rééducation part-4
08:45-09:10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4</xdr:col>
      <xdr:colOff>377825</xdr:colOff>
      <xdr:row>29</xdr:row>
      <xdr:rowOff>12700</xdr:rowOff>
    </xdr:from>
    <xdr:to>
      <xdr:col>5</xdr:col>
      <xdr:colOff>315484</xdr:colOff>
      <xdr:row>29</xdr:row>
      <xdr:rowOff>387350</xdr:rowOff>
    </xdr:to>
    <xdr:sp macro="" textlink="">
      <xdr:nvSpPr>
        <xdr:cNvPr id="13488" name="Rechthoek: afgeronde hoeken 13487">
          <a:extLst>
            <a:ext uri="{FF2B5EF4-FFF2-40B4-BE49-F238E27FC236}">
              <a16:creationId xmlns:a16="http://schemas.microsoft.com/office/drawing/2014/main" id="{8499CD0E-2DC5-DCEE-22A3-628477F51DFF}"/>
            </a:ext>
          </a:extLst>
        </xdr:cNvPr>
        <xdr:cNvSpPr/>
      </xdr:nvSpPr>
      <xdr:spPr>
        <a:xfrm>
          <a:off x="4140200" y="11614150"/>
          <a:ext cx="1071134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J15, Elément introductif en santé publique
09:10-09:38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315484</xdr:colOff>
      <xdr:row>29</xdr:row>
      <xdr:rowOff>12700</xdr:rowOff>
    </xdr:from>
    <xdr:to>
      <xdr:col>5</xdr:col>
      <xdr:colOff>1131586</xdr:colOff>
      <xdr:row>29</xdr:row>
      <xdr:rowOff>387350</xdr:rowOff>
    </xdr:to>
    <xdr:sp macro="" textlink="">
      <xdr:nvSpPr>
        <xdr:cNvPr id="13489" name="Rechthoek: afgeronde hoeken 13488">
          <a:extLst>
            <a:ext uri="{FF2B5EF4-FFF2-40B4-BE49-F238E27FC236}">
              <a16:creationId xmlns:a16="http://schemas.microsoft.com/office/drawing/2014/main" id="{6C439CBD-EAE2-04C8-A0DA-31A874CEF4A3}"/>
            </a:ext>
          </a:extLst>
        </xdr:cNvPr>
        <xdr:cNvSpPr/>
      </xdr:nvSpPr>
      <xdr:spPr>
        <a:xfrm>
          <a:off x="5211334" y="11614150"/>
          <a:ext cx="816102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J10, Représentations sociales du handicap 
09:38-09:59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1131586</xdr:colOff>
      <xdr:row>29</xdr:row>
      <xdr:rowOff>12700</xdr:rowOff>
    </xdr:from>
    <xdr:to>
      <xdr:col>6</xdr:col>
      <xdr:colOff>1018238</xdr:colOff>
      <xdr:row>29</xdr:row>
      <xdr:rowOff>387350</xdr:rowOff>
    </xdr:to>
    <xdr:sp macro="" textlink="">
      <xdr:nvSpPr>
        <xdr:cNvPr id="13490" name="Rechthoek: afgeronde hoeken 13489">
          <a:extLst>
            <a:ext uri="{FF2B5EF4-FFF2-40B4-BE49-F238E27FC236}">
              <a16:creationId xmlns:a16="http://schemas.microsoft.com/office/drawing/2014/main" id="{B6161A99-990A-B7EB-067A-1D40B1B86C8D}"/>
            </a:ext>
          </a:extLst>
        </xdr:cNvPr>
        <xdr:cNvSpPr/>
      </xdr:nvSpPr>
      <xdr:spPr>
        <a:xfrm>
          <a:off x="6027436" y="11614150"/>
          <a:ext cx="1020127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J10, intro : généralités
09:59-10:26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6</xdr:col>
      <xdr:colOff>1018239</xdr:colOff>
      <xdr:row>29</xdr:row>
      <xdr:rowOff>12700</xdr:rowOff>
    </xdr:from>
    <xdr:to>
      <xdr:col>7</xdr:col>
      <xdr:colOff>972900</xdr:colOff>
      <xdr:row>29</xdr:row>
      <xdr:rowOff>387350</xdr:rowOff>
    </xdr:to>
    <xdr:sp macro="" textlink="">
      <xdr:nvSpPr>
        <xdr:cNvPr id="13491" name="Rechthoek: afgeronde hoeken 13490">
          <a:extLst>
            <a:ext uri="{FF2B5EF4-FFF2-40B4-BE49-F238E27FC236}">
              <a16:creationId xmlns:a16="http://schemas.microsoft.com/office/drawing/2014/main" id="{399E8E51-5E0A-D9AA-5065-449B1723EC96}"/>
            </a:ext>
          </a:extLst>
        </xdr:cNvPr>
        <xdr:cNvSpPr/>
      </xdr:nvSpPr>
      <xdr:spPr>
        <a:xfrm>
          <a:off x="7047564" y="11614150"/>
          <a:ext cx="1088136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J10, Division cellulaire
10:26-10:55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7</xdr:col>
      <xdr:colOff>972900</xdr:colOff>
      <xdr:row>29</xdr:row>
      <xdr:rowOff>12700</xdr:rowOff>
    </xdr:from>
    <xdr:to>
      <xdr:col>8</xdr:col>
      <xdr:colOff>950230</xdr:colOff>
      <xdr:row>29</xdr:row>
      <xdr:rowOff>387350</xdr:rowOff>
    </xdr:to>
    <xdr:sp macro="" textlink="">
      <xdr:nvSpPr>
        <xdr:cNvPr id="13492" name="Rechthoek: afgeronde hoeken 13491">
          <a:extLst>
            <a:ext uri="{FF2B5EF4-FFF2-40B4-BE49-F238E27FC236}">
              <a16:creationId xmlns:a16="http://schemas.microsoft.com/office/drawing/2014/main" id="{9887462D-C3DE-F81C-EA8E-CCCEB431DDD6}"/>
            </a:ext>
          </a:extLst>
        </xdr:cNvPr>
        <xdr:cNvSpPr/>
      </xdr:nvSpPr>
      <xdr:spPr>
        <a:xfrm>
          <a:off x="8135700" y="11614150"/>
          <a:ext cx="1110805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J10, Transcription et régulation 
10:55-11:25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8</xdr:col>
      <xdr:colOff>950230</xdr:colOff>
      <xdr:row>29</xdr:row>
      <xdr:rowOff>12700</xdr:rowOff>
    </xdr:from>
    <xdr:to>
      <xdr:col>10</xdr:col>
      <xdr:colOff>43450</xdr:colOff>
      <xdr:row>29</xdr:row>
      <xdr:rowOff>387350</xdr:rowOff>
    </xdr:to>
    <xdr:sp macro="" textlink="">
      <xdr:nvSpPr>
        <xdr:cNvPr id="13493" name="Rechthoek: afgeronde hoeken 13492">
          <a:extLst>
            <a:ext uri="{FF2B5EF4-FFF2-40B4-BE49-F238E27FC236}">
              <a16:creationId xmlns:a16="http://schemas.microsoft.com/office/drawing/2014/main" id="{02049C0F-0D5D-12C5-E305-8B164DD9BBC5}"/>
            </a:ext>
          </a:extLst>
        </xdr:cNvPr>
        <xdr:cNvSpPr/>
      </xdr:nvSpPr>
      <xdr:spPr>
        <a:xfrm>
          <a:off x="9246505" y="11614150"/>
          <a:ext cx="1360170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J10, Membre inférieur 2 
11:25-12:01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10</xdr:col>
      <xdr:colOff>43450</xdr:colOff>
      <xdr:row>29</xdr:row>
      <xdr:rowOff>12700</xdr:rowOff>
    </xdr:from>
    <xdr:to>
      <xdr:col>11</xdr:col>
      <xdr:colOff>66120</xdr:colOff>
      <xdr:row>29</xdr:row>
      <xdr:rowOff>387350</xdr:rowOff>
    </xdr:to>
    <xdr:sp macro="" textlink="">
      <xdr:nvSpPr>
        <xdr:cNvPr id="13494" name="Rechthoek: afgeronde hoeken 13493">
          <a:extLst>
            <a:ext uri="{FF2B5EF4-FFF2-40B4-BE49-F238E27FC236}">
              <a16:creationId xmlns:a16="http://schemas.microsoft.com/office/drawing/2014/main" id="{62B8C9E8-5867-A6FB-9BCA-E041C526CA12}"/>
            </a:ext>
          </a:extLst>
        </xdr:cNvPr>
        <xdr:cNvSpPr/>
      </xdr:nvSpPr>
      <xdr:spPr>
        <a:xfrm>
          <a:off x="10606675" y="11614150"/>
          <a:ext cx="1156145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J2, Membre supérieur 1
12:01-12:31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11</xdr:col>
      <xdr:colOff>66119</xdr:colOff>
      <xdr:row>29</xdr:row>
      <xdr:rowOff>12700</xdr:rowOff>
    </xdr:from>
    <xdr:to>
      <xdr:col>12</xdr:col>
      <xdr:colOff>156797</xdr:colOff>
      <xdr:row>29</xdr:row>
      <xdr:rowOff>387350</xdr:rowOff>
    </xdr:to>
    <xdr:sp macro="" textlink="">
      <xdr:nvSpPr>
        <xdr:cNvPr id="13495" name="Rechthoek: afgeronde hoeken 13494">
          <a:extLst>
            <a:ext uri="{FF2B5EF4-FFF2-40B4-BE49-F238E27FC236}">
              <a16:creationId xmlns:a16="http://schemas.microsoft.com/office/drawing/2014/main" id="{70FA6FB4-823F-D606-4519-55D7214632FA}"/>
            </a:ext>
          </a:extLst>
        </xdr:cNvPr>
        <xdr:cNvSpPr/>
      </xdr:nvSpPr>
      <xdr:spPr>
        <a:xfrm>
          <a:off x="11762819" y="11614150"/>
          <a:ext cx="1224153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J2, pH et équilibre acido basique d'une solution
12:31-13:04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12</xdr:col>
      <xdr:colOff>156797</xdr:colOff>
      <xdr:row>29</xdr:row>
      <xdr:rowOff>12700</xdr:rowOff>
    </xdr:from>
    <xdr:to>
      <xdr:col>14</xdr:col>
      <xdr:colOff>270145</xdr:colOff>
      <xdr:row>29</xdr:row>
      <xdr:rowOff>387350</xdr:rowOff>
    </xdr:to>
    <xdr:sp macro="" textlink="">
      <xdr:nvSpPr>
        <xdr:cNvPr id="13496" name="Rechthoek: afgeronde hoeken 13495">
          <a:extLst>
            <a:ext uri="{FF2B5EF4-FFF2-40B4-BE49-F238E27FC236}">
              <a16:creationId xmlns:a16="http://schemas.microsoft.com/office/drawing/2014/main" id="{80F76DDD-B9BD-FC05-C819-E408E1D98D97}"/>
            </a:ext>
          </a:extLst>
        </xdr:cNvPr>
        <xdr:cNvSpPr/>
      </xdr:nvSpPr>
      <xdr:spPr>
        <a:xfrm>
          <a:off x="12986972" y="11614150"/>
          <a:ext cx="2380298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J2, système nerveux autonome 
13:04-14:07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14</xdr:col>
      <xdr:colOff>270145</xdr:colOff>
      <xdr:row>29</xdr:row>
      <xdr:rowOff>12700</xdr:rowOff>
    </xdr:from>
    <xdr:to>
      <xdr:col>16</xdr:col>
      <xdr:colOff>587518</xdr:colOff>
      <xdr:row>29</xdr:row>
      <xdr:rowOff>387350</xdr:rowOff>
    </xdr:to>
    <xdr:sp macro="" textlink="">
      <xdr:nvSpPr>
        <xdr:cNvPr id="13497" name="Rechthoek: afgeronde hoeken 13496">
          <a:extLst>
            <a:ext uri="{FF2B5EF4-FFF2-40B4-BE49-F238E27FC236}">
              <a16:creationId xmlns:a16="http://schemas.microsoft.com/office/drawing/2014/main" id="{AC730706-EE72-2A3C-7BDA-FA12C2D7BD34}"/>
            </a:ext>
          </a:extLst>
        </xdr:cNvPr>
        <xdr:cNvSpPr/>
      </xdr:nvSpPr>
      <xdr:spPr>
        <a:xfrm>
          <a:off x="15367270" y="11614150"/>
          <a:ext cx="2584323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J2, Maladies, itinéraire thérapeutique
14:07-15:15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16</xdr:col>
      <xdr:colOff>587518</xdr:colOff>
      <xdr:row>29</xdr:row>
      <xdr:rowOff>12700</xdr:rowOff>
    </xdr:from>
    <xdr:to>
      <xdr:col>19</xdr:col>
      <xdr:colOff>179467</xdr:colOff>
      <xdr:row>29</xdr:row>
      <xdr:rowOff>387350</xdr:rowOff>
    </xdr:to>
    <xdr:sp macro="" textlink="">
      <xdr:nvSpPr>
        <xdr:cNvPr id="13498" name="Rechthoek: afgeronde hoeken 13497">
          <a:extLst>
            <a:ext uri="{FF2B5EF4-FFF2-40B4-BE49-F238E27FC236}">
              <a16:creationId xmlns:a16="http://schemas.microsoft.com/office/drawing/2014/main" id="{3CC52F62-46E9-1DA9-02AB-ED2526A25730}"/>
            </a:ext>
          </a:extLst>
        </xdr:cNvPr>
        <xdr:cNvSpPr/>
      </xdr:nvSpPr>
      <xdr:spPr>
        <a:xfrm>
          <a:off x="17951593" y="11614150"/>
          <a:ext cx="2992374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J2, Nomenclature chimique- Isomérie 
15:15-16:34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19</xdr:col>
      <xdr:colOff>179467</xdr:colOff>
      <xdr:row>29</xdr:row>
      <xdr:rowOff>12700</xdr:rowOff>
    </xdr:from>
    <xdr:to>
      <xdr:col>19</xdr:col>
      <xdr:colOff>944563</xdr:colOff>
      <xdr:row>29</xdr:row>
      <xdr:rowOff>387350</xdr:rowOff>
    </xdr:to>
    <xdr:sp macro="" textlink="">
      <xdr:nvSpPr>
        <xdr:cNvPr id="13499" name="Rechthoek: afgeronde hoeken 13498">
          <a:extLst>
            <a:ext uri="{FF2B5EF4-FFF2-40B4-BE49-F238E27FC236}">
              <a16:creationId xmlns:a16="http://schemas.microsoft.com/office/drawing/2014/main" id="{C14A0A95-6BFC-0995-B178-A334EED4CD64}"/>
            </a:ext>
          </a:extLst>
        </xdr:cNvPr>
        <xdr:cNvSpPr/>
      </xdr:nvSpPr>
      <xdr:spPr>
        <a:xfrm>
          <a:off x="20943967" y="11614150"/>
          <a:ext cx="765096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J15, Membre inférieur 3
16:34-16:55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19</xdr:col>
      <xdr:colOff>944563</xdr:colOff>
      <xdr:row>29</xdr:row>
      <xdr:rowOff>12700</xdr:rowOff>
    </xdr:from>
    <xdr:to>
      <xdr:col>20</xdr:col>
      <xdr:colOff>899224</xdr:colOff>
      <xdr:row>29</xdr:row>
      <xdr:rowOff>387350</xdr:rowOff>
    </xdr:to>
    <xdr:sp macro="" textlink="">
      <xdr:nvSpPr>
        <xdr:cNvPr id="13500" name="Rechthoek: afgeronde hoeken 13499">
          <a:extLst>
            <a:ext uri="{FF2B5EF4-FFF2-40B4-BE49-F238E27FC236}">
              <a16:creationId xmlns:a16="http://schemas.microsoft.com/office/drawing/2014/main" id="{172429EE-AF76-094C-D99D-3260B2443AF4}"/>
            </a:ext>
          </a:extLst>
        </xdr:cNvPr>
        <xdr:cNvSpPr/>
      </xdr:nvSpPr>
      <xdr:spPr>
        <a:xfrm>
          <a:off x="21709063" y="11614150"/>
          <a:ext cx="1088136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J15, Outils mathématique 
16:55-17:23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20</xdr:col>
      <xdr:colOff>899224</xdr:colOff>
      <xdr:row>29</xdr:row>
      <xdr:rowOff>12700</xdr:rowOff>
    </xdr:from>
    <xdr:to>
      <xdr:col>22</xdr:col>
      <xdr:colOff>0</xdr:colOff>
      <xdr:row>29</xdr:row>
      <xdr:rowOff>387350</xdr:rowOff>
    </xdr:to>
    <xdr:sp macro="" textlink="">
      <xdr:nvSpPr>
        <xdr:cNvPr id="13501" name="Rechthoek: afgeronde hoeken 13500">
          <a:extLst>
            <a:ext uri="{FF2B5EF4-FFF2-40B4-BE49-F238E27FC236}">
              <a16:creationId xmlns:a16="http://schemas.microsoft.com/office/drawing/2014/main" id="{83B9742B-64C4-4FDD-10EB-CCBE6900D0F4}"/>
            </a:ext>
          </a:extLst>
        </xdr:cNvPr>
        <xdr:cNvSpPr/>
      </xdr:nvSpPr>
      <xdr:spPr>
        <a:xfrm>
          <a:off x="22797199" y="11614150"/>
          <a:ext cx="1367726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J15, Mutations 
17:23-08:02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30</xdr:row>
      <xdr:rowOff>12700</xdr:rowOff>
    </xdr:from>
    <xdr:to>
      <xdr:col>2</xdr:col>
      <xdr:colOff>111458</xdr:colOff>
      <xdr:row>30</xdr:row>
      <xdr:rowOff>387350</xdr:rowOff>
    </xdr:to>
    <xdr:sp macro="" textlink="">
      <xdr:nvSpPr>
        <xdr:cNvPr id="13502" name="Rechthoek: afgeronde hoeken 13501">
          <a:extLst>
            <a:ext uri="{FF2B5EF4-FFF2-40B4-BE49-F238E27FC236}">
              <a16:creationId xmlns:a16="http://schemas.microsoft.com/office/drawing/2014/main" id="{4D7D852D-1786-62CC-E1E7-3198318E2D7D}"/>
            </a:ext>
          </a:extLst>
        </xdr:cNvPr>
        <xdr:cNvSpPr/>
      </xdr:nvSpPr>
      <xdr:spPr>
        <a:xfrm>
          <a:off x="1495425" y="12014200"/>
          <a:ext cx="111458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J15, Mutations 
17:23-08:02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111458</xdr:colOff>
      <xdr:row>30</xdr:row>
      <xdr:rowOff>12700</xdr:rowOff>
    </xdr:from>
    <xdr:to>
      <xdr:col>3</xdr:col>
      <xdr:colOff>542179</xdr:colOff>
      <xdr:row>30</xdr:row>
      <xdr:rowOff>387350</xdr:rowOff>
    </xdr:to>
    <xdr:sp macro="" textlink="">
      <xdr:nvSpPr>
        <xdr:cNvPr id="13503" name="Rechthoek: afgeronde hoeken 13502">
          <a:extLst>
            <a:ext uri="{FF2B5EF4-FFF2-40B4-BE49-F238E27FC236}">
              <a16:creationId xmlns:a16="http://schemas.microsoft.com/office/drawing/2014/main" id="{15E1253A-96C9-8470-81D2-1DE02D0C419C}"/>
            </a:ext>
          </a:extLst>
        </xdr:cNvPr>
        <xdr:cNvSpPr/>
      </xdr:nvSpPr>
      <xdr:spPr>
        <a:xfrm>
          <a:off x="1606883" y="12014200"/>
          <a:ext cx="1564196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J15, La composition des membranes cellulaire
08:02-08:44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542179</xdr:colOff>
      <xdr:row>30</xdr:row>
      <xdr:rowOff>12700</xdr:rowOff>
    </xdr:from>
    <xdr:to>
      <xdr:col>5</xdr:col>
      <xdr:colOff>315484</xdr:colOff>
      <xdr:row>30</xdr:row>
      <xdr:rowOff>387350</xdr:rowOff>
    </xdr:to>
    <xdr:sp macro="" textlink="">
      <xdr:nvSpPr>
        <xdr:cNvPr id="13504" name="Rechthoek: afgeronde hoeken 13503">
          <a:extLst>
            <a:ext uri="{FF2B5EF4-FFF2-40B4-BE49-F238E27FC236}">
              <a16:creationId xmlns:a16="http://schemas.microsoft.com/office/drawing/2014/main" id="{A2F862CF-83B3-73C9-C817-C67B69132407}"/>
            </a:ext>
          </a:extLst>
        </xdr:cNvPr>
        <xdr:cNvSpPr/>
      </xdr:nvSpPr>
      <xdr:spPr>
        <a:xfrm>
          <a:off x="3171079" y="12014200"/>
          <a:ext cx="2040255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J10, États  de la matière et leur caractérisation 
08:44-09:38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315484</xdr:colOff>
      <xdr:row>30</xdr:row>
      <xdr:rowOff>12700</xdr:rowOff>
    </xdr:from>
    <xdr:to>
      <xdr:col>7</xdr:col>
      <xdr:colOff>587518</xdr:colOff>
      <xdr:row>30</xdr:row>
      <xdr:rowOff>387350</xdr:rowOff>
    </xdr:to>
    <xdr:sp macro="" textlink="">
      <xdr:nvSpPr>
        <xdr:cNvPr id="13505" name="Rechthoek: afgeronde hoeken 13504">
          <a:extLst>
            <a:ext uri="{FF2B5EF4-FFF2-40B4-BE49-F238E27FC236}">
              <a16:creationId xmlns:a16="http://schemas.microsoft.com/office/drawing/2014/main" id="{27531579-0992-7B7E-C2F6-2307CE243A94}"/>
            </a:ext>
          </a:extLst>
        </xdr:cNvPr>
        <xdr:cNvSpPr/>
      </xdr:nvSpPr>
      <xdr:spPr>
        <a:xfrm>
          <a:off x="5211334" y="12014200"/>
          <a:ext cx="2538984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J10, Interaction rayonnement-Matière 
09:38-10:45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7</xdr:col>
      <xdr:colOff>587518</xdr:colOff>
      <xdr:row>30</xdr:row>
      <xdr:rowOff>12700</xdr:rowOff>
    </xdr:from>
    <xdr:to>
      <xdr:col>9</xdr:col>
      <xdr:colOff>882222</xdr:colOff>
      <xdr:row>30</xdr:row>
      <xdr:rowOff>387350</xdr:rowOff>
    </xdr:to>
    <xdr:sp macro="" textlink="">
      <xdr:nvSpPr>
        <xdr:cNvPr id="13506" name="Rechthoek: afgeronde hoeken 13505">
          <a:extLst>
            <a:ext uri="{FF2B5EF4-FFF2-40B4-BE49-F238E27FC236}">
              <a16:creationId xmlns:a16="http://schemas.microsoft.com/office/drawing/2014/main" id="{A24F369B-4644-62AA-C3F6-32856A49590E}"/>
            </a:ext>
          </a:extLst>
        </xdr:cNvPr>
        <xdr:cNvSpPr/>
      </xdr:nvSpPr>
      <xdr:spPr>
        <a:xfrm>
          <a:off x="7750318" y="12014200"/>
          <a:ext cx="2561654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J10, essai thérapeutique 
10:45-11:53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9</xdr:col>
      <xdr:colOff>882221</xdr:colOff>
      <xdr:row>30</xdr:row>
      <xdr:rowOff>12700</xdr:rowOff>
    </xdr:from>
    <xdr:to>
      <xdr:col>12</xdr:col>
      <xdr:colOff>202136</xdr:colOff>
      <xdr:row>30</xdr:row>
      <xdr:rowOff>387350</xdr:rowOff>
    </xdr:to>
    <xdr:sp macro="" textlink="">
      <xdr:nvSpPr>
        <xdr:cNvPr id="13507" name="Rechthoek: afgeronde hoeken 13506">
          <a:extLst>
            <a:ext uri="{FF2B5EF4-FFF2-40B4-BE49-F238E27FC236}">
              <a16:creationId xmlns:a16="http://schemas.microsoft.com/office/drawing/2014/main" id="{1061ED20-22D9-E317-BC3E-0A4522C93FC2}"/>
            </a:ext>
          </a:extLst>
        </xdr:cNvPr>
        <xdr:cNvSpPr/>
      </xdr:nvSpPr>
      <xdr:spPr>
        <a:xfrm>
          <a:off x="10311971" y="12014200"/>
          <a:ext cx="2720340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J10, Les très basses fréquences du spectre électromagnétique 
11:53-13:05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12</xdr:col>
      <xdr:colOff>202136</xdr:colOff>
      <xdr:row>30</xdr:row>
      <xdr:rowOff>12700</xdr:rowOff>
    </xdr:from>
    <xdr:to>
      <xdr:col>13</xdr:col>
      <xdr:colOff>3778</xdr:colOff>
      <xdr:row>30</xdr:row>
      <xdr:rowOff>387350</xdr:rowOff>
    </xdr:to>
    <xdr:sp macro="" textlink="">
      <xdr:nvSpPr>
        <xdr:cNvPr id="13508" name="Rechthoek: afgeronde hoeken 13507">
          <a:extLst>
            <a:ext uri="{FF2B5EF4-FFF2-40B4-BE49-F238E27FC236}">
              <a16:creationId xmlns:a16="http://schemas.microsoft.com/office/drawing/2014/main" id="{82F9E2D9-2AAB-6CAB-4977-3EA87BDAE471}"/>
            </a:ext>
          </a:extLst>
        </xdr:cNvPr>
        <xdr:cNvSpPr/>
      </xdr:nvSpPr>
      <xdr:spPr>
        <a:xfrm>
          <a:off x="13032311" y="12014200"/>
          <a:ext cx="935117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J6, Transport intracellulaire et trafic vésiculaire 
13:05-13:30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13</xdr:col>
      <xdr:colOff>3778</xdr:colOff>
      <xdr:row>30</xdr:row>
      <xdr:rowOff>12700</xdr:rowOff>
    </xdr:from>
    <xdr:to>
      <xdr:col>15</xdr:col>
      <xdr:colOff>853884</xdr:colOff>
      <xdr:row>30</xdr:row>
      <xdr:rowOff>387350</xdr:rowOff>
    </xdr:to>
    <xdr:sp macro="" textlink="">
      <xdr:nvSpPr>
        <xdr:cNvPr id="13509" name="Rechthoek: afgeronde hoeken 13508">
          <a:extLst>
            <a:ext uri="{FF2B5EF4-FFF2-40B4-BE49-F238E27FC236}">
              <a16:creationId xmlns:a16="http://schemas.microsoft.com/office/drawing/2014/main" id="{36A60B99-7F5F-EB21-F1BE-0A10821C8C9B}"/>
            </a:ext>
          </a:extLst>
        </xdr:cNvPr>
        <xdr:cNvSpPr/>
      </xdr:nvSpPr>
      <xdr:spPr>
        <a:xfrm>
          <a:off x="13967428" y="12014200"/>
          <a:ext cx="3117056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J6, Membre inférieur 1
13:30-14:52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15</xdr:col>
      <xdr:colOff>853884</xdr:colOff>
      <xdr:row>30</xdr:row>
      <xdr:rowOff>12700</xdr:rowOff>
    </xdr:from>
    <xdr:to>
      <xdr:col>18</xdr:col>
      <xdr:colOff>627189</xdr:colOff>
      <xdr:row>30</xdr:row>
      <xdr:rowOff>387350</xdr:rowOff>
    </xdr:to>
    <xdr:sp macro="" textlink="">
      <xdr:nvSpPr>
        <xdr:cNvPr id="13510" name="Rechthoek: afgeronde hoeken 13509">
          <a:extLst>
            <a:ext uri="{FF2B5EF4-FFF2-40B4-BE49-F238E27FC236}">
              <a16:creationId xmlns:a16="http://schemas.microsoft.com/office/drawing/2014/main" id="{4C7F851B-EC23-6B12-CB2E-2EABCD318A94}"/>
            </a:ext>
          </a:extLst>
        </xdr:cNvPr>
        <xdr:cNvSpPr/>
      </xdr:nvSpPr>
      <xdr:spPr>
        <a:xfrm>
          <a:off x="17084484" y="12014200"/>
          <a:ext cx="3173730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J6, intro: région, fascias et appareil 
14:52-16:16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18</xdr:col>
      <xdr:colOff>627190</xdr:colOff>
      <xdr:row>30</xdr:row>
      <xdr:rowOff>12700</xdr:rowOff>
    </xdr:from>
    <xdr:to>
      <xdr:col>19</xdr:col>
      <xdr:colOff>196469</xdr:colOff>
      <xdr:row>30</xdr:row>
      <xdr:rowOff>387350</xdr:rowOff>
    </xdr:to>
    <xdr:sp macro="" textlink="">
      <xdr:nvSpPr>
        <xdr:cNvPr id="13511" name="Rechthoek: afgeronde hoeken 13510">
          <a:extLst>
            <a:ext uri="{FF2B5EF4-FFF2-40B4-BE49-F238E27FC236}">
              <a16:creationId xmlns:a16="http://schemas.microsoft.com/office/drawing/2014/main" id="{7A9F6A14-5F2C-628C-8B6F-32F234A7C244}"/>
            </a:ext>
          </a:extLst>
        </xdr:cNvPr>
        <xdr:cNvSpPr/>
      </xdr:nvSpPr>
      <xdr:spPr>
        <a:xfrm>
          <a:off x="20258215" y="12014200"/>
          <a:ext cx="702754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J10, Acides Aminés- peptides 
16:16-16:35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19</xdr:col>
      <xdr:colOff>196469</xdr:colOff>
      <xdr:row>30</xdr:row>
      <xdr:rowOff>12700</xdr:rowOff>
    </xdr:from>
    <xdr:to>
      <xdr:col>19</xdr:col>
      <xdr:colOff>1103249</xdr:colOff>
      <xdr:row>30</xdr:row>
      <xdr:rowOff>387350</xdr:rowOff>
    </xdr:to>
    <xdr:sp macro="" textlink="">
      <xdr:nvSpPr>
        <xdr:cNvPr id="13512" name="Rechthoek: afgeronde hoeken 13511">
          <a:extLst>
            <a:ext uri="{FF2B5EF4-FFF2-40B4-BE49-F238E27FC236}">
              <a16:creationId xmlns:a16="http://schemas.microsoft.com/office/drawing/2014/main" id="{EF03F4CD-3393-E89F-B67F-7BA8BC295514}"/>
            </a:ext>
          </a:extLst>
        </xdr:cNvPr>
        <xdr:cNvSpPr/>
      </xdr:nvSpPr>
      <xdr:spPr>
        <a:xfrm>
          <a:off x="20960969" y="12014200"/>
          <a:ext cx="906780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J10, Intervention rééducation part-2
16:35-16:59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19</xdr:col>
      <xdr:colOff>1103249</xdr:colOff>
      <xdr:row>30</xdr:row>
      <xdr:rowOff>12700</xdr:rowOff>
    </xdr:from>
    <xdr:to>
      <xdr:col>21</xdr:col>
      <xdr:colOff>196469</xdr:colOff>
      <xdr:row>30</xdr:row>
      <xdr:rowOff>387350</xdr:rowOff>
    </xdr:to>
    <xdr:sp macro="" textlink="">
      <xdr:nvSpPr>
        <xdr:cNvPr id="13513" name="Rechthoek: afgeronde hoeken 13512">
          <a:extLst>
            <a:ext uri="{FF2B5EF4-FFF2-40B4-BE49-F238E27FC236}">
              <a16:creationId xmlns:a16="http://schemas.microsoft.com/office/drawing/2014/main" id="{87CB229E-A6AF-AC2B-2764-5E3E066B2BBF}"/>
            </a:ext>
          </a:extLst>
        </xdr:cNvPr>
        <xdr:cNvSpPr/>
      </xdr:nvSpPr>
      <xdr:spPr>
        <a:xfrm>
          <a:off x="21867749" y="12014200"/>
          <a:ext cx="1360170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J10, Du chromosome à l'ADN
16:59-17:35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21</xdr:col>
      <xdr:colOff>196469</xdr:colOff>
      <xdr:row>30</xdr:row>
      <xdr:rowOff>12700</xdr:rowOff>
    </xdr:from>
    <xdr:to>
      <xdr:col>22</xdr:col>
      <xdr:colOff>0</xdr:colOff>
      <xdr:row>30</xdr:row>
      <xdr:rowOff>387350</xdr:rowOff>
    </xdr:to>
    <xdr:sp macro="" textlink="">
      <xdr:nvSpPr>
        <xdr:cNvPr id="13514" name="Rechthoek: afgeronde hoeken 13513">
          <a:extLst>
            <a:ext uri="{FF2B5EF4-FFF2-40B4-BE49-F238E27FC236}">
              <a16:creationId xmlns:a16="http://schemas.microsoft.com/office/drawing/2014/main" id="{656051AC-FE64-F8B6-2835-35115D53ABB2}"/>
            </a:ext>
          </a:extLst>
        </xdr:cNvPr>
        <xdr:cNvSpPr/>
      </xdr:nvSpPr>
      <xdr:spPr>
        <a:xfrm>
          <a:off x="23227919" y="12014200"/>
          <a:ext cx="937006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J10, corrélation et régression linéaire
17:35-08:19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31</xdr:row>
      <xdr:rowOff>12700</xdr:rowOff>
    </xdr:from>
    <xdr:to>
      <xdr:col>2</xdr:col>
      <xdr:colOff>717868</xdr:colOff>
      <xdr:row>31</xdr:row>
      <xdr:rowOff>387350</xdr:rowOff>
    </xdr:to>
    <xdr:sp macro="" textlink="">
      <xdr:nvSpPr>
        <xdr:cNvPr id="13515" name="Rechthoek: afgeronde hoeken 13514">
          <a:extLst>
            <a:ext uri="{FF2B5EF4-FFF2-40B4-BE49-F238E27FC236}">
              <a16:creationId xmlns:a16="http://schemas.microsoft.com/office/drawing/2014/main" id="{C40BD994-2906-F9F5-EAB7-FC2F0CF115F2}"/>
            </a:ext>
          </a:extLst>
        </xdr:cNvPr>
        <xdr:cNvSpPr/>
      </xdr:nvSpPr>
      <xdr:spPr>
        <a:xfrm>
          <a:off x="1495425" y="12414250"/>
          <a:ext cx="717868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J10, corrélation et régression linéaire
17:35-08:19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717867</xdr:colOff>
      <xdr:row>31</xdr:row>
      <xdr:rowOff>12700</xdr:rowOff>
    </xdr:from>
    <xdr:to>
      <xdr:col>4</xdr:col>
      <xdr:colOff>309816</xdr:colOff>
      <xdr:row>31</xdr:row>
      <xdr:rowOff>387350</xdr:rowOff>
    </xdr:to>
    <xdr:sp macro="" textlink="">
      <xdr:nvSpPr>
        <xdr:cNvPr id="13516" name="Rechthoek: afgeronde hoeken 13515">
          <a:extLst>
            <a:ext uri="{FF2B5EF4-FFF2-40B4-BE49-F238E27FC236}">
              <a16:creationId xmlns:a16="http://schemas.microsoft.com/office/drawing/2014/main" id="{337C28CD-CA27-C8F6-8EF3-F4FB5115D236}"/>
            </a:ext>
          </a:extLst>
        </xdr:cNvPr>
        <xdr:cNvSpPr/>
      </xdr:nvSpPr>
      <xdr:spPr>
        <a:xfrm>
          <a:off x="2213292" y="12414250"/>
          <a:ext cx="1858899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J10, Signalisation intracellulaire part 1
08:19-09:08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4</xdr:col>
      <xdr:colOff>309816</xdr:colOff>
      <xdr:row>31</xdr:row>
      <xdr:rowOff>12700</xdr:rowOff>
    </xdr:from>
    <xdr:to>
      <xdr:col>6</xdr:col>
      <xdr:colOff>287146</xdr:colOff>
      <xdr:row>31</xdr:row>
      <xdr:rowOff>387350</xdr:rowOff>
    </xdr:to>
    <xdr:sp macro="" textlink="">
      <xdr:nvSpPr>
        <xdr:cNvPr id="13517" name="Rechthoek: afgeronde hoeken 13516">
          <a:extLst>
            <a:ext uri="{FF2B5EF4-FFF2-40B4-BE49-F238E27FC236}">
              <a16:creationId xmlns:a16="http://schemas.microsoft.com/office/drawing/2014/main" id="{FB4838B2-39F8-2A77-6027-17DDD2171CC6}"/>
            </a:ext>
          </a:extLst>
        </xdr:cNvPr>
        <xdr:cNvSpPr/>
      </xdr:nvSpPr>
      <xdr:spPr>
        <a:xfrm>
          <a:off x="4072191" y="12414250"/>
          <a:ext cx="2244280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J10, Régulation et rôle du rein 
09:08-10:07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6</xdr:col>
      <xdr:colOff>287147</xdr:colOff>
      <xdr:row>31</xdr:row>
      <xdr:rowOff>12700</xdr:rowOff>
    </xdr:from>
    <xdr:to>
      <xdr:col>8</xdr:col>
      <xdr:colOff>445833</xdr:colOff>
      <xdr:row>31</xdr:row>
      <xdr:rowOff>387350</xdr:rowOff>
    </xdr:to>
    <xdr:sp macro="" textlink="">
      <xdr:nvSpPr>
        <xdr:cNvPr id="13518" name="Rechthoek: afgeronde hoeken 13517">
          <a:extLst>
            <a:ext uri="{FF2B5EF4-FFF2-40B4-BE49-F238E27FC236}">
              <a16:creationId xmlns:a16="http://schemas.microsoft.com/office/drawing/2014/main" id="{670A300A-A94D-BC33-4816-BD53A3603E66}"/>
            </a:ext>
          </a:extLst>
        </xdr:cNvPr>
        <xdr:cNvSpPr/>
      </xdr:nvSpPr>
      <xdr:spPr>
        <a:xfrm>
          <a:off x="6316472" y="12414250"/>
          <a:ext cx="2425636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J10, Liaisons chimique et interactions moléculaires
10:07-11:11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8</xdr:col>
      <xdr:colOff>445833</xdr:colOff>
      <xdr:row>31</xdr:row>
      <xdr:rowOff>12700</xdr:rowOff>
    </xdr:from>
    <xdr:to>
      <xdr:col>10</xdr:col>
      <xdr:colOff>672528</xdr:colOff>
      <xdr:row>31</xdr:row>
      <xdr:rowOff>387350</xdr:rowOff>
    </xdr:to>
    <xdr:sp macro="" textlink="">
      <xdr:nvSpPr>
        <xdr:cNvPr id="13519" name="Rechthoek: afgeronde hoeken 13518">
          <a:extLst>
            <a:ext uri="{FF2B5EF4-FFF2-40B4-BE49-F238E27FC236}">
              <a16:creationId xmlns:a16="http://schemas.microsoft.com/office/drawing/2014/main" id="{E57C96A1-0A1E-62D8-5033-FCCCE7C7A72B}"/>
            </a:ext>
          </a:extLst>
        </xdr:cNvPr>
        <xdr:cNvSpPr/>
      </xdr:nvSpPr>
      <xdr:spPr>
        <a:xfrm>
          <a:off x="8742108" y="12414250"/>
          <a:ext cx="2493645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J10, Physiologie et compartiments liquidiens 
11:11-12:17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10</xdr:col>
      <xdr:colOff>672529</xdr:colOff>
      <xdr:row>31</xdr:row>
      <xdr:rowOff>12700</xdr:rowOff>
    </xdr:from>
    <xdr:to>
      <xdr:col>12</xdr:col>
      <xdr:colOff>49118</xdr:colOff>
      <xdr:row>31</xdr:row>
      <xdr:rowOff>387350</xdr:rowOff>
    </xdr:to>
    <xdr:sp macro="" textlink="">
      <xdr:nvSpPr>
        <xdr:cNvPr id="13520" name="Rechthoek: afgeronde hoeken 13519">
          <a:extLst>
            <a:ext uri="{FF2B5EF4-FFF2-40B4-BE49-F238E27FC236}">
              <a16:creationId xmlns:a16="http://schemas.microsoft.com/office/drawing/2014/main" id="{9995A2EC-2E94-4562-CD51-4995255BC47E}"/>
            </a:ext>
          </a:extLst>
        </xdr:cNvPr>
        <xdr:cNvSpPr/>
      </xdr:nvSpPr>
      <xdr:spPr>
        <a:xfrm>
          <a:off x="11235754" y="12414250"/>
          <a:ext cx="1643539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J6, CI du fonctionnement, du handicap et de la santé 
12:17-13:01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12</xdr:col>
      <xdr:colOff>49117</xdr:colOff>
      <xdr:row>31</xdr:row>
      <xdr:rowOff>12700</xdr:rowOff>
    </xdr:from>
    <xdr:to>
      <xdr:col>13</xdr:col>
      <xdr:colOff>1125918</xdr:colOff>
      <xdr:row>31</xdr:row>
      <xdr:rowOff>387350</xdr:rowOff>
    </xdr:to>
    <xdr:sp macro="" textlink="">
      <xdr:nvSpPr>
        <xdr:cNvPr id="13521" name="Rechthoek: afgeronde hoeken 13520">
          <a:extLst>
            <a:ext uri="{FF2B5EF4-FFF2-40B4-BE49-F238E27FC236}">
              <a16:creationId xmlns:a16="http://schemas.microsoft.com/office/drawing/2014/main" id="{4095E6D4-FB58-5882-51CA-B64A97FF2F8C}"/>
            </a:ext>
          </a:extLst>
        </xdr:cNvPr>
        <xdr:cNvSpPr/>
      </xdr:nvSpPr>
      <xdr:spPr>
        <a:xfrm>
          <a:off x="12879292" y="12414250"/>
          <a:ext cx="2210276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J6, Jonction neuro-musculaire
13:01-13:59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13</xdr:col>
      <xdr:colOff>1125919</xdr:colOff>
      <xdr:row>31</xdr:row>
      <xdr:rowOff>12700</xdr:rowOff>
    </xdr:from>
    <xdr:to>
      <xdr:col>16</xdr:col>
      <xdr:colOff>49118</xdr:colOff>
      <xdr:row>31</xdr:row>
      <xdr:rowOff>387350</xdr:rowOff>
    </xdr:to>
    <xdr:sp macro="" textlink="">
      <xdr:nvSpPr>
        <xdr:cNvPr id="13522" name="Rechthoek: afgeronde hoeken 13521">
          <a:extLst>
            <a:ext uri="{FF2B5EF4-FFF2-40B4-BE49-F238E27FC236}">
              <a16:creationId xmlns:a16="http://schemas.microsoft.com/office/drawing/2014/main" id="{72E33EA5-A0BB-485C-9A9F-4F26CD2D1911}"/>
            </a:ext>
          </a:extLst>
        </xdr:cNvPr>
        <xdr:cNvSpPr/>
      </xdr:nvSpPr>
      <xdr:spPr>
        <a:xfrm>
          <a:off x="15089569" y="12414250"/>
          <a:ext cx="2323624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J6, Culture, corps et santé
13:59-15:01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16</xdr:col>
      <xdr:colOff>49118</xdr:colOff>
      <xdr:row>31</xdr:row>
      <xdr:rowOff>12700</xdr:rowOff>
    </xdr:from>
    <xdr:to>
      <xdr:col>18</xdr:col>
      <xdr:colOff>672529</xdr:colOff>
      <xdr:row>31</xdr:row>
      <xdr:rowOff>387350</xdr:rowOff>
    </xdr:to>
    <xdr:sp macro="" textlink="">
      <xdr:nvSpPr>
        <xdr:cNvPr id="13523" name="Rechthoek: afgeronde hoeken 13522">
          <a:extLst>
            <a:ext uri="{FF2B5EF4-FFF2-40B4-BE49-F238E27FC236}">
              <a16:creationId xmlns:a16="http://schemas.microsoft.com/office/drawing/2014/main" id="{7CBC27F4-16B7-5AA3-461A-361139EF3B02}"/>
            </a:ext>
          </a:extLst>
        </xdr:cNvPr>
        <xdr:cNvSpPr/>
      </xdr:nvSpPr>
      <xdr:spPr>
        <a:xfrm>
          <a:off x="17413193" y="12414250"/>
          <a:ext cx="2890361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J6, Les acides aminés- les oses 
15:01-16:17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18</xdr:col>
      <xdr:colOff>672528</xdr:colOff>
      <xdr:row>31</xdr:row>
      <xdr:rowOff>12700</xdr:rowOff>
    </xdr:from>
    <xdr:to>
      <xdr:col>19</xdr:col>
      <xdr:colOff>264477</xdr:colOff>
      <xdr:row>31</xdr:row>
      <xdr:rowOff>387350</xdr:rowOff>
    </xdr:to>
    <xdr:sp macro="" textlink="">
      <xdr:nvSpPr>
        <xdr:cNvPr id="13524" name="Rechthoek: afgeronde hoeken 13523">
          <a:extLst>
            <a:ext uri="{FF2B5EF4-FFF2-40B4-BE49-F238E27FC236}">
              <a16:creationId xmlns:a16="http://schemas.microsoft.com/office/drawing/2014/main" id="{29F056CF-54D2-6914-6017-92B0BB92E798}"/>
            </a:ext>
          </a:extLst>
        </xdr:cNvPr>
        <xdr:cNvSpPr/>
      </xdr:nvSpPr>
      <xdr:spPr>
        <a:xfrm>
          <a:off x="20303553" y="12414250"/>
          <a:ext cx="725424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J10, psychologie générale 
16:17-16:37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19</xdr:col>
      <xdr:colOff>264477</xdr:colOff>
      <xdr:row>31</xdr:row>
      <xdr:rowOff>12700</xdr:rowOff>
    </xdr:from>
    <xdr:to>
      <xdr:col>20</xdr:col>
      <xdr:colOff>400494</xdr:colOff>
      <xdr:row>31</xdr:row>
      <xdr:rowOff>387350</xdr:rowOff>
    </xdr:to>
    <xdr:sp macro="" textlink="">
      <xdr:nvSpPr>
        <xdr:cNvPr id="13525" name="Rechthoek: afgeronde hoeken 13524">
          <a:extLst>
            <a:ext uri="{FF2B5EF4-FFF2-40B4-BE49-F238E27FC236}">
              <a16:creationId xmlns:a16="http://schemas.microsoft.com/office/drawing/2014/main" id="{6BDDC384-4C01-B4E2-C604-BA06823D7462}"/>
            </a:ext>
          </a:extLst>
        </xdr:cNvPr>
        <xdr:cNvSpPr/>
      </xdr:nvSpPr>
      <xdr:spPr>
        <a:xfrm>
          <a:off x="21028977" y="12414250"/>
          <a:ext cx="1269492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J10, schéma d'étude 
16:37-17:10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20</xdr:col>
      <xdr:colOff>400495</xdr:colOff>
      <xdr:row>31</xdr:row>
      <xdr:rowOff>12700</xdr:rowOff>
    </xdr:from>
    <xdr:to>
      <xdr:col>21</xdr:col>
      <xdr:colOff>536512</xdr:colOff>
      <xdr:row>31</xdr:row>
      <xdr:rowOff>387350</xdr:rowOff>
    </xdr:to>
    <xdr:sp macro="" textlink="">
      <xdr:nvSpPr>
        <xdr:cNvPr id="13526" name="Rechthoek: afgeronde hoeken 13525">
          <a:extLst>
            <a:ext uri="{FF2B5EF4-FFF2-40B4-BE49-F238E27FC236}">
              <a16:creationId xmlns:a16="http://schemas.microsoft.com/office/drawing/2014/main" id="{B126185D-9759-9BC2-9C0F-E6C0BA7D8BE4}"/>
            </a:ext>
          </a:extLst>
        </xdr:cNvPr>
        <xdr:cNvSpPr/>
      </xdr:nvSpPr>
      <xdr:spPr>
        <a:xfrm>
          <a:off x="22298470" y="12414250"/>
          <a:ext cx="1269492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J10, Les alcools- les amines
17:10-17:44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21</xdr:col>
      <xdr:colOff>536511</xdr:colOff>
      <xdr:row>31</xdr:row>
      <xdr:rowOff>12700</xdr:rowOff>
    </xdr:from>
    <xdr:to>
      <xdr:col>22</xdr:col>
      <xdr:colOff>0</xdr:colOff>
      <xdr:row>31</xdr:row>
      <xdr:rowOff>387350</xdr:rowOff>
    </xdr:to>
    <xdr:sp macro="" textlink="">
      <xdr:nvSpPr>
        <xdr:cNvPr id="13527" name="Rechthoek: afgeronde hoeken 13526">
          <a:extLst>
            <a:ext uri="{FF2B5EF4-FFF2-40B4-BE49-F238E27FC236}">
              <a16:creationId xmlns:a16="http://schemas.microsoft.com/office/drawing/2014/main" id="{77A386BB-2027-019B-312D-42B4370429F2}"/>
            </a:ext>
          </a:extLst>
        </xdr:cNvPr>
        <xdr:cNvSpPr/>
      </xdr:nvSpPr>
      <xdr:spPr>
        <a:xfrm>
          <a:off x="23567961" y="12414250"/>
          <a:ext cx="596964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J10, Introduction épidémiologie et stats
17:44-08:45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32</xdr:row>
      <xdr:rowOff>12700</xdr:rowOff>
    </xdr:from>
    <xdr:to>
      <xdr:col>3</xdr:col>
      <xdr:colOff>581851</xdr:colOff>
      <xdr:row>32</xdr:row>
      <xdr:rowOff>387350</xdr:rowOff>
    </xdr:to>
    <xdr:sp macro="" textlink="">
      <xdr:nvSpPr>
        <xdr:cNvPr id="13528" name="Rechthoek: afgeronde hoeken 13527">
          <a:extLst>
            <a:ext uri="{FF2B5EF4-FFF2-40B4-BE49-F238E27FC236}">
              <a16:creationId xmlns:a16="http://schemas.microsoft.com/office/drawing/2014/main" id="{FFD94EA2-EE19-6DB0-B033-6812476FF796}"/>
            </a:ext>
          </a:extLst>
        </xdr:cNvPr>
        <xdr:cNvSpPr/>
      </xdr:nvSpPr>
      <xdr:spPr>
        <a:xfrm>
          <a:off x="1495425" y="12814300"/>
          <a:ext cx="1715326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J10, Introduction épidémiologie et stats
17:44-08:45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581851</xdr:colOff>
      <xdr:row>32</xdr:row>
      <xdr:rowOff>12700</xdr:rowOff>
    </xdr:from>
    <xdr:to>
      <xdr:col>5</xdr:col>
      <xdr:colOff>672529</xdr:colOff>
      <xdr:row>32</xdr:row>
      <xdr:rowOff>387350</xdr:rowOff>
    </xdr:to>
    <xdr:sp macro="" textlink="">
      <xdr:nvSpPr>
        <xdr:cNvPr id="13529" name="Rechthoek: afgeronde hoeken 13528">
          <a:extLst>
            <a:ext uri="{FF2B5EF4-FFF2-40B4-BE49-F238E27FC236}">
              <a16:creationId xmlns:a16="http://schemas.microsoft.com/office/drawing/2014/main" id="{FD638BD1-7D3D-4D7B-7903-A751E66EC5BF}"/>
            </a:ext>
          </a:extLst>
        </xdr:cNvPr>
        <xdr:cNvSpPr/>
      </xdr:nvSpPr>
      <xdr:spPr>
        <a:xfrm>
          <a:off x="3210751" y="12814300"/>
          <a:ext cx="2357628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J10, Intervention rééducation part-5
08:45-09:47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672528</xdr:colOff>
      <xdr:row>32</xdr:row>
      <xdr:rowOff>12700</xdr:rowOff>
    </xdr:from>
    <xdr:to>
      <xdr:col>8</xdr:col>
      <xdr:colOff>256920</xdr:colOff>
      <xdr:row>32</xdr:row>
      <xdr:rowOff>387350</xdr:rowOff>
    </xdr:to>
    <xdr:sp macro="" textlink="">
      <xdr:nvSpPr>
        <xdr:cNvPr id="13530" name="Rechthoek: afgeronde hoeken 13529">
          <a:extLst>
            <a:ext uri="{FF2B5EF4-FFF2-40B4-BE49-F238E27FC236}">
              <a16:creationId xmlns:a16="http://schemas.microsoft.com/office/drawing/2014/main" id="{9ADB51FD-5FB4-AC99-EE15-2334DE1F591E}"/>
            </a:ext>
          </a:extLst>
        </xdr:cNvPr>
        <xdr:cNvSpPr/>
      </xdr:nvSpPr>
      <xdr:spPr>
        <a:xfrm>
          <a:off x="5568378" y="12814300"/>
          <a:ext cx="2984817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J0, Appareil locomoteur 1
09:47-11:06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8</xdr:col>
      <xdr:colOff>256921</xdr:colOff>
      <xdr:row>32</xdr:row>
      <xdr:rowOff>12700</xdr:rowOff>
    </xdr:from>
    <xdr:to>
      <xdr:col>11</xdr:col>
      <xdr:colOff>937006</xdr:colOff>
      <xdr:row>32</xdr:row>
      <xdr:rowOff>387350</xdr:rowOff>
    </xdr:to>
    <xdr:sp macro="" textlink="">
      <xdr:nvSpPr>
        <xdr:cNvPr id="13531" name="Rechthoek: afgeronde hoeken 13530">
          <a:extLst>
            <a:ext uri="{FF2B5EF4-FFF2-40B4-BE49-F238E27FC236}">
              <a16:creationId xmlns:a16="http://schemas.microsoft.com/office/drawing/2014/main" id="{F6A196A8-6AEF-C51B-E32C-A1D6B417368B}"/>
            </a:ext>
          </a:extLst>
        </xdr:cNvPr>
        <xdr:cNvSpPr/>
      </xdr:nvSpPr>
      <xdr:spPr>
        <a:xfrm>
          <a:off x="8553196" y="12814300"/>
          <a:ext cx="4080510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J0, Réplication de l'ADN
11:06-12:54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11</xdr:col>
      <xdr:colOff>937006</xdr:colOff>
      <xdr:row>32</xdr:row>
      <xdr:rowOff>12700</xdr:rowOff>
    </xdr:from>
    <xdr:to>
      <xdr:col>12</xdr:col>
      <xdr:colOff>937006</xdr:colOff>
      <xdr:row>32</xdr:row>
      <xdr:rowOff>387350</xdr:rowOff>
    </xdr:to>
    <xdr:sp macro="" textlink="">
      <xdr:nvSpPr>
        <xdr:cNvPr id="13532" name="Rechthoek: afgeronde hoeken 13531">
          <a:extLst>
            <a:ext uri="{FF2B5EF4-FFF2-40B4-BE49-F238E27FC236}">
              <a16:creationId xmlns:a16="http://schemas.microsoft.com/office/drawing/2014/main" id="{232B4BBE-6C84-635B-C72E-C796D8E73FDB}"/>
            </a:ext>
          </a:extLst>
        </xdr:cNvPr>
        <xdr:cNvSpPr/>
      </xdr:nvSpPr>
      <xdr:spPr>
        <a:xfrm>
          <a:off x="12633706" y="12814300"/>
          <a:ext cx="1133475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J6, Structure des glucides 
12:54-13:24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12</xdr:col>
      <xdr:colOff>937006</xdr:colOff>
      <xdr:row>32</xdr:row>
      <xdr:rowOff>12700</xdr:rowOff>
    </xdr:from>
    <xdr:to>
      <xdr:col>14</xdr:col>
      <xdr:colOff>370269</xdr:colOff>
      <xdr:row>32</xdr:row>
      <xdr:rowOff>387350</xdr:rowOff>
    </xdr:to>
    <xdr:sp macro="" textlink="">
      <xdr:nvSpPr>
        <xdr:cNvPr id="13533" name="Rechthoek: afgeronde hoeken 13532">
          <a:extLst>
            <a:ext uri="{FF2B5EF4-FFF2-40B4-BE49-F238E27FC236}">
              <a16:creationId xmlns:a16="http://schemas.microsoft.com/office/drawing/2014/main" id="{129A0B99-6809-2A33-DC5B-4A09908643A7}"/>
            </a:ext>
          </a:extLst>
        </xdr:cNvPr>
        <xdr:cNvSpPr/>
      </xdr:nvSpPr>
      <xdr:spPr>
        <a:xfrm>
          <a:off x="13767181" y="12814300"/>
          <a:ext cx="1700213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J6, Cytosquellette
13:24-14:09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14</xdr:col>
      <xdr:colOff>370269</xdr:colOff>
      <xdr:row>32</xdr:row>
      <xdr:rowOff>12700</xdr:rowOff>
    </xdr:from>
    <xdr:to>
      <xdr:col>16</xdr:col>
      <xdr:colOff>58563</xdr:colOff>
      <xdr:row>32</xdr:row>
      <xdr:rowOff>387350</xdr:rowOff>
    </xdr:to>
    <xdr:sp macro="" textlink="">
      <xdr:nvSpPr>
        <xdr:cNvPr id="13534" name="Rechthoek: afgeronde hoeken 13533">
          <a:extLst>
            <a:ext uri="{FF2B5EF4-FFF2-40B4-BE49-F238E27FC236}">
              <a16:creationId xmlns:a16="http://schemas.microsoft.com/office/drawing/2014/main" id="{D1A511C5-981F-9639-5F13-487D7669F5DA}"/>
            </a:ext>
          </a:extLst>
        </xdr:cNvPr>
        <xdr:cNvSpPr/>
      </xdr:nvSpPr>
      <xdr:spPr>
        <a:xfrm>
          <a:off x="15467394" y="12814300"/>
          <a:ext cx="1955244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J6, Membre supérieur 3
14:09-15:01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16</xdr:col>
      <xdr:colOff>58562</xdr:colOff>
      <xdr:row>32</xdr:row>
      <xdr:rowOff>12700</xdr:rowOff>
    </xdr:from>
    <xdr:to>
      <xdr:col>18</xdr:col>
      <xdr:colOff>568626</xdr:colOff>
      <xdr:row>32</xdr:row>
      <xdr:rowOff>387350</xdr:rowOff>
    </xdr:to>
    <xdr:sp macro="" textlink="">
      <xdr:nvSpPr>
        <xdr:cNvPr id="13535" name="Rechthoek: afgeronde hoeken 13534">
          <a:extLst>
            <a:ext uri="{FF2B5EF4-FFF2-40B4-BE49-F238E27FC236}">
              <a16:creationId xmlns:a16="http://schemas.microsoft.com/office/drawing/2014/main" id="{AB5598ED-5994-13E3-75E8-1187757644B5}"/>
            </a:ext>
          </a:extLst>
        </xdr:cNvPr>
        <xdr:cNvSpPr/>
      </xdr:nvSpPr>
      <xdr:spPr>
        <a:xfrm>
          <a:off x="17422637" y="12814300"/>
          <a:ext cx="2777014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J6, Dos
15:01-16:15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18</xdr:col>
      <xdr:colOff>568627</xdr:colOff>
      <xdr:row>32</xdr:row>
      <xdr:rowOff>12700</xdr:rowOff>
    </xdr:from>
    <xdr:to>
      <xdr:col>21</xdr:col>
      <xdr:colOff>1890</xdr:colOff>
      <xdr:row>32</xdr:row>
      <xdr:rowOff>387350</xdr:rowOff>
    </xdr:to>
    <xdr:sp macro="" textlink="">
      <xdr:nvSpPr>
        <xdr:cNvPr id="13536" name="Rechthoek: afgeronde hoeken 13535">
          <a:extLst>
            <a:ext uri="{FF2B5EF4-FFF2-40B4-BE49-F238E27FC236}">
              <a16:creationId xmlns:a16="http://schemas.microsoft.com/office/drawing/2014/main" id="{F1187700-8BA9-C696-F84E-DFF6C2FAEFB4}"/>
            </a:ext>
          </a:extLst>
        </xdr:cNvPr>
        <xdr:cNvSpPr/>
      </xdr:nvSpPr>
      <xdr:spPr>
        <a:xfrm>
          <a:off x="20199652" y="12814300"/>
          <a:ext cx="2833688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J6, Le domaine de l'optique 
16:15-17:30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21</xdr:col>
      <xdr:colOff>1890</xdr:colOff>
      <xdr:row>32</xdr:row>
      <xdr:rowOff>12700</xdr:rowOff>
    </xdr:from>
    <xdr:to>
      <xdr:col>22</xdr:col>
      <xdr:colOff>1</xdr:colOff>
      <xdr:row>32</xdr:row>
      <xdr:rowOff>387350</xdr:rowOff>
    </xdr:to>
    <xdr:sp macro="" textlink="">
      <xdr:nvSpPr>
        <xdr:cNvPr id="13537" name="Rechthoek: afgeronde hoeken 13536">
          <a:extLst>
            <a:ext uri="{FF2B5EF4-FFF2-40B4-BE49-F238E27FC236}">
              <a16:creationId xmlns:a16="http://schemas.microsoft.com/office/drawing/2014/main" id="{FE6EAD81-8BEE-BEB9-C961-AE378C36CDEF}"/>
            </a:ext>
          </a:extLst>
        </xdr:cNvPr>
        <xdr:cNvSpPr/>
      </xdr:nvSpPr>
      <xdr:spPr>
        <a:xfrm>
          <a:off x="23033340" y="12814300"/>
          <a:ext cx="1131586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J6, Rayons X et gamma-Rayonnement particulaire
17:30-08:45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33</xdr:row>
      <xdr:rowOff>12700</xdr:rowOff>
    </xdr:from>
    <xdr:to>
      <xdr:col>3</xdr:col>
      <xdr:colOff>568627</xdr:colOff>
      <xdr:row>33</xdr:row>
      <xdr:rowOff>387350</xdr:rowOff>
    </xdr:to>
    <xdr:sp macro="" textlink="">
      <xdr:nvSpPr>
        <xdr:cNvPr id="13538" name="Rechthoek: afgeronde hoeken 13537">
          <a:extLst>
            <a:ext uri="{FF2B5EF4-FFF2-40B4-BE49-F238E27FC236}">
              <a16:creationId xmlns:a16="http://schemas.microsoft.com/office/drawing/2014/main" id="{603D0CE8-00E6-85EC-7137-34D064EAA2F2}"/>
            </a:ext>
          </a:extLst>
        </xdr:cNvPr>
        <xdr:cNvSpPr/>
      </xdr:nvSpPr>
      <xdr:spPr>
        <a:xfrm>
          <a:off x="1495425" y="13214350"/>
          <a:ext cx="1702102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J6, Rayons X et gamma-Rayonnement particulaire
17:30-08:45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568627</xdr:colOff>
      <xdr:row>33</xdr:row>
      <xdr:rowOff>12700</xdr:rowOff>
    </xdr:from>
    <xdr:to>
      <xdr:col>6</xdr:col>
      <xdr:colOff>1890</xdr:colOff>
      <xdr:row>33</xdr:row>
      <xdr:rowOff>387350</xdr:rowOff>
    </xdr:to>
    <xdr:sp macro="" textlink="">
      <xdr:nvSpPr>
        <xdr:cNvPr id="13539" name="Rechthoek: afgeronde hoeken 13538">
          <a:extLst>
            <a:ext uri="{FF2B5EF4-FFF2-40B4-BE49-F238E27FC236}">
              <a16:creationId xmlns:a16="http://schemas.microsoft.com/office/drawing/2014/main" id="{843FB442-FF95-EA86-0844-5CF3D4E2E94E}"/>
            </a:ext>
          </a:extLst>
        </xdr:cNvPr>
        <xdr:cNvSpPr/>
      </xdr:nvSpPr>
      <xdr:spPr>
        <a:xfrm>
          <a:off x="3197527" y="13214350"/>
          <a:ext cx="2833688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J6, Tête
08:45-10:00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6</xdr:col>
      <xdr:colOff>1889</xdr:colOff>
      <xdr:row>33</xdr:row>
      <xdr:rowOff>12700</xdr:rowOff>
    </xdr:from>
    <xdr:to>
      <xdr:col>7</xdr:col>
      <xdr:colOff>500618</xdr:colOff>
      <xdr:row>33</xdr:row>
      <xdr:rowOff>387350</xdr:rowOff>
    </xdr:to>
    <xdr:sp macro="" textlink="">
      <xdr:nvSpPr>
        <xdr:cNvPr id="13540" name="Rechthoek: afgeronde hoeken 13539">
          <a:extLst>
            <a:ext uri="{FF2B5EF4-FFF2-40B4-BE49-F238E27FC236}">
              <a16:creationId xmlns:a16="http://schemas.microsoft.com/office/drawing/2014/main" id="{98E95F46-B02B-17D0-8892-D9CAB7875F3F}"/>
            </a:ext>
          </a:extLst>
        </xdr:cNvPr>
        <xdr:cNvSpPr/>
      </xdr:nvSpPr>
      <xdr:spPr>
        <a:xfrm>
          <a:off x="6031214" y="13214350"/>
          <a:ext cx="1632204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J15, La discipline anthropologique 
10:00-10:43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7</xdr:col>
      <xdr:colOff>500618</xdr:colOff>
      <xdr:row>33</xdr:row>
      <xdr:rowOff>12700</xdr:rowOff>
    </xdr:from>
    <xdr:to>
      <xdr:col>9</xdr:col>
      <xdr:colOff>154908</xdr:colOff>
      <xdr:row>33</xdr:row>
      <xdr:rowOff>387350</xdr:rowOff>
    </xdr:to>
    <xdr:sp macro="" textlink="">
      <xdr:nvSpPr>
        <xdr:cNvPr id="13541" name="Rechthoek: afgeronde hoeken 13540">
          <a:extLst>
            <a:ext uri="{FF2B5EF4-FFF2-40B4-BE49-F238E27FC236}">
              <a16:creationId xmlns:a16="http://schemas.microsoft.com/office/drawing/2014/main" id="{226BD72F-1CA1-13E8-7C6B-9633B7C8B046}"/>
            </a:ext>
          </a:extLst>
        </xdr:cNvPr>
        <xdr:cNvSpPr/>
      </xdr:nvSpPr>
      <xdr:spPr>
        <a:xfrm>
          <a:off x="7663418" y="13214350"/>
          <a:ext cx="1921240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J15, intro: tissus
10:43-11:34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9</xdr:col>
      <xdr:colOff>154908</xdr:colOff>
      <xdr:row>33</xdr:row>
      <xdr:rowOff>12700</xdr:rowOff>
    </xdr:from>
    <xdr:to>
      <xdr:col>11</xdr:col>
      <xdr:colOff>117125</xdr:colOff>
      <xdr:row>33</xdr:row>
      <xdr:rowOff>387350</xdr:rowOff>
    </xdr:to>
    <xdr:sp macro="" textlink="">
      <xdr:nvSpPr>
        <xdr:cNvPr id="13542" name="Rechthoek: afgeronde hoeken 13541">
          <a:extLst>
            <a:ext uri="{FF2B5EF4-FFF2-40B4-BE49-F238E27FC236}">
              <a16:creationId xmlns:a16="http://schemas.microsoft.com/office/drawing/2014/main" id="{52F644EB-1C04-D674-DB85-A03F26B1B8FB}"/>
            </a:ext>
          </a:extLst>
        </xdr:cNvPr>
        <xdr:cNvSpPr/>
      </xdr:nvSpPr>
      <xdr:spPr>
        <a:xfrm>
          <a:off x="9584658" y="13214350"/>
          <a:ext cx="2229167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J0, Sociologie de la profession médicale
11:34-12:33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11</xdr:col>
      <xdr:colOff>117125</xdr:colOff>
      <xdr:row>33</xdr:row>
      <xdr:rowOff>12700</xdr:rowOff>
    </xdr:from>
    <xdr:to>
      <xdr:col>14</xdr:col>
      <xdr:colOff>1023905</xdr:colOff>
      <xdr:row>33</xdr:row>
      <xdr:rowOff>387350</xdr:rowOff>
    </xdr:to>
    <xdr:sp macro="" textlink="">
      <xdr:nvSpPr>
        <xdr:cNvPr id="13543" name="Rechthoek: afgeronde hoeken 13542">
          <a:extLst>
            <a:ext uri="{FF2B5EF4-FFF2-40B4-BE49-F238E27FC236}">
              <a16:creationId xmlns:a16="http://schemas.microsoft.com/office/drawing/2014/main" id="{CAD81260-4274-B77C-AD9A-2DCA945FD6F9}"/>
            </a:ext>
          </a:extLst>
        </xdr:cNvPr>
        <xdr:cNvSpPr/>
      </xdr:nvSpPr>
      <xdr:spPr>
        <a:xfrm>
          <a:off x="11813825" y="13214350"/>
          <a:ext cx="4307205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J0, Structure et role des nucléotides
12:33-14:27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14</xdr:col>
      <xdr:colOff>1023906</xdr:colOff>
      <xdr:row>33</xdr:row>
      <xdr:rowOff>12700</xdr:rowOff>
    </xdr:from>
    <xdr:to>
      <xdr:col>18</xdr:col>
      <xdr:colOff>948341</xdr:colOff>
      <xdr:row>33</xdr:row>
      <xdr:rowOff>387350</xdr:rowOff>
    </xdr:to>
    <xdr:sp macro="" textlink="">
      <xdr:nvSpPr>
        <xdr:cNvPr id="13544" name="Rechthoek: afgeronde hoeken 13543">
          <a:extLst>
            <a:ext uri="{FF2B5EF4-FFF2-40B4-BE49-F238E27FC236}">
              <a16:creationId xmlns:a16="http://schemas.microsoft.com/office/drawing/2014/main" id="{57A2BA69-8CAC-6778-7018-51FF134EA66E}"/>
            </a:ext>
          </a:extLst>
        </xdr:cNvPr>
        <xdr:cNvSpPr/>
      </xdr:nvSpPr>
      <xdr:spPr>
        <a:xfrm>
          <a:off x="16121031" y="13214350"/>
          <a:ext cx="4458335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J0, évolution des conceptions relatives au stress
14:27-16:25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18</xdr:col>
      <xdr:colOff>948341</xdr:colOff>
      <xdr:row>33</xdr:row>
      <xdr:rowOff>12700</xdr:rowOff>
    </xdr:from>
    <xdr:to>
      <xdr:col>19</xdr:col>
      <xdr:colOff>778320</xdr:colOff>
      <xdr:row>33</xdr:row>
      <xdr:rowOff>387350</xdr:rowOff>
    </xdr:to>
    <xdr:sp macro="" textlink="">
      <xdr:nvSpPr>
        <xdr:cNvPr id="13545" name="Rechthoek: afgeronde hoeken 13544">
          <a:extLst>
            <a:ext uri="{FF2B5EF4-FFF2-40B4-BE49-F238E27FC236}">
              <a16:creationId xmlns:a16="http://schemas.microsoft.com/office/drawing/2014/main" id="{622E3059-8512-C7E9-B323-158976EA7F39}"/>
            </a:ext>
          </a:extLst>
        </xdr:cNvPr>
        <xdr:cNvSpPr/>
      </xdr:nvSpPr>
      <xdr:spPr>
        <a:xfrm>
          <a:off x="20579366" y="13214350"/>
          <a:ext cx="963454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J6, Membre supérieur 1
16:25-16:50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19</xdr:col>
      <xdr:colOff>778320</xdr:colOff>
      <xdr:row>33</xdr:row>
      <xdr:rowOff>12700</xdr:rowOff>
    </xdr:from>
    <xdr:to>
      <xdr:col>20</xdr:col>
      <xdr:colOff>664972</xdr:colOff>
      <xdr:row>33</xdr:row>
      <xdr:rowOff>387350</xdr:rowOff>
    </xdr:to>
    <xdr:sp macro="" textlink="">
      <xdr:nvSpPr>
        <xdr:cNvPr id="13546" name="Rechthoek: afgeronde hoeken 13545">
          <a:extLst>
            <a:ext uri="{FF2B5EF4-FFF2-40B4-BE49-F238E27FC236}">
              <a16:creationId xmlns:a16="http://schemas.microsoft.com/office/drawing/2014/main" id="{77FF0BB0-6F5B-F8FF-6232-15AFDBB43E97}"/>
            </a:ext>
          </a:extLst>
        </xdr:cNvPr>
        <xdr:cNvSpPr/>
      </xdr:nvSpPr>
      <xdr:spPr>
        <a:xfrm>
          <a:off x="21542820" y="13214350"/>
          <a:ext cx="1020127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J6, pH et équilibre acido basique d'une solution
16:50-17:17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20</xdr:col>
      <xdr:colOff>664972</xdr:colOff>
      <xdr:row>33</xdr:row>
      <xdr:rowOff>12700</xdr:rowOff>
    </xdr:from>
    <xdr:to>
      <xdr:col>22</xdr:col>
      <xdr:colOff>0</xdr:colOff>
      <xdr:row>33</xdr:row>
      <xdr:rowOff>387350</xdr:rowOff>
    </xdr:to>
    <xdr:sp macro="" textlink="">
      <xdr:nvSpPr>
        <xdr:cNvPr id="13547" name="Rechthoek: afgeronde hoeken 13546">
          <a:extLst>
            <a:ext uri="{FF2B5EF4-FFF2-40B4-BE49-F238E27FC236}">
              <a16:creationId xmlns:a16="http://schemas.microsoft.com/office/drawing/2014/main" id="{9A515F78-3BBE-DF58-E7C8-8DD157A2D964}"/>
            </a:ext>
          </a:extLst>
        </xdr:cNvPr>
        <xdr:cNvSpPr/>
      </xdr:nvSpPr>
      <xdr:spPr>
        <a:xfrm>
          <a:off x="22562947" y="13214350"/>
          <a:ext cx="1601978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J6, système nerveux autonome 
17:17-08:10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34</xdr:row>
      <xdr:rowOff>12700</xdr:rowOff>
    </xdr:from>
    <xdr:to>
      <xdr:col>2</xdr:col>
      <xdr:colOff>381603</xdr:colOff>
      <xdr:row>34</xdr:row>
      <xdr:rowOff>387350</xdr:rowOff>
    </xdr:to>
    <xdr:sp macro="" textlink="">
      <xdr:nvSpPr>
        <xdr:cNvPr id="13548" name="Rechthoek: afgeronde hoeken 13547">
          <a:extLst>
            <a:ext uri="{FF2B5EF4-FFF2-40B4-BE49-F238E27FC236}">
              <a16:creationId xmlns:a16="http://schemas.microsoft.com/office/drawing/2014/main" id="{9837A513-E54C-4BFA-203C-C289406829FE}"/>
            </a:ext>
          </a:extLst>
        </xdr:cNvPr>
        <xdr:cNvSpPr/>
      </xdr:nvSpPr>
      <xdr:spPr>
        <a:xfrm>
          <a:off x="1495425" y="13614400"/>
          <a:ext cx="381603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J6, système nerveux autonome 
17:17-08:10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381603</xdr:colOff>
      <xdr:row>34</xdr:row>
      <xdr:rowOff>12700</xdr:rowOff>
    </xdr:from>
    <xdr:to>
      <xdr:col>4</xdr:col>
      <xdr:colOff>268255</xdr:colOff>
      <xdr:row>34</xdr:row>
      <xdr:rowOff>387350</xdr:rowOff>
    </xdr:to>
    <xdr:sp macro="" textlink="">
      <xdr:nvSpPr>
        <xdr:cNvPr id="13549" name="Rechthoek: afgeronde hoeken 13548">
          <a:extLst>
            <a:ext uri="{FF2B5EF4-FFF2-40B4-BE49-F238E27FC236}">
              <a16:creationId xmlns:a16="http://schemas.microsoft.com/office/drawing/2014/main" id="{BE9859FD-7608-A807-2E6C-E8AB0C0AB169}"/>
            </a:ext>
          </a:extLst>
        </xdr:cNvPr>
        <xdr:cNvSpPr/>
      </xdr:nvSpPr>
      <xdr:spPr>
        <a:xfrm>
          <a:off x="1877028" y="13614400"/>
          <a:ext cx="2153602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J6, Maladies, itinéraire thérapeutique
08:10-09:07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4</xdr:col>
      <xdr:colOff>268256</xdr:colOff>
      <xdr:row>34</xdr:row>
      <xdr:rowOff>12700</xdr:rowOff>
    </xdr:from>
    <xdr:to>
      <xdr:col>6</xdr:col>
      <xdr:colOff>494951</xdr:colOff>
      <xdr:row>34</xdr:row>
      <xdr:rowOff>387350</xdr:rowOff>
    </xdr:to>
    <xdr:sp macro="" textlink="">
      <xdr:nvSpPr>
        <xdr:cNvPr id="13550" name="Rechthoek: afgeronde hoeken 13549">
          <a:extLst>
            <a:ext uri="{FF2B5EF4-FFF2-40B4-BE49-F238E27FC236}">
              <a16:creationId xmlns:a16="http://schemas.microsoft.com/office/drawing/2014/main" id="{B1FCE94B-91A7-32F8-A7DB-B607769CEE13}"/>
            </a:ext>
          </a:extLst>
        </xdr:cNvPr>
        <xdr:cNvSpPr/>
      </xdr:nvSpPr>
      <xdr:spPr>
        <a:xfrm>
          <a:off x="4030631" y="13614400"/>
          <a:ext cx="2493645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J6, Nomenclature chimique- Isomérie 
09:07-10:13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6</xdr:col>
      <xdr:colOff>494950</xdr:colOff>
      <xdr:row>34</xdr:row>
      <xdr:rowOff>12700</xdr:rowOff>
    </xdr:from>
    <xdr:to>
      <xdr:col>6</xdr:col>
      <xdr:colOff>857662</xdr:colOff>
      <xdr:row>34</xdr:row>
      <xdr:rowOff>387350</xdr:rowOff>
    </xdr:to>
    <xdr:sp macro="" textlink="">
      <xdr:nvSpPr>
        <xdr:cNvPr id="13551" name="Rechthoek: afgeronde hoeken 13550">
          <a:extLst>
            <a:ext uri="{FF2B5EF4-FFF2-40B4-BE49-F238E27FC236}">
              <a16:creationId xmlns:a16="http://schemas.microsoft.com/office/drawing/2014/main" id="{6E52A01A-8C6E-EA94-4D30-3F94802FA191}"/>
            </a:ext>
          </a:extLst>
        </xdr:cNvPr>
        <xdr:cNvSpPr/>
      </xdr:nvSpPr>
      <xdr:spPr>
        <a:xfrm>
          <a:off x="6524275" y="13614400"/>
          <a:ext cx="362712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J30, Répercussion sociétales et empowerment 
10:13-10:22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6</xdr:col>
      <xdr:colOff>857662</xdr:colOff>
      <xdr:row>34</xdr:row>
      <xdr:rowOff>12700</xdr:rowOff>
    </xdr:from>
    <xdr:to>
      <xdr:col>9</xdr:col>
      <xdr:colOff>143573</xdr:colOff>
      <xdr:row>34</xdr:row>
      <xdr:rowOff>387350</xdr:rowOff>
    </xdr:to>
    <xdr:sp macro="" textlink="">
      <xdr:nvSpPr>
        <xdr:cNvPr id="13552" name="Rechthoek: afgeronde hoeken 13551">
          <a:extLst>
            <a:ext uri="{FF2B5EF4-FFF2-40B4-BE49-F238E27FC236}">
              <a16:creationId xmlns:a16="http://schemas.microsoft.com/office/drawing/2014/main" id="{F451CA35-C5F3-FE20-CBE7-3722DB8C6A11}"/>
            </a:ext>
          </a:extLst>
        </xdr:cNvPr>
        <xdr:cNvSpPr/>
      </xdr:nvSpPr>
      <xdr:spPr>
        <a:xfrm>
          <a:off x="6886987" y="13614400"/>
          <a:ext cx="2686336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J2, Appareil locomoteur 1
10:22-11:33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9</xdr:col>
      <xdr:colOff>143573</xdr:colOff>
      <xdr:row>34</xdr:row>
      <xdr:rowOff>12700</xdr:rowOff>
    </xdr:from>
    <xdr:to>
      <xdr:col>12</xdr:col>
      <xdr:colOff>415607</xdr:colOff>
      <xdr:row>34</xdr:row>
      <xdr:rowOff>387350</xdr:rowOff>
    </xdr:to>
    <xdr:sp macro="" textlink="">
      <xdr:nvSpPr>
        <xdr:cNvPr id="13553" name="Rechthoek: afgeronde hoeken 13552">
          <a:extLst>
            <a:ext uri="{FF2B5EF4-FFF2-40B4-BE49-F238E27FC236}">
              <a16:creationId xmlns:a16="http://schemas.microsoft.com/office/drawing/2014/main" id="{C94F12EB-C976-DA9B-9C57-E86936F4490C}"/>
            </a:ext>
          </a:extLst>
        </xdr:cNvPr>
        <xdr:cNvSpPr/>
      </xdr:nvSpPr>
      <xdr:spPr>
        <a:xfrm>
          <a:off x="9573323" y="13614400"/>
          <a:ext cx="3672459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J2, Réplication de l'ADN
11:33-13:11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12</xdr:col>
      <xdr:colOff>415607</xdr:colOff>
      <xdr:row>34</xdr:row>
      <xdr:rowOff>12700</xdr:rowOff>
    </xdr:from>
    <xdr:to>
      <xdr:col>12</xdr:col>
      <xdr:colOff>1027683</xdr:colOff>
      <xdr:row>34</xdr:row>
      <xdr:rowOff>387350</xdr:rowOff>
    </xdr:to>
    <xdr:sp macro="" textlink="">
      <xdr:nvSpPr>
        <xdr:cNvPr id="13554" name="Rechthoek: afgeronde hoeken 13553">
          <a:extLst>
            <a:ext uri="{FF2B5EF4-FFF2-40B4-BE49-F238E27FC236}">
              <a16:creationId xmlns:a16="http://schemas.microsoft.com/office/drawing/2014/main" id="{5D5E3105-BCE7-C257-5AA6-3C9285FBD91B}"/>
            </a:ext>
          </a:extLst>
        </xdr:cNvPr>
        <xdr:cNvSpPr/>
      </xdr:nvSpPr>
      <xdr:spPr>
        <a:xfrm>
          <a:off x="13245782" y="13614400"/>
          <a:ext cx="612076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J15, Représentations sociales du handicap 
13:11-13:27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12</xdr:col>
      <xdr:colOff>1027685</xdr:colOff>
      <xdr:row>34</xdr:row>
      <xdr:rowOff>12700</xdr:rowOff>
    </xdr:from>
    <xdr:to>
      <xdr:col>13</xdr:col>
      <xdr:colOff>659306</xdr:colOff>
      <xdr:row>34</xdr:row>
      <xdr:rowOff>387350</xdr:rowOff>
    </xdr:to>
    <xdr:sp macro="" textlink="">
      <xdr:nvSpPr>
        <xdr:cNvPr id="13555" name="Rechthoek: afgeronde hoeken 13554">
          <a:extLst>
            <a:ext uri="{FF2B5EF4-FFF2-40B4-BE49-F238E27FC236}">
              <a16:creationId xmlns:a16="http://schemas.microsoft.com/office/drawing/2014/main" id="{5A75FFE4-C725-87E4-D3FA-144957207EC2}"/>
            </a:ext>
          </a:extLst>
        </xdr:cNvPr>
        <xdr:cNvSpPr/>
      </xdr:nvSpPr>
      <xdr:spPr>
        <a:xfrm>
          <a:off x="13857860" y="13614400"/>
          <a:ext cx="765096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J15, intro : généralités
13:27-13:47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13</xdr:col>
      <xdr:colOff>659304</xdr:colOff>
      <xdr:row>34</xdr:row>
      <xdr:rowOff>12700</xdr:rowOff>
    </xdr:from>
    <xdr:to>
      <xdr:col>14</xdr:col>
      <xdr:colOff>341931</xdr:colOff>
      <xdr:row>34</xdr:row>
      <xdr:rowOff>387350</xdr:rowOff>
    </xdr:to>
    <xdr:sp macro="" textlink="">
      <xdr:nvSpPr>
        <xdr:cNvPr id="13556" name="Rechthoek: afgeronde hoeken 13555">
          <a:extLst>
            <a:ext uri="{FF2B5EF4-FFF2-40B4-BE49-F238E27FC236}">
              <a16:creationId xmlns:a16="http://schemas.microsoft.com/office/drawing/2014/main" id="{4CF40573-3DD8-E4A7-1ECA-CBFB81491253}"/>
            </a:ext>
          </a:extLst>
        </xdr:cNvPr>
        <xdr:cNvSpPr/>
      </xdr:nvSpPr>
      <xdr:spPr>
        <a:xfrm>
          <a:off x="14622954" y="13614400"/>
          <a:ext cx="816102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J15, Division cellulaire
13:47-14:09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14</xdr:col>
      <xdr:colOff>341931</xdr:colOff>
      <xdr:row>34</xdr:row>
      <xdr:rowOff>12700</xdr:rowOff>
    </xdr:from>
    <xdr:to>
      <xdr:col>15</xdr:col>
      <xdr:colOff>41560</xdr:colOff>
      <xdr:row>34</xdr:row>
      <xdr:rowOff>387350</xdr:rowOff>
    </xdr:to>
    <xdr:sp macro="" textlink="">
      <xdr:nvSpPr>
        <xdr:cNvPr id="13557" name="Rechthoek: afgeronde hoeken 13556">
          <a:extLst>
            <a:ext uri="{FF2B5EF4-FFF2-40B4-BE49-F238E27FC236}">
              <a16:creationId xmlns:a16="http://schemas.microsoft.com/office/drawing/2014/main" id="{F0668442-D22D-46D0-4D54-D0EEBAA7A5B5}"/>
            </a:ext>
          </a:extLst>
        </xdr:cNvPr>
        <xdr:cNvSpPr/>
      </xdr:nvSpPr>
      <xdr:spPr>
        <a:xfrm>
          <a:off x="15439056" y="13614400"/>
          <a:ext cx="833104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J15, Transcription et régulation 
14:09-14:31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15</xdr:col>
      <xdr:colOff>41560</xdr:colOff>
      <xdr:row>34</xdr:row>
      <xdr:rowOff>12700</xdr:rowOff>
    </xdr:from>
    <xdr:to>
      <xdr:col>15</xdr:col>
      <xdr:colOff>1061687</xdr:colOff>
      <xdr:row>34</xdr:row>
      <xdr:rowOff>387350</xdr:rowOff>
    </xdr:to>
    <xdr:sp macro="" textlink="">
      <xdr:nvSpPr>
        <xdr:cNvPr id="13558" name="Rechthoek: afgeronde hoeken 13557">
          <a:extLst>
            <a:ext uri="{FF2B5EF4-FFF2-40B4-BE49-F238E27FC236}">
              <a16:creationId xmlns:a16="http://schemas.microsoft.com/office/drawing/2014/main" id="{FEEE4F56-4F84-AE1D-DF60-19EEB44CA0E4}"/>
            </a:ext>
          </a:extLst>
        </xdr:cNvPr>
        <xdr:cNvSpPr/>
      </xdr:nvSpPr>
      <xdr:spPr>
        <a:xfrm>
          <a:off x="16272160" y="13614400"/>
          <a:ext cx="1020127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J15, Membre inférieur 2 
14:31-14:58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15</xdr:col>
      <xdr:colOff>1061689</xdr:colOff>
      <xdr:row>34</xdr:row>
      <xdr:rowOff>12700</xdr:rowOff>
    </xdr:from>
    <xdr:to>
      <xdr:col>17</xdr:col>
      <xdr:colOff>683864</xdr:colOff>
      <xdr:row>34</xdr:row>
      <xdr:rowOff>387350</xdr:rowOff>
    </xdr:to>
    <xdr:sp macro="" textlink="">
      <xdr:nvSpPr>
        <xdr:cNvPr id="13559" name="Rechthoek: afgeronde hoeken 13558">
          <a:extLst>
            <a:ext uri="{FF2B5EF4-FFF2-40B4-BE49-F238E27FC236}">
              <a16:creationId xmlns:a16="http://schemas.microsoft.com/office/drawing/2014/main" id="{23040132-0D0E-D57B-0002-3166A412BF88}"/>
            </a:ext>
          </a:extLst>
        </xdr:cNvPr>
        <xdr:cNvSpPr/>
      </xdr:nvSpPr>
      <xdr:spPr>
        <a:xfrm>
          <a:off x="17292289" y="13614400"/>
          <a:ext cx="1889125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J0, Appareil locomoteur 3
14:58-15:48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17</xdr:col>
      <xdr:colOff>683864</xdr:colOff>
      <xdr:row>34</xdr:row>
      <xdr:rowOff>12700</xdr:rowOff>
    </xdr:from>
    <xdr:to>
      <xdr:col>19</xdr:col>
      <xdr:colOff>683864</xdr:colOff>
      <xdr:row>34</xdr:row>
      <xdr:rowOff>387350</xdr:rowOff>
    </xdr:to>
    <xdr:sp macro="" textlink="">
      <xdr:nvSpPr>
        <xdr:cNvPr id="13560" name="Rechthoek: afgeronde hoeken 13559">
          <a:extLst>
            <a:ext uri="{FF2B5EF4-FFF2-40B4-BE49-F238E27FC236}">
              <a16:creationId xmlns:a16="http://schemas.microsoft.com/office/drawing/2014/main" id="{07D573F0-7CA2-6996-A8DA-C7070D97D881}"/>
            </a:ext>
          </a:extLst>
        </xdr:cNvPr>
        <xdr:cNvSpPr/>
      </xdr:nvSpPr>
      <xdr:spPr>
        <a:xfrm>
          <a:off x="19181414" y="13614400"/>
          <a:ext cx="2266950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J0, tests stats et méthodologie de choix de test 
15:48-16:48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19</xdr:col>
      <xdr:colOff>683864</xdr:colOff>
      <xdr:row>34</xdr:row>
      <xdr:rowOff>12700</xdr:rowOff>
    </xdr:from>
    <xdr:to>
      <xdr:col>22</xdr:col>
      <xdr:colOff>1</xdr:colOff>
      <xdr:row>34</xdr:row>
      <xdr:rowOff>387350</xdr:rowOff>
    </xdr:to>
    <xdr:sp macro="" textlink="">
      <xdr:nvSpPr>
        <xdr:cNvPr id="13561" name="Rechthoek: afgeronde hoeken 13560">
          <a:extLst>
            <a:ext uri="{FF2B5EF4-FFF2-40B4-BE49-F238E27FC236}">
              <a16:creationId xmlns:a16="http://schemas.microsoft.com/office/drawing/2014/main" id="{1D0E8558-4A1D-1EF0-7CD1-568C016B326E}"/>
            </a:ext>
          </a:extLst>
        </xdr:cNvPr>
        <xdr:cNvSpPr/>
      </xdr:nvSpPr>
      <xdr:spPr>
        <a:xfrm>
          <a:off x="21448364" y="13614400"/>
          <a:ext cx="2716562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J0, Signalisation intracellulaire part 2
16:48-08:17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35</xdr:row>
      <xdr:rowOff>12700</xdr:rowOff>
    </xdr:from>
    <xdr:to>
      <xdr:col>2</xdr:col>
      <xdr:colOff>646081</xdr:colOff>
      <xdr:row>35</xdr:row>
      <xdr:rowOff>387350</xdr:rowOff>
    </xdr:to>
    <xdr:sp macro="" textlink="">
      <xdr:nvSpPr>
        <xdr:cNvPr id="13562" name="Rechthoek: afgeronde hoeken 13561">
          <a:extLst>
            <a:ext uri="{FF2B5EF4-FFF2-40B4-BE49-F238E27FC236}">
              <a16:creationId xmlns:a16="http://schemas.microsoft.com/office/drawing/2014/main" id="{3A820ED1-BF58-F421-5921-20556E2BBCE1}"/>
            </a:ext>
          </a:extLst>
        </xdr:cNvPr>
        <xdr:cNvSpPr/>
      </xdr:nvSpPr>
      <xdr:spPr>
        <a:xfrm>
          <a:off x="1495425" y="14014450"/>
          <a:ext cx="646081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J0, Signalisation intracellulaire part 2
16:48-08:17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646081</xdr:colOff>
      <xdr:row>35</xdr:row>
      <xdr:rowOff>12700</xdr:rowOff>
    </xdr:from>
    <xdr:to>
      <xdr:col>5</xdr:col>
      <xdr:colOff>1099471</xdr:colOff>
      <xdr:row>35</xdr:row>
      <xdr:rowOff>387350</xdr:rowOff>
    </xdr:to>
    <xdr:sp macro="" textlink="">
      <xdr:nvSpPr>
        <xdr:cNvPr id="13563" name="Rechthoek: afgeronde hoeken 13562">
          <a:extLst>
            <a:ext uri="{FF2B5EF4-FFF2-40B4-BE49-F238E27FC236}">
              <a16:creationId xmlns:a16="http://schemas.microsoft.com/office/drawing/2014/main" id="{971CEC78-F91A-A5F6-2382-19360E684F21}"/>
            </a:ext>
          </a:extLst>
        </xdr:cNvPr>
        <xdr:cNvSpPr/>
      </xdr:nvSpPr>
      <xdr:spPr>
        <a:xfrm>
          <a:off x="2141506" y="14014450"/>
          <a:ext cx="3853815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J0, Membre supérieur 2 
08:17-09:59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1099471</xdr:colOff>
      <xdr:row>35</xdr:row>
      <xdr:rowOff>12700</xdr:rowOff>
    </xdr:from>
    <xdr:to>
      <xdr:col>6</xdr:col>
      <xdr:colOff>544068</xdr:colOff>
      <xdr:row>35</xdr:row>
      <xdr:rowOff>387350</xdr:rowOff>
    </xdr:to>
    <xdr:sp macro="" textlink="">
      <xdr:nvSpPr>
        <xdr:cNvPr id="13564" name="Rechthoek: afgeronde hoeken 13563">
          <a:extLst>
            <a:ext uri="{FF2B5EF4-FFF2-40B4-BE49-F238E27FC236}">
              <a16:creationId xmlns:a16="http://schemas.microsoft.com/office/drawing/2014/main" id="{E9471BFE-C2D0-6CDD-70B3-F889A2992426}"/>
            </a:ext>
          </a:extLst>
        </xdr:cNvPr>
        <xdr:cNvSpPr/>
      </xdr:nvSpPr>
      <xdr:spPr>
        <a:xfrm>
          <a:off x="5995321" y="14014450"/>
          <a:ext cx="578072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J30, épidémiologie descriptive
09:59-10:14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6</xdr:col>
      <xdr:colOff>544068</xdr:colOff>
      <xdr:row>35</xdr:row>
      <xdr:rowOff>12700</xdr:rowOff>
    </xdr:from>
    <xdr:to>
      <xdr:col>7</xdr:col>
      <xdr:colOff>306038</xdr:colOff>
      <xdr:row>35</xdr:row>
      <xdr:rowOff>387350</xdr:rowOff>
    </xdr:to>
    <xdr:sp macro="" textlink="">
      <xdr:nvSpPr>
        <xdr:cNvPr id="13565" name="Rechthoek: afgeronde hoeken 13564">
          <a:extLst>
            <a:ext uri="{FF2B5EF4-FFF2-40B4-BE49-F238E27FC236}">
              <a16:creationId xmlns:a16="http://schemas.microsoft.com/office/drawing/2014/main" id="{929EB5B0-D922-DAB5-89EF-433880F4CE25}"/>
            </a:ext>
          </a:extLst>
        </xdr:cNvPr>
        <xdr:cNvSpPr/>
      </xdr:nvSpPr>
      <xdr:spPr>
        <a:xfrm>
          <a:off x="6573393" y="14014450"/>
          <a:ext cx="895445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J30, Économie du système de santé
10:14-10:38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7</xdr:col>
      <xdr:colOff>306038</xdr:colOff>
      <xdr:row>35</xdr:row>
      <xdr:rowOff>12700</xdr:rowOff>
    </xdr:from>
    <xdr:to>
      <xdr:col>8</xdr:col>
      <xdr:colOff>215360</xdr:colOff>
      <xdr:row>35</xdr:row>
      <xdr:rowOff>387350</xdr:rowOff>
    </xdr:to>
    <xdr:sp macro="" textlink="">
      <xdr:nvSpPr>
        <xdr:cNvPr id="13566" name="Rechthoek: afgeronde hoeken 13565">
          <a:extLst>
            <a:ext uri="{FF2B5EF4-FFF2-40B4-BE49-F238E27FC236}">
              <a16:creationId xmlns:a16="http://schemas.microsoft.com/office/drawing/2014/main" id="{A58E8687-3670-AF1A-0B72-4E3E0903B4B1}"/>
            </a:ext>
          </a:extLst>
        </xdr:cNvPr>
        <xdr:cNvSpPr/>
      </xdr:nvSpPr>
      <xdr:spPr>
        <a:xfrm>
          <a:off x="7468838" y="14014450"/>
          <a:ext cx="1042797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J30, Abdomen et pelvis 1
10:38-11:05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8</xdr:col>
      <xdr:colOff>215360</xdr:colOff>
      <xdr:row>35</xdr:row>
      <xdr:rowOff>12700</xdr:rowOff>
    </xdr:from>
    <xdr:to>
      <xdr:col>9</xdr:col>
      <xdr:colOff>362712</xdr:colOff>
      <xdr:row>35</xdr:row>
      <xdr:rowOff>387350</xdr:rowOff>
    </xdr:to>
    <xdr:sp macro="" textlink="">
      <xdr:nvSpPr>
        <xdr:cNvPr id="13567" name="Rechthoek: afgeronde hoeken 13566">
          <a:extLst>
            <a:ext uri="{FF2B5EF4-FFF2-40B4-BE49-F238E27FC236}">
              <a16:creationId xmlns:a16="http://schemas.microsoft.com/office/drawing/2014/main" id="{E4271DBC-3931-F4A8-4CD5-283F904A3E5E}"/>
            </a:ext>
          </a:extLst>
        </xdr:cNvPr>
        <xdr:cNvSpPr/>
      </xdr:nvSpPr>
      <xdr:spPr>
        <a:xfrm>
          <a:off x="8511635" y="14014450"/>
          <a:ext cx="1280827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J30, Synthèse tampons, Diagramme de Davenport
11:05-11:39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9</xdr:col>
      <xdr:colOff>362712</xdr:colOff>
      <xdr:row>35</xdr:row>
      <xdr:rowOff>12700</xdr:rowOff>
    </xdr:from>
    <xdr:to>
      <xdr:col>11</xdr:col>
      <xdr:colOff>102013</xdr:colOff>
      <xdr:row>35</xdr:row>
      <xdr:rowOff>387350</xdr:rowOff>
    </xdr:to>
    <xdr:sp macro="" textlink="">
      <xdr:nvSpPr>
        <xdr:cNvPr id="13568" name="Rechthoek: afgeronde hoeken 13567">
          <a:extLst>
            <a:ext uri="{FF2B5EF4-FFF2-40B4-BE49-F238E27FC236}">
              <a16:creationId xmlns:a16="http://schemas.microsoft.com/office/drawing/2014/main" id="{40B8BBC7-D5CC-F8A7-8CB8-207B98C415DC}"/>
            </a:ext>
          </a:extLst>
        </xdr:cNvPr>
        <xdr:cNvSpPr/>
      </xdr:nvSpPr>
      <xdr:spPr>
        <a:xfrm>
          <a:off x="9792462" y="14014450"/>
          <a:ext cx="2006251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J2, Sociologie de la profession médicale
11:39-12:32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11</xdr:col>
      <xdr:colOff>102012</xdr:colOff>
      <xdr:row>35</xdr:row>
      <xdr:rowOff>12700</xdr:rowOff>
    </xdr:from>
    <xdr:to>
      <xdr:col>14</xdr:col>
      <xdr:colOff>578071</xdr:colOff>
      <xdr:row>35</xdr:row>
      <xdr:rowOff>387350</xdr:rowOff>
    </xdr:to>
    <xdr:sp macro="" textlink="">
      <xdr:nvSpPr>
        <xdr:cNvPr id="13569" name="Rechthoek: afgeronde hoeken 13568">
          <a:extLst>
            <a:ext uri="{FF2B5EF4-FFF2-40B4-BE49-F238E27FC236}">
              <a16:creationId xmlns:a16="http://schemas.microsoft.com/office/drawing/2014/main" id="{108A204E-02C1-16BB-BBC4-79A86289CF07}"/>
            </a:ext>
          </a:extLst>
        </xdr:cNvPr>
        <xdr:cNvSpPr/>
      </xdr:nvSpPr>
      <xdr:spPr>
        <a:xfrm>
          <a:off x="11798712" y="14014450"/>
          <a:ext cx="3876484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J2, Structure et role des nucléotides
12:32-14:15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14</xdr:col>
      <xdr:colOff>578072</xdr:colOff>
      <xdr:row>35</xdr:row>
      <xdr:rowOff>12700</xdr:rowOff>
    </xdr:from>
    <xdr:to>
      <xdr:col>18</xdr:col>
      <xdr:colOff>56674</xdr:colOff>
      <xdr:row>35</xdr:row>
      <xdr:rowOff>387350</xdr:rowOff>
    </xdr:to>
    <xdr:sp macro="" textlink="">
      <xdr:nvSpPr>
        <xdr:cNvPr id="13570" name="Rechthoek: afgeronde hoeken 13569">
          <a:extLst>
            <a:ext uri="{FF2B5EF4-FFF2-40B4-BE49-F238E27FC236}">
              <a16:creationId xmlns:a16="http://schemas.microsoft.com/office/drawing/2014/main" id="{669A2FAA-78F4-DA19-DB07-D97864F542DE}"/>
            </a:ext>
          </a:extLst>
        </xdr:cNvPr>
        <xdr:cNvSpPr/>
      </xdr:nvSpPr>
      <xdr:spPr>
        <a:xfrm>
          <a:off x="15675197" y="14014450"/>
          <a:ext cx="4012502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J2, évolution des conceptions relatives au stress
14:15-16:01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18</xdr:col>
      <xdr:colOff>56674</xdr:colOff>
      <xdr:row>35</xdr:row>
      <xdr:rowOff>12700</xdr:rowOff>
    </xdr:from>
    <xdr:to>
      <xdr:col>19</xdr:col>
      <xdr:colOff>453390</xdr:colOff>
      <xdr:row>35</xdr:row>
      <xdr:rowOff>387350</xdr:rowOff>
    </xdr:to>
    <xdr:sp macro="" textlink="">
      <xdr:nvSpPr>
        <xdr:cNvPr id="13571" name="Rechthoek: afgeronde hoeken 13570">
          <a:extLst>
            <a:ext uri="{FF2B5EF4-FFF2-40B4-BE49-F238E27FC236}">
              <a16:creationId xmlns:a16="http://schemas.microsoft.com/office/drawing/2014/main" id="{E0C2D098-2478-29E7-63F3-22DCEEB244BF}"/>
            </a:ext>
          </a:extLst>
        </xdr:cNvPr>
        <xdr:cNvSpPr/>
      </xdr:nvSpPr>
      <xdr:spPr>
        <a:xfrm>
          <a:off x="19687699" y="14014450"/>
          <a:ext cx="1530191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J15, États  de la matière et leur caractérisation 
16:01-16:42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19</xdr:col>
      <xdr:colOff>453389</xdr:colOff>
      <xdr:row>35</xdr:row>
      <xdr:rowOff>12700</xdr:rowOff>
    </xdr:from>
    <xdr:to>
      <xdr:col>21</xdr:col>
      <xdr:colOff>90677</xdr:colOff>
      <xdr:row>35</xdr:row>
      <xdr:rowOff>387350</xdr:rowOff>
    </xdr:to>
    <xdr:sp macro="" textlink="">
      <xdr:nvSpPr>
        <xdr:cNvPr id="13572" name="Rechthoek: afgeronde hoeken 13571">
          <a:extLst>
            <a:ext uri="{FF2B5EF4-FFF2-40B4-BE49-F238E27FC236}">
              <a16:creationId xmlns:a16="http://schemas.microsoft.com/office/drawing/2014/main" id="{B738B0EE-A418-E6BB-886C-878602D7CC63}"/>
            </a:ext>
          </a:extLst>
        </xdr:cNvPr>
        <xdr:cNvSpPr/>
      </xdr:nvSpPr>
      <xdr:spPr>
        <a:xfrm>
          <a:off x="21217889" y="14014450"/>
          <a:ext cx="1904238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J15, Interaction rayonnement-Matière 
16:42-17:32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21</xdr:col>
      <xdr:colOff>90678</xdr:colOff>
      <xdr:row>35</xdr:row>
      <xdr:rowOff>12700</xdr:rowOff>
    </xdr:from>
    <xdr:to>
      <xdr:col>22</xdr:col>
      <xdr:colOff>0</xdr:colOff>
      <xdr:row>35</xdr:row>
      <xdr:rowOff>387350</xdr:rowOff>
    </xdr:to>
    <xdr:sp macro="" textlink="">
      <xdr:nvSpPr>
        <xdr:cNvPr id="13573" name="Rechthoek: afgeronde hoeken 13572">
          <a:extLst>
            <a:ext uri="{FF2B5EF4-FFF2-40B4-BE49-F238E27FC236}">
              <a16:creationId xmlns:a16="http://schemas.microsoft.com/office/drawing/2014/main" id="{F7B32C60-4928-9A07-9938-5FBC77F6630B}"/>
            </a:ext>
          </a:extLst>
        </xdr:cNvPr>
        <xdr:cNvSpPr/>
      </xdr:nvSpPr>
      <xdr:spPr>
        <a:xfrm>
          <a:off x="23122128" y="14014450"/>
          <a:ext cx="1042797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J15, essai thérapeutique 
17:32-08:23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36</xdr:row>
      <xdr:rowOff>12700</xdr:rowOff>
    </xdr:from>
    <xdr:to>
      <xdr:col>2</xdr:col>
      <xdr:colOff>878443</xdr:colOff>
      <xdr:row>36</xdr:row>
      <xdr:rowOff>387350</xdr:rowOff>
    </xdr:to>
    <xdr:sp macro="" textlink="">
      <xdr:nvSpPr>
        <xdr:cNvPr id="13574" name="Rechthoek: afgeronde hoeken 13573">
          <a:extLst>
            <a:ext uri="{FF2B5EF4-FFF2-40B4-BE49-F238E27FC236}">
              <a16:creationId xmlns:a16="http://schemas.microsoft.com/office/drawing/2014/main" id="{1E303352-8F54-E9D2-0C0F-A0A727401E29}"/>
            </a:ext>
          </a:extLst>
        </xdr:cNvPr>
        <xdr:cNvSpPr/>
      </xdr:nvSpPr>
      <xdr:spPr>
        <a:xfrm>
          <a:off x="1495425" y="14414500"/>
          <a:ext cx="878443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J15, essai thérapeutique 
17:32-08:23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878443</xdr:colOff>
      <xdr:row>36</xdr:row>
      <xdr:rowOff>12700</xdr:rowOff>
    </xdr:from>
    <xdr:to>
      <xdr:col>4</xdr:col>
      <xdr:colOff>651748</xdr:colOff>
      <xdr:row>36</xdr:row>
      <xdr:rowOff>387350</xdr:rowOff>
    </xdr:to>
    <xdr:sp macro="" textlink="">
      <xdr:nvSpPr>
        <xdr:cNvPr id="13575" name="Rechthoek: afgeronde hoeken 13574">
          <a:extLst>
            <a:ext uri="{FF2B5EF4-FFF2-40B4-BE49-F238E27FC236}">
              <a16:creationId xmlns:a16="http://schemas.microsoft.com/office/drawing/2014/main" id="{ADB01B9B-A18A-73E9-5607-93A91F66683B}"/>
            </a:ext>
          </a:extLst>
        </xdr:cNvPr>
        <xdr:cNvSpPr/>
      </xdr:nvSpPr>
      <xdr:spPr>
        <a:xfrm>
          <a:off x="2373868" y="14414500"/>
          <a:ext cx="2040255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J15, Les très basses fréquences du spectre électromagnétique 
08:23-09:17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4</xdr:col>
      <xdr:colOff>651748</xdr:colOff>
      <xdr:row>36</xdr:row>
      <xdr:rowOff>12700</xdr:rowOff>
    </xdr:from>
    <xdr:to>
      <xdr:col>5</xdr:col>
      <xdr:colOff>266366</xdr:colOff>
      <xdr:row>36</xdr:row>
      <xdr:rowOff>387350</xdr:rowOff>
    </xdr:to>
    <xdr:sp macro="" textlink="">
      <xdr:nvSpPr>
        <xdr:cNvPr id="13576" name="Rechthoek: afgeronde hoeken 13575">
          <a:extLst>
            <a:ext uri="{FF2B5EF4-FFF2-40B4-BE49-F238E27FC236}">
              <a16:creationId xmlns:a16="http://schemas.microsoft.com/office/drawing/2014/main" id="{8F8C725E-BD17-FFAC-CD29-4878FCE01020}"/>
            </a:ext>
          </a:extLst>
        </xdr:cNvPr>
        <xdr:cNvSpPr/>
      </xdr:nvSpPr>
      <xdr:spPr>
        <a:xfrm>
          <a:off x="4414123" y="14414500"/>
          <a:ext cx="748093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J10, Transport intracellulaire et trafic vésiculaire 
09:17-09:37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266367</xdr:colOff>
      <xdr:row>36</xdr:row>
      <xdr:rowOff>12700</xdr:rowOff>
    </xdr:from>
    <xdr:to>
      <xdr:col>7</xdr:col>
      <xdr:colOff>493062</xdr:colOff>
      <xdr:row>36</xdr:row>
      <xdr:rowOff>387350</xdr:rowOff>
    </xdr:to>
    <xdr:sp macro="" textlink="">
      <xdr:nvSpPr>
        <xdr:cNvPr id="13577" name="Rechthoek: afgeronde hoeken 13576">
          <a:extLst>
            <a:ext uri="{FF2B5EF4-FFF2-40B4-BE49-F238E27FC236}">
              <a16:creationId xmlns:a16="http://schemas.microsoft.com/office/drawing/2014/main" id="{F605F333-1CE4-E748-51EA-659793A7A6AF}"/>
            </a:ext>
          </a:extLst>
        </xdr:cNvPr>
        <xdr:cNvSpPr/>
      </xdr:nvSpPr>
      <xdr:spPr>
        <a:xfrm>
          <a:off x="5162217" y="14414500"/>
          <a:ext cx="2493645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J10, Membre inférieur 1
09:37-10:43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7</xdr:col>
      <xdr:colOff>493061</xdr:colOff>
      <xdr:row>36</xdr:row>
      <xdr:rowOff>12700</xdr:rowOff>
    </xdr:from>
    <xdr:to>
      <xdr:col>9</xdr:col>
      <xdr:colOff>765095</xdr:colOff>
      <xdr:row>36</xdr:row>
      <xdr:rowOff>387350</xdr:rowOff>
    </xdr:to>
    <xdr:sp macro="" textlink="">
      <xdr:nvSpPr>
        <xdr:cNvPr id="13578" name="Rechthoek: afgeronde hoeken 13577">
          <a:extLst>
            <a:ext uri="{FF2B5EF4-FFF2-40B4-BE49-F238E27FC236}">
              <a16:creationId xmlns:a16="http://schemas.microsoft.com/office/drawing/2014/main" id="{7FEBEDF8-0FFE-1288-C503-CC9CC70EEE17}"/>
            </a:ext>
          </a:extLst>
        </xdr:cNvPr>
        <xdr:cNvSpPr/>
      </xdr:nvSpPr>
      <xdr:spPr>
        <a:xfrm>
          <a:off x="7655861" y="14414500"/>
          <a:ext cx="2538984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J10, intro: région, fascias et appareil 
10:43-11:50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9</xdr:col>
      <xdr:colOff>765096</xdr:colOff>
      <xdr:row>36</xdr:row>
      <xdr:rowOff>12700</xdr:rowOff>
    </xdr:from>
    <xdr:to>
      <xdr:col>12</xdr:col>
      <xdr:colOff>236141</xdr:colOff>
      <xdr:row>36</xdr:row>
      <xdr:rowOff>387350</xdr:rowOff>
    </xdr:to>
    <xdr:sp macro="" textlink="">
      <xdr:nvSpPr>
        <xdr:cNvPr id="13579" name="Rechthoek: afgeronde hoeken 13578">
          <a:extLst>
            <a:ext uri="{FF2B5EF4-FFF2-40B4-BE49-F238E27FC236}">
              <a16:creationId xmlns:a16="http://schemas.microsoft.com/office/drawing/2014/main" id="{B015BA21-8901-BA8E-C2C4-C4AFD053F409}"/>
            </a:ext>
          </a:extLst>
        </xdr:cNvPr>
        <xdr:cNvSpPr/>
      </xdr:nvSpPr>
      <xdr:spPr>
        <a:xfrm>
          <a:off x="10194846" y="14414500"/>
          <a:ext cx="2871470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J0, Appareil locomoteur 2
11:50-13:06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12</xdr:col>
      <xdr:colOff>236141</xdr:colOff>
      <xdr:row>36</xdr:row>
      <xdr:rowOff>12700</xdr:rowOff>
    </xdr:from>
    <xdr:to>
      <xdr:col>16</xdr:col>
      <xdr:colOff>198358</xdr:colOff>
      <xdr:row>36</xdr:row>
      <xdr:rowOff>387350</xdr:rowOff>
    </xdr:to>
    <xdr:sp macro="" textlink="">
      <xdr:nvSpPr>
        <xdr:cNvPr id="13580" name="Rechthoek: afgeronde hoeken 13579">
          <a:extLst>
            <a:ext uri="{FF2B5EF4-FFF2-40B4-BE49-F238E27FC236}">
              <a16:creationId xmlns:a16="http://schemas.microsoft.com/office/drawing/2014/main" id="{5DFDF9DD-CEB6-9CDD-8B5F-F65DBF0B42C9}"/>
            </a:ext>
          </a:extLst>
        </xdr:cNvPr>
        <xdr:cNvSpPr/>
      </xdr:nvSpPr>
      <xdr:spPr>
        <a:xfrm>
          <a:off x="13066316" y="14414500"/>
          <a:ext cx="4496117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J0, Méthode d'évaluation du stress objectif 
13:06-15:05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16</xdr:col>
      <xdr:colOff>198358</xdr:colOff>
      <xdr:row>36</xdr:row>
      <xdr:rowOff>12700</xdr:rowOff>
    </xdr:from>
    <xdr:to>
      <xdr:col>16</xdr:col>
      <xdr:colOff>946451</xdr:colOff>
      <xdr:row>36</xdr:row>
      <xdr:rowOff>387350</xdr:rowOff>
    </xdr:to>
    <xdr:sp macro="" textlink="">
      <xdr:nvSpPr>
        <xdr:cNvPr id="13581" name="Rechthoek: afgeronde hoeken 13580">
          <a:extLst>
            <a:ext uri="{FF2B5EF4-FFF2-40B4-BE49-F238E27FC236}">
              <a16:creationId xmlns:a16="http://schemas.microsoft.com/office/drawing/2014/main" id="{C0C07F04-FAC6-5E0D-88BB-9F5CFCD07D2A}"/>
            </a:ext>
          </a:extLst>
        </xdr:cNvPr>
        <xdr:cNvSpPr/>
      </xdr:nvSpPr>
      <xdr:spPr>
        <a:xfrm>
          <a:off x="17562433" y="14414500"/>
          <a:ext cx="748093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J30, Thermorégulation
15:05-15:25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16</xdr:col>
      <xdr:colOff>946452</xdr:colOff>
      <xdr:row>36</xdr:row>
      <xdr:rowOff>12700</xdr:rowOff>
    </xdr:from>
    <xdr:to>
      <xdr:col>17</xdr:col>
      <xdr:colOff>946452</xdr:colOff>
      <xdr:row>36</xdr:row>
      <xdr:rowOff>387350</xdr:rowOff>
    </xdr:to>
    <xdr:sp macro="" textlink="">
      <xdr:nvSpPr>
        <xdr:cNvPr id="13582" name="Rechthoek: afgeronde hoeken 13581">
          <a:extLst>
            <a:ext uri="{FF2B5EF4-FFF2-40B4-BE49-F238E27FC236}">
              <a16:creationId xmlns:a16="http://schemas.microsoft.com/office/drawing/2014/main" id="{916E8899-28C1-1C8C-3B9D-5B2967109280}"/>
            </a:ext>
          </a:extLst>
        </xdr:cNvPr>
        <xdr:cNvSpPr/>
      </xdr:nvSpPr>
      <xdr:spPr>
        <a:xfrm>
          <a:off x="18310527" y="14414500"/>
          <a:ext cx="1133475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J30, Potentiel électrochimique 
15:25-15:55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17</xdr:col>
      <xdr:colOff>946452</xdr:colOff>
      <xdr:row>36</xdr:row>
      <xdr:rowOff>12700</xdr:rowOff>
    </xdr:from>
    <xdr:to>
      <xdr:col>18</xdr:col>
      <xdr:colOff>1003126</xdr:colOff>
      <xdr:row>36</xdr:row>
      <xdr:rowOff>387350</xdr:rowOff>
    </xdr:to>
    <xdr:sp macro="" textlink="">
      <xdr:nvSpPr>
        <xdr:cNvPr id="13583" name="Rechthoek: afgeronde hoeken 13582">
          <a:extLst>
            <a:ext uri="{FF2B5EF4-FFF2-40B4-BE49-F238E27FC236}">
              <a16:creationId xmlns:a16="http://schemas.microsoft.com/office/drawing/2014/main" id="{AB1B6168-F32B-73C0-CB89-742258D5BBC8}"/>
            </a:ext>
          </a:extLst>
        </xdr:cNvPr>
        <xdr:cNvSpPr/>
      </xdr:nvSpPr>
      <xdr:spPr>
        <a:xfrm>
          <a:off x="19444002" y="14414500"/>
          <a:ext cx="1190149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J30, intro: mouvements
15:55-16:26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18</xdr:col>
      <xdr:colOff>1003125</xdr:colOff>
      <xdr:row>36</xdr:row>
      <xdr:rowOff>12700</xdr:rowOff>
    </xdr:from>
    <xdr:to>
      <xdr:col>20</xdr:col>
      <xdr:colOff>436388</xdr:colOff>
      <xdr:row>36</xdr:row>
      <xdr:rowOff>387350</xdr:rowOff>
    </xdr:to>
    <xdr:sp macro="" textlink="">
      <xdr:nvSpPr>
        <xdr:cNvPr id="13584" name="Rechthoek: afgeronde hoeken 13583">
          <a:extLst>
            <a:ext uri="{FF2B5EF4-FFF2-40B4-BE49-F238E27FC236}">
              <a16:creationId xmlns:a16="http://schemas.microsoft.com/office/drawing/2014/main" id="{6D235898-9D16-CAB5-B812-A88EE02A9D77}"/>
            </a:ext>
          </a:extLst>
        </xdr:cNvPr>
        <xdr:cNvSpPr/>
      </xdr:nvSpPr>
      <xdr:spPr>
        <a:xfrm>
          <a:off x="20634150" y="14414500"/>
          <a:ext cx="1700213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J2, Appareil locomoteur 3
16:26-17:11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20</xdr:col>
      <xdr:colOff>436387</xdr:colOff>
      <xdr:row>36</xdr:row>
      <xdr:rowOff>12700</xdr:rowOff>
    </xdr:from>
    <xdr:to>
      <xdr:col>21</xdr:col>
      <xdr:colOff>1133474</xdr:colOff>
      <xdr:row>36</xdr:row>
      <xdr:rowOff>387350</xdr:rowOff>
    </xdr:to>
    <xdr:sp macro="" textlink="">
      <xdr:nvSpPr>
        <xdr:cNvPr id="13585" name="Rechthoek: afgeronde hoeken 13584">
          <a:extLst>
            <a:ext uri="{FF2B5EF4-FFF2-40B4-BE49-F238E27FC236}">
              <a16:creationId xmlns:a16="http://schemas.microsoft.com/office/drawing/2014/main" id="{709D2A8B-5B18-499C-D74B-AF091AD5D3A6}"/>
            </a:ext>
          </a:extLst>
        </xdr:cNvPr>
        <xdr:cNvSpPr/>
      </xdr:nvSpPr>
      <xdr:spPr>
        <a:xfrm>
          <a:off x="22334362" y="14414500"/>
          <a:ext cx="1830562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J2, tests stats et méthodologie de choix de test 
17:11-08:05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37</xdr:row>
      <xdr:rowOff>12700</xdr:rowOff>
    </xdr:from>
    <xdr:to>
      <xdr:col>2</xdr:col>
      <xdr:colOff>209693</xdr:colOff>
      <xdr:row>37</xdr:row>
      <xdr:rowOff>387350</xdr:rowOff>
    </xdr:to>
    <xdr:sp macro="" textlink="">
      <xdr:nvSpPr>
        <xdr:cNvPr id="13586" name="Rechthoek: afgeronde hoeken 13585">
          <a:extLst>
            <a:ext uri="{FF2B5EF4-FFF2-40B4-BE49-F238E27FC236}">
              <a16:creationId xmlns:a16="http://schemas.microsoft.com/office/drawing/2014/main" id="{322CA756-2A7C-3BC0-2EAC-563F3D741F54}"/>
            </a:ext>
          </a:extLst>
        </xdr:cNvPr>
        <xdr:cNvSpPr/>
      </xdr:nvSpPr>
      <xdr:spPr>
        <a:xfrm>
          <a:off x="1495425" y="14814550"/>
          <a:ext cx="209693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J2, tests stats et méthodologie de choix de test 
17:11-08:05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209693</xdr:colOff>
      <xdr:row>37</xdr:row>
      <xdr:rowOff>12700</xdr:rowOff>
    </xdr:from>
    <xdr:to>
      <xdr:col>4</xdr:col>
      <xdr:colOff>969121</xdr:colOff>
      <xdr:row>37</xdr:row>
      <xdr:rowOff>387350</xdr:rowOff>
    </xdr:to>
    <xdr:sp macro="" textlink="">
      <xdr:nvSpPr>
        <xdr:cNvPr id="13587" name="Rechthoek: afgeronde hoeken 13586">
          <a:extLst>
            <a:ext uri="{FF2B5EF4-FFF2-40B4-BE49-F238E27FC236}">
              <a16:creationId xmlns:a16="http://schemas.microsoft.com/office/drawing/2014/main" id="{C315A746-60B7-F94F-2869-48E29D55AF6F}"/>
            </a:ext>
          </a:extLst>
        </xdr:cNvPr>
        <xdr:cNvSpPr/>
      </xdr:nvSpPr>
      <xdr:spPr>
        <a:xfrm>
          <a:off x="1705118" y="14814550"/>
          <a:ext cx="3026378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J2, Signalisation intracellulaire part 2
08:05-09:25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4</xdr:col>
      <xdr:colOff>969121</xdr:colOff>
      <xdr:row>37</xdr:row>
      <xdr:rowOff>12700</xdr:rowOff>
    </xdr:from>
    <xdr:to>
      <xdr:col>7</xdr:col>
      <xdr:colOff>1037130</xdr:colOff>
      <xdr:row>37</xdr:row>
      <xdr:rowOff>387350</xdr:rowOff>
    </xdr:to>
    <xdr:sp macro="" textlink="">
      <xdr:nvSpPr>
        <xdr:cNvPr id="13588" name="Rechthoek: afgeronde hoeken 13587">
          <a:extLst>
            <a:ext uri="{FF2B5EF4-FFF2-40B4-BE49-F238E27FC236}">
              <a16:creationId xmlns:a16="http://schemas.microsoft.com/office/drawing/2014/main" id="{34D95059-0DBA-8798-20FF-7EB656F8A19A}"/>
            </a:ext>
          </a:extLst>
        </xdr:cNvPr>
        <xdr:cNvSpPr/>
      </xdr:nvSpPr>
      <xdr:spPr>
        <a:xfrm>
          <a:off x="4731496" y="14814550"/>
          <a:ext cx="3468434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J2, Membre supérieur 2 
09:25-10:57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7</xdr:col>
      <xdr:colOff>1037130</xdr:colOff>
      <xdr:row>37</xdr:row>
      <xdr:rowOff>12700</xdr:rowOff>
    </xdr:from>
    <xdr:to>
      <xdr:col>8</xdr:col>
      <xdr:colOff>430721</xdr:colOff>
      <xdr:row>37</xdr:row>
      <xdr:rowOff>387350</xdr:rowOff>
    </xdr:to>
    <xdr:sp macro="" textlink="">
      <xdr:nvSpPr>
        <xdr:cNvPr id="13589" name="Rechthoek: afgeronde hoeken 13588">
          <a:extLst>
            <a:ext uri="{FF2B5EF4-FFF2-40B4-BE49-F238E27FC236}">
              <a16:creationId xmlns:a16="http://schemas.microsoft.com/office/drawing/2014/main" id="{20A14A6D-B40A-8EDD-0F6D-381EDE5E75B3}"/>
            </a:ext>
          </a:extLst>
        </xdr:cNvPr>
        <xdr:cNvSpPr/>
      </xdr:nvSpPr>
      <xdr:spPr>
        <a:xfrm>
          <a:off x="8199930" y="14814550"/>
          <a:ext cx="527066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J15, Acides Aminés- peptides 
10:57-11:11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8</xdr:col>
      <xdr:colOff>430720</xdr:colOff>
      <xdr:row>37</xdr:row>
      <xdr:rowOff>12700</xdr:rowOff>
    </xdr:from>
    <xdr:to>
      <xdr:col>8</xdr:col>
      <xdr:colOff>1110805</xdr:colOff>
      <xdr:row>37</xdr:row>
      <xdr:rowOff>387350</xdr:rowOff>
    </xdr:to>
    <xdr:sp macro="" textlink="">
      <xdr:nvSpPr>
        <xdr:cNvPr id="13590" name="Rechthoek: afgeronde hoeken 13589">
          <a:extLst>
            <a:ext uri="{FF2B5EF4-FFF2-40B4-BE49-F238E27FC236}">
              <a16:creationId xmlns:a16="http://schemas.microsoft.com/office/drawing/2014/main" id="{02EAD5E5-C056-E942-D60A-9E2773A7E250}"/>
            </a:ext>
          </a:extLst>
        </xdr:cNvPr>
        <xdr:cNvSpPr/>
      </xdr:nvSpPr>
      <xdr:spPr>
        <a:xfrm>
          <a:off x="8726995" y="14814550"/>
          <a:ext cx="680085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J15, Intervention rééducation part-2
11:11-11:29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8</xdr:col>
      <xdr:colOff>1110806</xdr:colOff>
      <xdr:row>37</xdr:row>
      <xdr:rowOff>12700</xdr:rowOff>
    </xdr:from>
    <xdr:to>
      <xdr:col>9</xdr:col>
      <xdr:colOff>997458</xdr:colOff>
      <xdr:row>37</xdr:row>
      <xdr:rowOff>387350</xdr:rowOff>
    </xdr:to>
    <xdr:sp macro="" textlink="">
      <xdr:nvSpPr>
        <xdr:cNvPr id="13591" name="Rechthoek: afgeronde hoeken 13590">
          <a:extLst>
            <a:ext uri="{FF2B5EF4-FFF2-40B4-BE49-F238E27FC236}">
              <a16:creationId xmlns:a16="http://schemas.microsoft.com/office/drawing/2014/main" id="{D09B4B5E-49C4-87F2-4F0F-426CB028D29B}"/>
            </a:ext>
          </a:extLst>
        </xdr:cNvPr>
        <xdr:cNvSpPr/>
      </xdr:nvSpPr>
      <xdr:spPr>
        <a:xfrm>
          <a:off x="9407081" y="14814550"/>
          <a:ext cx="1020127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J15, Du chromosome à l'ADN
11:29-11:56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9</xdr:col>
      <xdr:colOff>997458</xdr:colOff>
      <xdr:row>37</xdr:row>
      <xdr:rowOff>12700</xdr:rowOff>
    </xdr:from>
    <xdr:to>
      <xdr:col>10</xdr:col>
      <xdr:colOff>1105138</xdr:colOff>
      <xdr:row>37</xdr:row>
      <xdr:rowOff>387350</xdr:rowOff>
    </xdr:to>
    <xdr:sp macro="" textlink="">
      <xdr:nvSpPr>
        <xdr:cNvPr id="13592" name="Rechthoek: afgeronde hoeken 13591">
          <a:extLst>
            <a:ext uri="{FF2B5EF4-FFF2-40B4-BE49-F238E27FC236}">
              <a16:creationId xmlns:a16="http://schemas.microsoft.com/office/drawing/2014/main" id="{E7530F5B-4C4F-A624-D6E7-30AC75D6E6FC}"/>
            </a:ext>
          </a:extLst>
        </xdr:cNvPr>
        <xdr:cNvSpPr/>
      </xdr:nvSpPr>
      <xdr:spPr>
        <a:xfrm>
          <a:off x="10427208" y="14814550"/>
          <a:ext cx="1241155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J15, corrélation et régression linéaire
11:56-12:29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10</xdr:col>
      <xdr:colOff>1105138</xdr:colOff>
      <xdr:row>37</xdr:row>
      <xdr:rowOff>12700</xdr:rowOff>
    </xdr:from>
    <xdr:to>
      <xdr:col>12</xdr:col>
      <xdr:colOff>232362</xdr:colOff>
      <xdr:row>37</xdr:row>
      <xdr:rowOff>387350</xdr:rowOff>
    </xdr:to>
    <xdr:sp macro="" textlink="">
      <xdr:nvSpPr>
        <xdr:cNvPr id="13593" name="Rechthoek: afgeronde hoeken 13592">
          <a:extLst>
            <a:ext uri="{FF2B5EF4-FFF2-40B4-BE49-F238E27FC236}">
              <a16:creationId xmlns:a16="http://schemas.microsoft.com/office/drawing/2014/main" id="{0ABC52E6-3515-97ED-4446-8D79599FCE2D}"/>
            </a:ext>
          </a:extLst>
        </xdr:cNvPr>
        <xdr:cNvSpPr/>
      </xdr:nvSpPr>
      <xdr:spPr>
        <a:xfrm>
          <a:off x="11668363" y="14814550"/>
          <a:ext cx="1394174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J15, Signalisation intracellulaire part 1
12:29-13:06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12</xdr:col>
      <xdr:colOff>232363</xdr:colOff>
      <xdr:row>37</xdr:row>
      <xdr:rowOff>12700</xdr:rowOff>
    </xdr:from>
    <xdr:to>
      <xdr:col>13</xdr:col>
      <xdr:colOff>782098</xdr:colOff>
      <xdr:row>37</xdr:row>
      <xdr:rowOff>387350</xdr:rowOff>
    </xdr:to>
    <xdr:sp macro="" textlink="">
      <xdr:nvSpPr>
        <xdr:cNvPr id="13594" name="Rechthoek: afgeronde hoeken 13593">
          <a:extLst>
            <a:ext uri="{FF2B5EF4-FFF2-40B4-BE49-F238E27FC236}">
              <a16:creationId xmlns:a16="http://schemas.microsoft.com/office/drawing/2014/main" id="{955541DD-E994-5EFA-8B88-1E0F75185A08}"/>
            </a:ext>
          </a:extLst>
        </xdr:cNvPr>
        <xdr:cNvSpPr/>
      </xdr:nvSpPr>
      <xdr:spPr>
        <a:xfrm>
          <a:off x="13062538" y="14814550"/>
          <a:ext cx="1683210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J15, Régulation et rôle du rein 
13:06-13:50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13</xdr:col>
      <xdr:colOff>782098</xdr:colOff>
      <xdr:row>37</xdr:row>
      <xdr:rowOff>12700</xdr:rowOff>
    </xdr:from>
    <xdr:to>
      <xdr:col>15</xdr:col>
      <xdr:colOff>334375</xdr:colOff>
      <xdr:row>37</xdr:row>
      <xdr:rowOff>387350</xdr:rowOff>
    </xdr:to>
    <xdr:sp macro="" textlink="">
      <xdr:nvSpPr>
        <xdr:cNvPr id="13595" name="Rechthoek: afgeronde hoeken 13594">
          <a:extLst>
            <a:ext uri="{FF2B5EF4-FFF2-40B4-BE49-F238E27FC236}">
              <a16:creationId xmlns:a16="http://schemas.microsoft.com/office/drawing/2014/main" id="{36D9D10E-9AD4-F212-9CFF-E794B6DC4ADC}"/>
            </a:ext>
          </a:extLst>
        </xdr:cNvPr>
        <xdr:cNvSpPr/>
      </xdr:nvSpPr>
      <xdr:spPr>
        <a:xfrm>
          <a:off x="14745748" y="14814550"/>
          <a:ext cx="1819227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J15, Liaisons chimique et interactions moléculaires
13:50-14:38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15</xdr:col>
      <xdr:colOff>334375</xdr:colOff>
      <xdr:row>37</xdr:row>
      <xdr:rowOff>12700</xdr:rowOff>
    </xdr:from>
    <xdr:to>
      <xdr:col>16</xdr:col>
      <xdr:colOff>1071134</xdr:colOff>
      <xdr:row>37</xdr:row>
      <xdr:rowOff>387350</xdr:rowOff>
    </xdr:to>
    <xdr:sp macro="" textlink="">
      <xdr:nvSpPr>
        <xdr:cNvPr id="13596" name="Rechthoek: afgeronde hoeken 13595">
          <a:extLst>
            <a:ext uri="{FF2B5EF4-FFF2-40B4-BE49-F238E27FC236}">
              <a16:creationId xmlns:a16="http://schemas.microsoft.com/office/drawing/2014/main" id="{729CB4B5-3B51-2659-C3B7-8C1D4DD63DBF}"/>
            </a:ext>
          </a:extLst>
        </xdr:cNvPr>
        <xdr:cNvSpPr/>
      </xdr:nvSpPr>
      <xdr:spPr>
        <a:xfrm>
          <a:off x="16564975" y="14814550"/>
          <a:ext cx="1870234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J15, Physiologie et compartiments liquidiens 
14:38-15:28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16</xdr:col>
      <xdr:colOff>1071135</xdr:colOff>
      <xdr:row>37</xdr:row>
      <xdr:rowOff>12700</xdr:rowOff>
    </xdr:from>
    <xdr:to>
      <xdr:col>18</xdr:col>
      <xdr:colOff>119016</xdr:colOff>
      <xdr:row>37</xdr:row>
      <xdr:rowOff>387350</xdr:rowOff>
    </xdr:to>
    <xdr:sp macro="" textlink="">
      <xdr:nvSpPr>
        <xdr:cNvPr id="13597" name="Rechthoek: afgeronde hoeken 13596">
          <a:extLst>
            <a:ext uri="{FF2B5EF4-FFF2-40B4-BE49-F238E27FC236}">
              <a16:creationId xmlns:a16="http://schemas.microsoft.com/office/drawing/2014/main" id="{6742F504-4235-3CE8-33B9-11E0011F0579}"/>
            </a:ext>
          </a:extLst>
        </xdr:cNvPr>
        <xdr:cNvSpPr/>
      </xdr:nvSpPr>
      <xdr:spPr>
        <a:xfrm>
          <a:off x="18435210" y="14814550"/>
          <a:ext cx="1314831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J10, CI du fonctionnement, du handicap et de la santé 
15:28-16:03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18</xdr:col>
      <xdr:colOff>119014</xdr:colOff>
      <xdr:row>37</xdr:row>
      <xdr:rowOff>12700</xdr:rowOff>
    </xdr:from>
    <xdr:to>
      <xdr:col>19</xdr:col>
      <xdr:colOff>753760</xdr:colOff>
      <xdr:row>37</xdr:row>
      <xdr:rowOff>387350</xdr:rowOff>
    </xdr:to>
    <xdr:sp macro="" textlink="">
      <xdr:nvSpPr>
        <xdr:cNvPr id="13598" name="Rechthoek: afgeronde hoeken 13597">
          <a:extLst>
            <a:ext uri="{FF2B5EF4-FFF2-40B4-BE49-F238E27FC236}">
              <a16:creationId xmlns:a16="http://schemas.microsoft.com/office/drawing/2014/main" id="{1923D1EB-84F1-535D-ED15-06E11EE8DDA1}"/>
            </a:ext>
          </a:extLst>
        </xdr:cNvPr>
        <xdr:cNvSpPr/>
      </xdr:nvSpPr>
      <xdr:spPr>
        <a:xfrm>
          <a:off x="19750039" y="14814550"/>
          <a:ext cx="1768221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J10, Jonction neuro-musculaire
16:03-16:49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19</xdr:col>
      <xdr:colOff>753760</xdr:colOff>
      <xdr:row>37</xdr:row>
      <xdr:rowOff>12700</xdr:rowOff>
    </xdr:from>
    <xdr:to>
      <xdr:col>21</xdr:col>
      <xdr:colOff>345709</xdr:colOff>
      <xdr:row>37</xdr:row>
      <xdr:rowOff>387350</xdr:rowOff>
    </xdr:to>
    <xdr:sp macro="" textlink="">
      <xdr:nvSpPr>
        <xdr:cNvPr id="13599" name="Rechthoek: afgeronde hoeken 13598">
          <a:extLst>
            <a:ext uri="{FF2B5EF4-FFF2-40B4-BE49-F238E27FC236}">
              <a16:creationId xmlns:a16="http://schemas.microsoft.com/office/drawing/2014/main" id="{C616F43A-FF95-0A21-F197-3D50745C9A3F}"/>
            </a:ext>
          </a:extLst>
        </xdr:cNvPr>
        <xdr:cNvSpPr/>
      </xdr:nvSpPr>
      <xdr:spPr>
        <a:xfrm>
          <a:off x="21518260" y="14814550"/>
          <a:ext cx="1858899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J10, Culture, corps et santé
16:49-17:39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21</xdr:col>
      <xdr:colOff>345709</xdr:colOff>
      <xdr:row>37</xdr:row>
      <xdr:rowOff>12700</xdr:rowOff>
    </xdr:from>
    <xdr:to>
      <xdr:col>21</xdr:col>
      <xdr:colOff>1133474</xdr:colOff>
      <xdr:row>37</xdr:row>
      <xdr:rowOff>387350</xdr:rowOff>
    </xdr:to>
    <xdr:sp macro="" textlink="">
      <xdr:nvSpPr>
        <xdr:cNvPr id="13600" name="Rechthoek: afgeronde hoeken 13599">
          <a:extLst>
            <a:ext uri="{FF2B5EF4-FFF2-40B4-BE49-F238E27FC236}">
              <a16:creationId xmlns:a16="http://schemas.microsoft.com/office/drawing/2014/main" id="{AB8AF462-B788-CCB7-5C2D-F7ACC0D493F4}"/>
            </a:ext>
          </a:extLst>
        </xdr:cNvPr>
        <xdr:cNvSpPr/>
      </xdr:nvSpPr>
      <xdr:spPr>
        <a:xfrm>
          <a:off x="23377159" y="14814550"/>
          <a:ext cx="787765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J10, Les acides aminés- les oses 
17:39-08:40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38</xdr:row>
      <xdr:rowOff>12700</xdr:rowOff>
    </xdr:from>
    <xdr:to>
      <xdr:col>3</xdr:col>
      <xdr:colOff>391049</xdr:colOff>
      <xdr:row>38</xdr:row>
      <xdr:rowOff>387350</xdr:rowOff>
    </xdr:to>
    <xdr:sp macro="" textlink="">
      <xdr:nvSpPr>
        <xdr:cNvPr id="13601" name="Rechthoek: afgeronde hoeken 13600">
          <a:extLst>
            <a:ext uri="{FF2B5EF4-FFF2-40B4-BE49-F238E27FC236}">
              <a16:creationId xmlns:a16="http://schemas.microsoft.com/office/drawing/2014/main" id="{BC3BDD1E-2E4B-93E0-AB7B-3108583752E1}"/>
            </a:ext>
          </a:extLst>
        </xdr:cNvPr>
        <xdr:cNvSpPr/>
      </xdr:nvSpPr>
      <xdr:spPr>
        <a:xfrm>
          <a:off x="1495425" y="15214600"/>
          <a:ext cx="1524524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J10, Les acides aminés- les oses 
17:39-08:40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391049</xdr:colOff>
      <xdr:row>38</xdr:row>
      <xdr:rowOff>12700</xdr:rowOff>
    </xdr:from>
    <xdr:to>
      <xdr:col>5</xdr:col>
      <xdr:colOff>466614</xdr:colOff>
      <xdr:row>38</xdr:row>
      <xdr:rowOff>387350</xdr:rowOff>
    </xdr:to>
    <xdr:sp macro="" textlink="">
      <xdr:nvSpPr>
        <xdr:cNvPr id="13602" name="Rechthoek: afgeronde hoeken 13601">
          <a:extLst>
            <a:ext uri="{FF2B5EF4-FFF2-40B4-BE49-F238E27FC236}">
              <a16:creationId xmlns:a16="http://schemas.microsoft.com/office/drawing/2014/main" id="{B98488D6-59B3-D342-ACDF-4A2040A4E019}"/>
            </a:ext>
          </a:extLst>
        </xdr:cNvPr>
        <xdr:cNvSpPr/>
      </xdr:nvSpPr>
      <xdr:spPr>
        <a:xfrm>
          <a:off x="3019949" y="15214600"/>
          <a:ext cx="2342515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J0, stats descriptives
08:40-09:42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466614</xdr:colOff>
      <xdr:row>38</xdr:row>
      <xdr:rowOff>12700</xdr:rowOff>
    </xdr:from>
    <xdr:to>
      <xdr:col>7</xdr:col>
      <xdr:colOff>542179</xdr:colOff>
      <xdr:row>38</xdr:row>
      <xdr:rowOff>387350</xdr:rowOff>
    </xdr:to>
    <xdr:sp macro="" textlink="">
      <xdr:nvSpPr>
        <xdr:cNvPr id="13603" name="Rechthoek: afgeronde hoeken 13602">
          <a:extLst>
            <a:ext uri="{FF2B5EF4-FFF2-40B4-BE49-F238E27FC236}">
              <a16:creationId xmlns:a16="http://schemas.microsoft.com/office/drawing/2014/main" id="{2E1EFA40-38B9-26B8-0F58-12DA7F82F9DD}"/>
            </a:ext>
          </a:extLst>
        </xdr:cNvPr>
        <xdr:cNvSpPr/>
      </xdr:nvSpPr>
      <xdr:spPr>
        <a:xfrm>
          <a:off x="5362464" y="15214600"/>
          <a:ext cx="2342515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J0, Cou
09:42-10:44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7</xdr:col>
      <xdr:colOff>542179</xdr:colOff>
      <xdr:row>38</xdr:row>
      <xdr:rowOff>12700</xdr:rowOff>
    </xdr:from>
    <xdr:to>
      <xdr:col>11</xdr:col>
      <xdr:colOff>13224</xdr:colOff>
      <xdr:row>38</xdr:row>
      <xdr:rowOff>387350</xdr:rowOff>
    </xdr:to>
    <xdr:sp macro="" textlink="">
      <xdr:nvSpPr>
        <xdr:cNvPr id="13604" name="Rechthoek: afgeronde hoeken 13603">
          <a:extLst>
            <a:ext uri="{FF2B5EF4-FFF2-40B4-BE49-F238E27FC236}">
              <a16:creationId xmlns:a16="http://schemas.microsoft.com/office/drawing/2014/main" id="{1CF5354F-57F0-5F43-D5CE-35742F9550E0}"/>
            </a:ext>
          </a:extLst>
        </xdr:cNvPr>
        <xdr:cNvSpPr/>
      </xdr:nvSpPr>
      <xdr:spPr>
        <a:xfrm>
          <a:off x="7704979" y="15214600"/>
          <a:ext cx="4004945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J0, Synthèse et dégradation des protéines
10:44-12:30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11</xdr:col>
      <xdr:colOff>13224</xdr:colOff>
      <xdr:row>38</xdr:row>
      <xdr:rowOff>12700</xdr:rowOff>
    </xdr:from>
    <xdr:to>
      <xdr:col>13</xdr:col>
      <xdr:colOff>330597</xdr:colOff>
      <xdr:row>38</xdr:row>
      <xdr:rowOff>387350</xdr:rowOff>
    </xdr:to>
    <xdr:sp macro="" textlink="">
      <xdr:nvSpPr>
        <xdr:cNvPr id="13605" name="Rechthoek: afgeronde hoeken 13604">
          <a:extLst>
            <a:ext uri="{FF2B5EF4-FFF2-40B4-BE49-F238E27FC236}">
              <a16:creationId xmlns:a16="http://schemas.microsoft.com/office/drawing/2014/main" id="{6D6B33BA-5B58-93DA-ECCC-014E9C25A94F}"/>
            </a:ext>
          </a:extLst>
        </xdr:cNvPr>
        <xdr:cNvSpPr/>
      </xdr:nvSpPr>
      <xdr:spPr>
        <a:xfrm>
          <a:off x="11709924" y="15214600"/>
          <a:ext cx="2584323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J2, Appareil locomoteur 2
12:30-13:38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13</xdr:col>
      <xdr:colOff>330597</xdr:colOff>
      <xdr:row>38</xdr:row>
      <xdr:rowOff>12700</xdr:rowOff>
    </xdr:from>
    <xdr:to>
      <xdr:col>16</xdr:col>
      <xdr:colOff>976678</xdr:colOff>
      <xdr:row>38</xdr:row>
      <xdr:rowOff>387350</xdr:rowOff>
    </xdr:to>
    <xdr:sp macro="" textlink="">
      <xdr:nvSpPr>
        <xdr:cNvPr id="13606" name="Rechthoek: afgeronde hoeken 13605">
          <a:extLst>
            <a:ext uri="{FF2B5EF4-FFF2-40B4-BE49-F238E27FC236}">
              <a16:creationId xmlns:a16="http://schemas.microsoft.com/office/drawing/2014/main" id="{1DA9BAEB-D9C1-53FC-91A5-71BF94670146}"/>
            </a:ext>
          </a:extLst>
        </xdr:cNvPr>
        <xdr:cNvSpPr/>
      </xdr:nvSpPr>
      <xdr:spPr>
        <a:xfrm>
          <a:off x="14294247" y="15214600"/>
          <a:ext cx="4046506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J2, Méthode d'évaluation du stress objectif 
13:38-15:25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16</xdr:col>
      <xdr:colOff>976678</xdr:colOff>
      <xdr:row>38</xdr:row>
      <xdr:rowOff>12700</xdr:rowOff>
    </xdr:from>
    <xdr:to>
      <xdr:col>17</xdr:col>
      <xdr:colOff>387271</xdr:colOff>
      <xdr:row>38</xdr:row>
      <xdr:rowOff>387350</xdr:rowOff>
    </xdr:to>
    <xdr:sp macro="" textlink="">
      <xdr:nvSpPr>
        <xdr:cNvPr id="13607" name="Rechthoek: afgeronde hoeken 13606">
          <a:extLst>
            <a:ext uri="{FF2B5EF4-FFF2-40B4-BE49-F238E27FC236}">
              <a16:creationId xmlns:a16="http://schemas.microsoft.com/office/drawing/2014/main" id="{53208D84-85B0-F325-2EDE-8CD363205218}"/>
            </a:ext>
          </a:extLst>
        </xdr:cNvPr>
        <xdr:cNvSpPr/>
      </xdr:nvSpPr>
      <xdr:spPr>
        <a:xfrm>
          <a:off x="18340753" y="15214600"/>
          <a:ext cx="544068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J15, psychologie générale 
15:25-15:40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17</xdr:col>
      <xdr:colOff>387271</xdr:colOff>
      <xdr:row>38</xdr:row>
      <xdr:rowOff>12700</xdr:rowOff>
    </xdr:from>
    <xdr:to>
      <xdr:col>18</xdr:col>
      <xdr:colOff>205915</xdr:colOff>
      <xdr:row>38</xdr:row>
      <xdr:rowOff>387350</xdr:rowOff>
    </xdr:to>
    <xdr:sp macro="" textlink="">
      <xdr:nvSpPr>
        <xdr:cNvPr id="13608" name="Rechthoek: afgeronde hoeken 13607">
          <a:extLst>
            <a:ext uri="{FF2B5EF4-FFF2-40B4-BE49-F238E27FC236}">
              <a16:creationId xmlns:a16="http://schemas.microsoft.com/office/drawing/2014/main" id="{EFA51325-5E8A-D418-E29F-36BE206395D2}"/>
            </a:ext>
          </a:extLst>
        </xdr:cNvPr>
        <xdr:cNvSpPr/>
      </xdr:nvSpPr>
      <xdr:spPr>
        <a:xfrm>
          <a:off x="18884821" y="15214600"/>
          <a:ext cx="952119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J15, schéma d'étude 
15:40-16:05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18</xdr:col>
      <xdr:colOff>205915</xdr:colOff>
      <xdr:row>38</xdr:row>
      <xdr:rowOff>12700</xdr:rowOff>
    </xdr:from>
    <xdr:to>
      <xdr:col>19</xdr:col>
      <xdr:colOff>24559</xdr:colOff>
      <xdr:row>38</xdr:row>
      <xdr:rowOff>387350</xdr:rowOff>
    </xdr:to>
    <xdr:sp macro="" textlink="">
      <xdr:nvSpPr>
        <xdr:cNvPr id="13609" name="Rechthoek: afgeronde hoeken 13608">
          <a:extLst>
            <a:ext uri="{FF2B5EF4-FFF2-40B4-BE49-F238E27FC236}">
              <a16:creationId xmlns:a16="http://schemas.microsoft.com/office/drawing/2014/main" id="{7F494B24-E89D-7114-5C01-9377A24DE99C}"/>
            </a:ext>
          </a:extLst>
        </xdr:cNvPr>
        <xdr:cNvSpPr/>
      </xdr:nvSpPr>
      <xdr:spPr>
        <a:xfrm>
          <a:off x="19836940" y="15214600"/>
          <a:ext cx="952119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J15, Les alcools- les amines
16:05-16:30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19</xdr:col>
      <xdr:colOff>24558</xdr:colOff>
      <xdr:row>38</xdr:row>
      <xdr:rowOff>12700</xdr:rowOff>
    </xdr:from>
    <xdr:to>
      <xdr:col>20</xdr:col>
      <xdr:colOff>625300</xdr:colOff>
      <xdr:row>38</xdr:row>
      <xdr:rowOff>387350</xdr:rowOff>
    </xdr:to>
    <xdr:sp macro="" textlink="">
      <xdr:nvSpPr>
        <xdr:cNvPr id="13610" name="Rechthoek: afgeronde hoeken 13609">
          <a:extLst>
            <a:ext uri="{FF2B5EF4-FFF2-40B4-BE49-F238E27FC236}">
              <a16:creationId xmlns:a16="http://schemas.microsoft.com/office/drawing/2014/main" id="{6AD6E10E-5857-C6F4-1586-04C91D6E547C}"/>
            </a:ext>
          </a:extLst>
        </xdr:cNvPr>
        <xdr:cNvSpPr/>
      </xdr:nvSpPr>
      <xdr:spPr>
        <a:xfrm>
          <a:off x="20789058" y="15214600"/>
          <a:ext cx="1734217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J15, Introduction épidémiologie et stats
16:30-17:16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20</xdr:col>
      <xdr:colOff>625300</xdr:colOff>
      <xdr:row>38</xdr:row>
      <xdr:rowOff>12700</xdr:rowOff>
    </xdr:from>
    <xdr:to>
      <xdr:col>22</xdr:col>
      <xdr:colOff>0</xdr:colOff>
      <xdr:row>38</xdr:row>
      <xdr:rowOff>387350</xdr:rowOff>
    </xdr:to>
    <xdr:sp macro="" textlink="">
      <xdr:nvSpPr>
        <xdr:cNvPr id="13611" name="Rechthoek: afgeronde hoeken 13610">
          <a:extLst>
            <a:ext uri="{FF2B5EF4-FFF2-40B4-BE49-F238E27FC236}">
              <a16:creationId xmlns:a16="http://schemas.microsoft.com/office/drawing/2014/main" id="{B9E38DF2-FDD9-9F80-CD79-11F9C1265F0F}"/>
            </a:ext>
          </a:extLst>
        </xdr:cNvPr>
        <xdr:cNvSpPr/>
      </xdr:nvSpPr>
      <xdr:spPr>
        <a:xfrm>
          <a:off x="22523275" y="15214600"/>
          <a:ext cx="1641650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J15, Intervention rééducation part-5
17:16-08:03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1</xdr:colOff>
      <xdr:row>39</xdr:row>
      <xdr:rowOff>12700</xdr:rowOff>
    </xdr:from>
    <xdr:to>
      <xdr:col>2</xdr:col>
      <xdr:colOff>126572</xdr:colOff>
      <xdr:row>39</xdr:row>
      <xdr:rowOff>387350</xdr:rowOff>
    </xdr:to>
    <xdr:sp macro="" textlink="">
      <xdr:nvSpPr>
        <xdr:cNvPr id="13612" name="Rechthoek: afgeronde hoeken 13611">
          <a:extLst>
            <a:ext uri="{FF2B5EF4-FFF2-40B4-BE49-F238E27FC236}">
              <a16:creationId xmlns:a16="http://schemas.microsoft.com/office/drawing/2014/main" id="{48A117C4-1753-0458-F9F1-D5FDE3699C10}"/>
            </a:ext>
          </a:extLst>
        </xdr:cNvPr>
        <xdr:cNvSpPr/>
      </xdr:nvSpPr>
      <xdr:spPr>
        <a:xfrm>
          <a:off x="1495426" y="15614650"/>
          <a:ext cx="126571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J15, Intervention rééducation part-5
17:16-08:03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126571</xdr:colOff>
      <xdr:row>39</xdr:row>
      <xdr:rowOff>12700</xdr:rowOff>
    </xdr:from>
    <xdr:to>
      <xdr:col>2</xdr:col>
      <xdr:colOff>1033351</xdr:colOff>
      <xdr:row>39</xdr:row>
      <xdr:rowOff>387350</xdr:rowOff>
    </xdr:to>
    <xdr:sp macro="" textlink="">
      <xdr:nvSpPr>
        <xdr:cNvPr id="13613" name="Rechthoek: afgeronde hoeken 13612">
          <a:extLst>
            <a:ext uri="{FF2B5EF4-FFF2-40B4-BE49-F238E27FC236}">
              <a16:creationId xmlns:a16="http://schemas.microsoft.com/office/drawing/2014/main" id="{6AF944F6-077D-1FAB-6AA5-F168439E1827}"/>
            </a:ext>
          </a:extLst>
        </xdr:cNvPr>
        <xdr:cNvSpPr/>
      </xdr:nvSpPr>
      <xdr:spPr>
        <a:xfrm>
          <a:off x="1621996" y="15614650"/>
          <a:ext cx="906780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J10, Structure des glucides 
08:03-08:27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1033351</xdr:colOff>
      <xdr:row>39</xdr:row>
      <xdr:rowOff>12700</xdr:rowOff>
    </xdr:from>
    <xdr:to>
      <xdr:col>4</xdr:col>
      <xdr:colOff>126571</xdr:colOff>
      <xdr:row>39</xdr:row>
      <xdr:rowOff>387350</xdr:rowOff>
    </xdr:to>
    <xdr:sp macro="" textlink="">
      <xdr:nvSpPr>
        <xdr:cNvPr id="13614" name="Rechthoek: afgeronde hoeken 13613">
          <a:extLst>
            <a:ext uri="{FF2B5EF4-FFF2-40B4-BE49-F238E27FC236}">
              <a16:creationId xmlns:a16="http://schemas.microsoft.com/office/drawing/2014/main" id="{16E6BE4D-1DD2-4122-A743-40B871405F7F}"/>
            </a:ext>
          </a:extLst>
        </xdr:cNvPr>
        <xdr:cNvSpPr/>
      </xdr:nvSpPr>
      <xdr:spPr>
        <a:xfrm>
          <a:off x="2528776" y="15614650"/>
          <a:ext cx="1360170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J10, Cytosquellette
08:27-09:03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4</xdr:col>
      <xdr:colOff>126571</xdr:colOff>
      <xdr:row>39</xdr:row>
      <xdr:rowOff>12700</xdr:rowOff>
    </xdr:from>
    <xdr:to>
      <xdr:col>5</xdr:col>
      <xdr:colOff>557292</xdr:colOff>
      <xdr:row>39</xdr:row>
      <xdr:rowOff>387350</xdr:rowOff>
    </xdr:to>
    <xdr:sp macro="" textlink="">
      <xdr:nvSpPr>
        <xdr:cNvPr id="13615" name="Rechthoek: afgeronde hoeken 13614">
          <a:extLst>
            <a:ext uri="{FF2B5EF4-FFF2-40B4-BE49-F238E27FC236}">
              <a16:creationId xmlns:a16="http://schemas.microsoft.com/office/drawing/2014/main" id="{DFDC015B-9368-136C-FB56-0343AB920E24}"/>
            </a:ext>
          </a:extLst>
        </xdr:cNvPr>
        <xdr:cNvSpPr/>
      </xdr:nvSpPr>
      <xdr:spPr>
        <a:xfrm>
          <a:off x="3888946" y="15614650"/>
          <a:ext cx="1564196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J10, Membre supérieur 3
09:03-09:44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557292</xdr:colOff>
      <xdr:row>39</xdr:row>
      <xdr:rowOff>12700</xdr:rowOff>
    </xdr:from>
    <xdr:to>
      <xdr:col>7</xdr:col>
      <xdr:colOff>511953</xdr:colOff>
      <xdr:row>39</xdr:row>
      <xdr:rowOff>387350</xdr:rowOff>
    </xdr:to>
    <xdr:sp macro="" textlink="">
      <xdr:nvSpPr>
        <xdr:cNvPr id="13616" name="Rechthoek: afgeronde hoeken 13615">
          <a:extLst>
            <a:ext uri="{FF2B5EF4-FFF2-40B4-BE49-F238E27FC236}">
              <a16:creationId xmlns:a16="http://schemas.microsoft.com/office/drawing/2014/main" id="{BEB9A3E6-0A30-19F2-1B14-A4B8E6155D02}"/>
            </a:ext>
          </a:extLst>
        </xdr:cNvPr>
        <xdr:cNvSpPr/>
      </xdr:nvSpPr>
      <xdr:spPr>
        <a:xfrm>
          <a:off x="5453142" y="15614650"/>
          <a:ext cx="2221611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J10, Dos
09:44-10:43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7</xdr:col>
      <xdr:colOff>511953</xdr:colOff>
      <xdr:row>39</xdr:row>
      <xdr:rowOff>12700</xdr:rowOff>
    </xdr:from>
    <xdr:to>
      <xdr:col>9</xdr:col>
      <xdr:colOff>511953</xdr:colOff>
      <xdr:row>39</xdr:row>
      <xdr:rowOff>387350</xdr:rowOff>
    </xdr:to>
    <xdr:sp macro="" textlink="">
      <xdr:nvSpPr>
        <xdr:cNvPr id="13617" name="Rechthoek: afgeronde hoeken 13616">
          <a:extLst>
            <a:ext uri="{FF2B5EF4-FFF2-40B4-BE49-F238E27FC236}">
              <a16:creationId xmlns:a16="http://schemas.microsoft.com/office/drawing/2014/main" id="{58D7EFDD-D926-D302-E320-700930053641}"/>
            </a:ext>
          </a:extLst>
        </xdr:cNvPr>
        <xdr:cNvSpPr/>
      </xdr:nvSpPr>
      <xdr:spPr>
        <a:xfrm>
          <a:off x="7674753" y="15614650"/>
          <a:ext cx="2266950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J10, Le domaine de l'optique 
10:43-11:43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9</xdr:col>
      <xdr:colOff>511953</xdr:colOff>
      <xdr:row>39</xdr:row>
      <xdr:rowOff>12700</xdr:rowOff>
    </xdr:from>
    <xdr:to>
      <xdr:col>11</xdr:col>
      <xdr:colOff>511953</xdr:colOff>
      <xdr:row>39</xdr:row>
      <xdr:rowOff>387350</xdr:rowOff>
    </xdr:to>
    <xdr:sp macro="" textlink="">
      <xdr:nvSpPr>
        <xdr:cNvPr id="13618" name="Rechthoek: afgeronde hoeken 13617">
          <a:extLst>
            <a:ext uri="{FF2B5EF4-FFF2-40B4-BE49-F238E27FC236}">
              <a16:creationId xmlns:a16="http://schemas.microsoft.com/office/drawing/2014/main" id="{7199A0AE-D2DB-7FBC-AC20-758C3269836A}"/>
            </a:ext>
          </a:extLst>
        </xdr:cNvPr>
        <xdr:cNvSpPr/>
      </xdr:nvSpPr>
      <xdr:spPr>
        <a:xfrm>
          <a:off x="9941703" y="15614650"/>
          <a:ext cx="2266950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J10, Rayons X et gamma-Rayonnement particulaire
11:43-12:43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11</xdr:col>
      <xdr:colOff>511953</xdr:colOff>
      <xdr:row>39</xdr:row>
      <xdr:rowOff>12700</xdr:rowOff>
    </xdr:from>
    <xdr:to>
      <xdr:col>13</xdr:col>
      <xdr:colOff>511953</xdr:colOff>
      <xdr:row>39</xdr:row>
      <xdr:rowOff>387350</xdr:rowOff>
    </xdr:to>
    <xdr:sp macro="" textlink="">
      <xdr:nvSpPr>
        <xdr:cNvPr id="13619" name="Rechthoek: afgeronde hoeken 13618">
          <a:extLst>
            <a:ext uri="{FF2B5EF4-FFF2-40B4-BE49-F238E27FC236}">
              <a16:creationId xmlns:a16="http://schemas.microsoft.com/office/drawing/2014/main" id="{A119514A-2EBD-9753-43D0-741F31F7FD5A}"/>
            </a:ext>
          </a:extLst>
        </xdr:cNvPr>
        <xdr:cNvSpPr/>
      </xdr:nvSpPr>
      <xdr:spPr>
        <a:xfrm>
          <a:off x="12208653" y="15614650"/>
          <a:ext cx="2266950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J10, Tête
12:43-13:43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13</xdr:col>
      <xdr:colOff>511953</xdr:colOff>
      <xdr:row>39</xdr:row>
      <xdr:rowOff>12700</xdr:rowOff>
    </xdr:from>
    <xdr:to>
      <xdr:col>15</xdr:col>
      <xdr:colOff>483616</xdr:colOff>
      <xdr:row>39</xdr:row>
      <xdr:rowOff>387350</xdr:rowOff>
    </xdr:to>
    <xdr:sp macro="" textlink="">
      <xdr:nvSpPr>
        <xdr:cNvPr id="13620" name="Rechthoek: afgeronde hoeken 13619">
          <a:extLst>
            <a:ext uri="{FF2B5EF4-FFF2-40B4-BE49-F238E27FC236}">
              <a16:creationId xmlns:a16="http://schemas.microsoft.com/office/drawing/2014/main" id="{AAB00C76-7998-1260-BF7A-92FEB2DEFF5C}"/>
            </a:ext>
          </a:extLst>
        </xdr:cNvPr>
        <xdr:cNvSpPr/>
      </xdr:nvSpPr>
      <xdr:spPr>
        <a:xfrm>
          <a:off x="14475603" y="15614650"/>
          <a:ext cx="2238613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J6, Appareil locomoteur 1
13:43-14:42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15</xdr:col>
      <xdr:colOff>483615</xdr:colOff>
      <xdr:row>39</xdr:row>
      <xdr:rowOff>12700</xdr:rowOff>
    </xdr:from>
    <xdr:to>
      <xdr:col>18</xdr:col>
      <xdr:colOff>143573</xdr:colOff>
      <xdr:row>39</xdr:row>
      <xdr:rowOff>387350</xdr:rowOff>
    </xdr:to>
    <xdr:sp macro="" textlink="">
      <xdr:nvSpPr>
        <xdr:cNvPr id="13621" name="Rechthoek: afgeronde hoeken 13620">
          <a:extLst>
            <a:ext uri="{FF2B5EF4-FFF2-40B4-BE49-F238E27FC236}">
              <a16:creationId xmlns:a16="http://schemas.microsoft.com/office/drawing/2014/main" id="{6E4FB9C9-570E-46A9-3EE8-5620908DA686}"/>
            </a:ext>
          </a:extLst>
        </xdr:cNvPr>
        <xdr:cNvSpPr/>
      </xdr:nvSpPr>
      <xdr:spPr>
        <a:xfrm>
          <a:off x="16714215" y="15614650"/>
          <a:ext cx="3060383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J6, Réplication de l'ADN
14:42-16:03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18</xdr:col>
      <xdr:colOff>143574</xdr:colOff>
      <xdr:row>39</xdr:row>
      <xdr:rowOff>12700</xdr:rowOff>
    </xdr:from>
    <xdr:to>
      <xdr:col>18</xdr:col>
      <xdr:colOff>857663</xdr:colOff>
      <xdr:row>39</xdr:row>
      <xdr:rowOff>387350</xdr:rowOff>
    </xdr:to>
    <xdr:sp macro="" textlink="">
      <xdr:nvSpPr>
        <xdr:cNvPr id="13622" name="Rechthoek: afgeronde hoeken 13621">
          <a:extLst>
            <a:ext uri="{FF2B5EF4-FFF2-40B4-BE49-F238E27FC236}">
              <a16:creationId xmlns:a16="http://schemas.microsoft.com/office/drawing/2014/main" id="{BB5D763E-81AB-5C36-59A9-07F21F3F58F6}"/>
            </a:ext>
          </a:extLst>
        </xdr:cNvPr>
        <xdr:cNvSpPr/>
      </xdr:nvSpPr>
      <xdr:spPr>
        <a:xfrm>
          <a:off x="19774599" y="15614650"/>
          <a:ext cx="714089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J30, Intervention rééducation part-1 
16:03-16:22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18</xdr:col>
      <xdr:colOff>857662</xdr:colOff>
      <xdr:row>39</xdr:row>
      <xdr:rowOff>12700</xdr:rowOff>
    </xdr:from>
    <xdr:to>
      <xdr:col>20</xdr:col>
      <xdr:colOff>698976</xdr:colOff>
      <xdr:row>39</xdr:row>
      <xdr:rowOff>387350</xdr:rowOff>
    </xdr:to>
    <xdr:sp macro="" textlink="">
      <xdr:nvSpPr>
        <xdr:cNvPr id="13623" name="Rechthoek: afgeronde hoeken 13622">
          <a:extLst>
            <a:ext uri="{FF2B5EF4-FFF2-40B4-BE49-F238E27FC236}">
              <a16:creationId xmlns:a16="http://schemas.microsoft.com/office/drawing/2014/main" id="{19CA1F95-B2DC-3823-167A-EB669CC61881}"/>
            </a:ext>
          </a:extLst>
        </xdr:cNvPr>
        <xdr:cNvSpPr/>
      </xdr:nvSpPr>
      <xdr:spPr>
        <a:xfrm>
          <a:off x="20488687" y="15614650"/>
          <a:ext cx="2108264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J2, stats descriptives
16:22-17:18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20</xdr:col>
      <xdr:colOff>698976</xdr:colOff>
      <xdr:row>39</xdr:row>
      <xdr:rowOff>12700</xdr:rowOff>
    </xdr:from>
    <xdr:to>
      <xdr:col>22</xdr:col>
      <xdr:colOff>0</xdr:colOff>
      <xdr:row>39</xdr:row>
      <xdr:rowOff>387350</xdr:rowOff>
    </xdr:to>
    <xdr:sp macro="" textlink="">
      <xdr:nvSpPr>
        <xdr:cNvPr id="13624" name="Rechthoek: afgeronde hoeken 13623">
          <a:extLst>
            <a:ext uri="{FF2B5EF4-FFF2-40B4-BE49-F238E27FC236}">
              <a16:creationId xmlns:a16="http://schemas.microsoft.com/office/drawing/2014/main" id="{CE0CDE5B-5094-F540-2265-81D50E0A0F02}"/>
            </a:ext>
          </a:extLst>
        </xdr:cNvPr>
        <xdr:cNvSpPr/>
      </xdr:nvSpPr>
      <xdr:spPr>
        <a:xfrm>
          <a:off x="22596951" y="15614650"/>
          <a:ext cx="1567974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J2, Cou
17:18-08:14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40</xdr:row>
      <xdr:rowOff>12700</xdr:rowOff>
    </xdr:from>
    <xdr:to>
      <xdr:col>2</xdr:col>
      <xdr:colOff>540290</xdr:colOff>
      <xdr:row>40</xdr:row>
      <xdr:rowOff>387350</xdr:rowOff>
    </xdr:to>
    <xdr:sp macro="" textlink="">
      <xdr:nvSpPr>
        <xdr:cNvPr id="13625" name="Rechthoek: afgeronde hoeken 13624">
          <a:extLst>
            <a:ext uri="{FF2B5EF4-FFF2-40B4-BE49-F238E27FC236}">
              <a16:creationId xmlns:a16="http://schemas.microsoft.com/office/drawing/2014/main" id="{FEE35371-EDCD-9941-9E0C-9872ADCCE3C1}"/>
            </a:ext>
          </a:extLst>
        </xdr:cNvPr>
        <xdr:cNvSpPr/>
      </xdr:nvSpPr>
      <xdr:spPr>
        <a:xfrm>
          <a:off x="1495425" y="16014700"/>
          <a:ext cx="540290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J2, Cou
17:18-08:14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540290</xdr:colOff>
      <xdr:row>40</xdr:row>
      <xdr:rowOff>12700</xdr:rowOff>
    </xdr:from>
    <xdr:to>
      <xdr:col>5</xdr:col>
      <xdr:colOff>744316</xdr:colOff>
      <xdr:row>40</xdr:row>
      <xdr:rowOff>387350</xdr:rowOff>
    </xdr:to>
    <xdr:sp macro="" textlink="">
      <xdr:nvSpPr>
        <xdr:cNvPr id="13626" name="Rechthoek: afgeronde hoeken 13625">
          <a:extLst>
            <a:ext uri="{FF2B5EF4-FFF2-40B4-BE49-F238E27FC236}">
              <a16:creationId xmlns:a16="http://schemas.microsoft.com/office/drawing/2014/main" id="{EF46E6FD-F6B6-4E40-0131-DA1793420088}"/>
            </a:ext>
          </a:extLst>
        </xdr:cNvPr>
        <xdr:cNvSpPr/>
      </xdr:nvSpPr>
      <xdr:spPr>
        <a:xfrm>
          <a:off x="2035715" y="16014700"/>
          <a:ext cx="3604451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J2, Synthèse et dégradation des protéines
08:14-09:49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744315</xdr:colOff>
      <xdr:row>40</xdr:row>
      <xdr:rowOff>12700</xdr:rowOff>
    </xdr:from>
    <xdr:to>
      <xdr:col>6</xdr:col>
      <xdr:colOff>381603</xdr:colOff>
      <xdr:row>40</xdr:row>
      <xdr:rowOff>387350</xdr:rowOff>
    </xdr:to>
    <xdr:sp macro="" textlink="">
      <xdr:nvSpPr>
        <xdr:cNvPr id="13627" name="Rechthoek: afgeronde hoeken 13626">
          <a:extLst>
            <a:ext uri="{FF2B5EF4-FFF2-40B4-BE49-F238E27FC236}">
              <a16:creationId xmlns:a16="http://schemas.microsoft.com/office/drawing/2014/main" id="{57D68F9B-8DCC-A801-81F2-07F7DDFF24FA}"/>
            </a:ext>
          </a:extLst>
        </xdr:cNvPr>
        <xdr:cNvSpPr/>
      </xdr:nvSpPr>
      <xdr:spPr>
        <a:xfrm>
          <a:off x="5640165" y="16014700"/>
          <a:ext cx="770763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J10, Membre supérieur 1
09:49-10:10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6</xdr:col>
      <xdr:colOff>381603</xdr:colOff>
      <xdr:row>40</xdr:row>
      <xdr:rowOff>12700</xdr:rowOff>
    </xdr:from>
    <xdr:to>
      <xdr:col>7</xdr:col>
      <xdr:colOff>64230</xdr:colOff>
      <xdr:row>40</xdr:row>
      <xdr:rowOff>387350</xdr:rowOff>
    </xdr:to>
    <xdr:sp macro="" textlink="">
      <xdr:nvSpPr>
        <xdr:cNvPr id="13628" name="Rechthoek: afgeronde hoeken 13627">
          <a:extLst>
            <a:ext uri="{FF2B5EF4-FFF2-40B4-BE49-F238E27FC236}">
              <a16:creationId xmlns:a16="http://schemas.microsoft.com/office/drawing/2014/main" id="{F07F470D-1FB1-BEC5-D94B-E035E2925A2C}"/>
            </a:ext>
          </a:extLst>
        </xdr:cNvPr>
        <xdr:cNvSpPr/>
      </xdr:nvSpPr>
      <xdr:spPr>
        <a:xfrm>
          <a:off x="6410928" y="16014700"/>
          <a:ext cx="816102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J10, pH et équilibre acido basique d'une solution
10:10-10:31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7</xdr:col>
      <xdr:colOff>64230</xdr:colOff>
      <xdr:row>40</xdr:row>
      <xdr:rowOff>12700</xdr:rowOff>
    </xdr:from>
    <xdr:to>
      <xdr:col>8</xdr:col>
      <xdr:colOff>517620</xdr:colOff>
      <xdr:row>40</xdr:row>
      <xdr:rowOff>387350</xdr:rowOff>
    </xdr:to>
    <xdr:sp macro="" textlink="">
      <xdr:nvSpPr>
        <xdr:cNvPr id="13629" name="Rechthoek: afgeronde hoeken 13628">
          <a:extLst>
            <a:ext uri="{FF2B5EF4-FFF2-40B4-BE49-F238E27FC236}">
              <a16:creationId xmlns:a16="http://schemas.microsoft.com/office/drawing/2014/main" id="{3B2024AD-0D31-7648-228C-B6273BB24CEF}"/>
            </a:ext>
          </a:extLst>
        </xdr:cNvPr>
        <xdr:cNvSpPr/>
      </xdr:nvSpPr>
      <xdr:spPr>
        <a:xfrm>
          <a:off x="7227030" y="16014700"/>
          <a:ext cx="1586865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J10, système nerveux autonome 
10:31-11:13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8</xdr:col>
      <xdr:colOff>517620</xdr:colOff>
      <xdr:row>40</xdr:row>
      <xdr:rowOff>12700</xdr:rowOff>
    </xdr:from>
    <xdr:to>
      <xdr:col>9</xdr:col>
      <xdr:colOff>1107027</xdr:colOff>
      <xdr:row>40</xdr:row>
      <xdr:rowOff>387350</xdr:rowOff>
    </xdr:to>
    <xdr:sp macro="" textlink="">
      <xdr:nvSpPr>
        <xdr:cNvPr id="13630" name="Rechthoek: afgeronde hoeken 13629">
          <a:extLst>
            <a:ext uri="{FF2B5EF4-FFF2-40B4-BE49-F238E27FC236}">
              <a16:creationId xmlns:a16="http://schemas.microsoft.com/office/drawing/2014/main" id="{F2844EE9-862D-EF54-E8AE-D1C2DBA6D51C}"/>
            </a:ext>
          </a:extLst>
        </xdr:cNvPr>
        <xdr:cNvSpPr/>
      </xdr:nvSpPr>
      <xdr:spPr>
        <a:xfrm>
          <a:off x="8813895" y="16014700"/>
          <a:ext cx="1722882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J10, Maladies, itinéraire thérapeutique
11:13-11:59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9</xdr:col>
      <xdr:colOff>1107027</xdr:colOff>
      <xdr:row>40</xdr:row>
      <xdr:rowOff>12700</xdr:rowOff>
    </xdr:from>
    <xdr:to>
      <xdr:col>11</xdr:col>
      <xdr:colOff>834993</xdr:colOff>
      <xdr:row>40</xdr:row>
      <xdr:rowOff>387350</xdr:rowOff>
    </xdr:to>
    <xdr:sp macro="" textlink="">
      <xdr:nvSpPr>
        <xdr:cNvPr id="13631" name="Rechthoek: afgeronde hoeken 13630">
          <a:extLst>
            <a:ext uri="{FF2B5EF4-FFF2-40B4-BE49-F238E27FC236}">
              <a16:creationId xmlns:a16="http://schemas.microsoft.com/office/drawing/2014/main" id="{3BAE651E-C639-5275-021A-878F1A6B5F1C}"/>
            </a:ext>
          </a:extLst>
        </xdr:cNvPr>
        <xdr:cNvSpPr/>
      </xdr:nvSpPr>
      <xdr:spPr>
        <a:xfrm>
          <a:off x="10536777" y="16014700"/>
          <a:ext cx="1994916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J10, Nomenclature chimique- Isomérie 
11:59-12:52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11</xdr:col>
      <xdr:colOff>834993</xdr:colOff>
      <xdr:row>40</xdr:row>
      <xdr:rowOff>12700</xdr:rowOff>
    </xdr:from>
    <xdr:to>
      <xdr:col>13</xdr:col>
      <xdr:colOff>239919</xdr:colOff>
      <xdr:row>40</xdr:row>
      <xdr:rowOff>387350</xdr:rowOff>
    </xdr:to>
    <xdr:sp macro="" textlink="">
      <xdr:nvSpPr>
        <xdr:cNvPr id="13632" name="Rechthoek: afgeronde hoeken 13631">
          <a:extLst>
            <a:ext uri="{FF2B5EF4-FFF2-40B4-BE49-F238E27FC236}">
              <a16:creationId xmlns:a16="http://schemas.microsoft.com/office/drawing/2014/main" id="{34B9617A-F674-ABEC-A4FE-1B3C6E72E7BA}"/>
            </a:ext>
          </a:extLst>
        </xdr:cNvPr>
        <xdr:cNvSpPr/>
      </xdr:nvSpPr>
      <xdr:spPr>
        <a:xfrm>
          <a:off x="12531693" y="16014700"/>
          <a:ext cx="1671876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J6, Sociologie de la profession médicale
12:52-13:36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13</xdr:col>
      <xdr:colOff>239919</xdr:colOff>
      <xdr:row>40</xdr:row>
      <xdr:rowOff>12700</xdr:rowOff>
    </xdr:from>
    <xdr:to>
      <xdr:col>16</xdr:col>
      <xdr:colOff>69898</xdr:colOff>
      <xdr:row>40</xdr:row>
      <xdr:rowOff>387350</xdr:rowOff>
    </xdr:to>
    <xdr:sp macro="" textlink="">
      <xdr:nvSpPr>
        <xdr:cNvPr id="13633" name="Rechthoek: afgeronde hoeken 13632">
          <a:extLst>
            <a:ext uri="{FF2B5EF4-FFF2-40B4-BE49-F238E27FC236}">
              <a16:creationId xmlns:a16="http://schemas.microsoft.com/office/drawing/2014/main" id="{E2B4331D-A614-A967-C9D5-9D10506E58B7}"/>
            </a:ext>
          </a:extLst>
        </xdr:cNvPr>
        <xdr:cNvSpPr/>
      </xdr:nvSpPr>
      <xdr:spPr>
        <a:xfrm>
          <a:off x="14203569" y="16014700"/>
          <a:ext cx="3230404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J6, Structure et role des nucléotides
13:36-15:01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16</xdr:col>
      <xdr:colOff>69898</xdr:colOff>
      <xdr:row>40</xdr:row>
      <xdr:rowOff>12700</xdr:rowOff>
    </xdr:from>
    <xdr:to>
      <xdr:col>19</xdr:col>
      <xdr:colOff>13224</xdr:colOff>
      <xdr:row>40</xdr:row>
      <xdr:rowOff>387350</xdr:rowOff>
    </xdr:to>
    <xdr:sp macro="" textlink="">
      <xdr:nvSpPr>
        <xdr:cNvPr id="13634" name="Rechthoek: afgeronde hoeken 13633">
          <a:extLst>
            <a:ext uri="{FF2B5EF4-FFF2-40B4-BE49-F238E27FC236}">
              <a16:creationId xmlns:a16="http://schemas.microsoft.com/office/drawing/2014/main" id="{C672FBEF-5B7B-7FB0-2A56-A93A0C7C8724}"/>
            </a:ext>
          </a:extLst>
        </xdr:cNvPr>
        <xdr:cNvSpPr/>
      </xdr:nvSpPr>
      <xdr:spPr>
        <a:xfrm>
          <a:off x="17433973" y="16014700"/>
          <a:ext cx="3343751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J6, évolution des conceptions relatives au stress
15:01-16:30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19</xdr:col>
      <xdr:colOff>13224</xdr:colOff>
      <xdr:row>40</xdr:row>
      <xdr:rowOff>12700</xdr:rowOff>
    </xdr:from>
    <xdr:to>
      <xdr:col>21</xdr:col>
      <xdr:colOff>428832</xdr:colOff>
      <xdr:row>40</xdr:row>
      <xdr:rowOff>387350</xdr:rowOff>
    </xdr:to>
    <xdr:sp macro="" textlink="">
      <xdr:nvSpPr>
        <xdr:cNvPr id="13635" name="Rechthoek: afgeronde hoeken 13634">
          <a:extLst>
            <a:ext uri="{FF2B5EF4-FFF2-40B4-BE49-F238E27FC236}">
              <a16:creationId xmlns:a16="http://schemas.microsoft.com/office/drawing/2014/main" id="{1871DC7E-BEB0-C20B-4283-5204E5BD1D5D}"/>
            </a:ext>
          </a:extLst>
        </xdr:cNvPr>
        <xdr:cNvSpPr/>
      </xdr:nvSpPr>
      <xdr:spPr>
        <a:xfrm>
          <a:off x="20777724" y="16014700"/>
          <a:ext cx="2682558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J0, Prévention-Alla 
16:30-17:41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21</xdr:col>
      <xdr:colOff>428831</xdr:colOff>
      <xdr:row>40</xdr:row>
      <xdr:rowOff>12700</xdr:rowOff>
    </xdr:from>
    <xdr:to>
      <xdr:col>22</xdr:col>
      <xdr:colOff>0</xdr:colOff>
      <xdr:row>40</xdr:row>
      <xdr:rowOff>387350</xdr:rowOff>
    </xdr:to>
    <xdr:sp macro="" textlink="">
      <xdr:nvSpPr>
        <xdr:cNvPr id="13636" name="Rechthoek: afgeronde hoeken 13635">
          <a:extLst>
            <a:ext uri="{FF2B5EF4-FFF2-40B4-BE49-F238E27FC236}">
              <a16:creationId xmlns:a16="http://schemas.microsoft.com/office/drawing/2014/main" id="{C283EE2A-6874-EC1C-279D-B9DFAF69DC6F}"/>
            </a:ext>
          </a:extLst>
        </xdr:cNvPr>
        <xdr:cNvSpPr/>
      </xdr:nvSpPr>
      <xdr:spPr>
        <a:xfrm>
          <a:off x="23460281" y="16014700"/>
          <a:ext cx="704644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J0, Transports membranaires
17:41-08:52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41</xdr:row>
      <xdr:rowOff>12700</xdr:rowOff>
    </xdr:from>
    <xdr:to>
      <xdr:col>3</xdr:col>
      <xdr:colOff>844439</xdr:colOff>
      <xdr:row>41</xdr:row>
      <xdr:rowOff>387350</xdr:rowOff>
    </xdr:to>
    <xdr:sp macro="" textlink="">
      <xdr:nvSpPr>
        <xdr:cNvPr id="13637" name="Rechthoek: afgeronde hoeken 13636">
          <a:extLst>
            <a:ext uri="{FF2B5EF4-FFF2-40B4-BE49-F238E27FC236}">
              <a16:creationId xmlns:a16="http://schemas.microsoft.com/office/drawing/2014/main" id="{FAFAA245-EA39-B7E0-431B-13651DF74A17}"/>
            </a:ext>
          </a:extLst>
        </xdr:cNvPr>
        <xdr:cNvSpPr/>
      </xdr:nvSpPr>
      <xdr:spPr>
        <a:xfrm>
          <a:off x="1495425" y="16414750"/>
          <a:ext cx="1977914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J0, Transports membranaires
17:41-08:52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844439</xdr:colOff>
      <xdr:row>41</xdr:row>
      <xdr:rowOff>12700</xdr:rowOff>
    </xdr:from>
    <xdr:to>
      <xdr:col>4</xdr:col>
      <xdr:colOff>1127808</xdr:colOff>
      <xdr:row>41</xdr:row>
      <xdr:rowOff>387350</xdr:rowOff>
    </xdr:to>
    <xdr:sp macro="" textlink="">
      <xdr:nvSpPr>
        <xdr:cNvPr id="13638" name="Rechthoek: afgeronde hoeken 13637">
          <a:extLst>
            <a:ext uri="{FF2B5EF4-FFF2-40B4-BE49-F238E27FC236}">
              <a16:creationId xmlns:a16="http://schemas.microsoft.com/office/drawing/2014/main" id="{FA424FB8-BB5A-D94A-A8AB-4B04674F6063}"/>
            </a:ext>
          </a:extLst>
        </xdr:cNvPr>
        <xdr:cNvSpPr/>
      </xdr:nvSpPr>
      <xdr:spPr>
        <a:xfrm>
          <a:off x="3473339" y="16414750"/>
          <a:ext cx="1416844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J6, Appareil locomoteur 3
08:52-09:29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4</xdr:col>
      <xdr:colOff>1127808</xdr:colOff>
      <xdr:row>41</xdr:row>
      <xdr:rowOff>12700</xdr:rowOff>
    </xdr:from>
    <xdr:to>
      <xdr:col>6</xdr:col>
      <xdr:colOff>561071</xdr:colOff>
      <xdr:row>41</xdr:row>
      <xdr:rowOff>387350</xdr:rowOff>
    </xdr:to>
    <xdr:sp macro="" textlink="">
      <xdr:nvSpPr>
        <xdr:cNvPr id="13639" name="Rechthoek: afgeronde hoeken 13638">
          <a:extLst>
            <a:ext uri="{FF2B5EF4-FFF2-40B4-BE49-F238E27FC236}">
              <a16:creationId xmlns:a16="http://schemas.microsoft.com/office/drawing/2014/main" id="{8A88D07E-830F-971F-40BE-F69095B9B2B0}"/>
            </a:ext>
          </a:extLst>
        </xdr:cNvPr>
        <xdr:cNvSpPr/>
      </xdr:nvSpPr>
      <xdr:spPr>
        <a:xfrm>
          <a:off x="4890183" y="16414750"/>
          <a:ext cx="1700213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J6, tests stats et méthodologie de choix de test 
09:29-10:14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6</xdr:col>
      <xdr:colOff>561070</xdr:colOff>
      <xdr:row>41</xdr:row>
      <xdr:rowOff>12700</xdr:rowOff>
    </xdr:from>
    <xdr:to>
      <xdr:col>8</xdr:col>
      <xdr:colOff>816102</xdr:colOff>
      <xdr:row>41</xdr:row>
      <xdr:rowOff>387350</xdr:rowOff>
    </xdr:to>
    <xdr:sp macro="" textlink="">
      <xdr:nvSpPr>
        <xdr:cNvPr id="13640" name="Rechthoek: afgeronde hoeken 13639">
          <a:extLst>
            <a:ext uri="{FF2B5EF4-FFF2-40B4-BE49-F238E27FC236}">
              <a16:creationId xmlns:a16="http://schemas.microsoft.com/office/drawing/2014/main" id="{EDD544A0-297D-63B2-EE6C-A7120F889114}"/>
            </a:ext>
          </a:extLst>
        </xdr:cNvPr>
        <xdr:cNvSpPr/>
      </xdr:nvSpPr>
      <xdr:spPr>
        <a:xfrm>
          <a:off x="6590395" y="16414750"/>
          <a:ext cx="2521982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J6, Signalisation intracellulaire part 2
10:14-11:21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8</xdr:col>
      <xdr:colOff>816102</xdr:colOff>
      <xdr:row>41</xdr:row>
      <xdr:rowOff>12700</xdr:rowOff>
    </xdr:from>
    <xdr:to>
      <xdr:col>11</xdr:col>
      <xdr:colOff>306038</xdr:colOff>
      <xdr:row>41</xdr:row>
      <xdr:rowOff>387350</xdr:rowOff>
    </xdr:to>
    <xdr:sp macro="" textlink="">
      <xdr:nvSpPr>
        <xdr:cNvPr id="13641" name="Rechthoek: afgeronde hoeken 13640">
          <a:extLst>
            <a:ext uri="{FF2B5EF4-FFF2-40B4-BE49-F238E27FC236}">
              <a16:creationId xmlns:a16="http://schemas.microsoft.com/office/drawing/2014/main" id="{75436255-FC8B-569D-CCC0-E782D3718011}"/>
            </a:ext>
          </a:extLst>
        </xdr:cNvPr>
        <xdr:cNvSpPr/>
      </xdr:nvSpPr>
      <xdr:spPr>
        <a:xfrm>
          <a:off x="9112377" y="16414750"/>
          <a:ext cx="2890361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J6, Membre supérieur 2 
11:21-12:38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11</xdr:col>
      <xdr:colOff>306038</xdr:colOff>
      <xdr:row>41</xdr:row>
      <xdr:rowOff>12700</xdr:rowOff>
    </xdr:from>
    <xdr:to>
      <xdr:col>11</xdr:col>
      <xdr:colOff>867108</xdr:colOff>
      <xdr:row>41</xdr:row>
      <xdr:rowOff>387350</xdr:rowOff>
    </xdr:to>
    <xdr:sp macro="" textlink="">
      <xdr:nvSpPr>
        <xdr:cNvPr id="13642" name="Rechthoek: afgeronde hoeken 13641">
          <a:extLst>
            <a:ext uri="{FF2B5EF4-FFF2-40B4-BE49-F238E27FC236}">
              <a16:creationId xmlns:a16="http://schemas.microsoft.com/office/drawing/2014/main" id="{D97CEE8F-8160-F0A9-293C-5DF4A7FEE1B8}"/>
            </a:ext>
          </a:extLst>
        </xdr:cNvPr>
        <xdr:cNvSpPr/>
      </xdr:nvSpPr>
      <xdr:spPr>
        <a:xfrm>
          <a:off x="12002738" y="16414750"/>
          <a:ext cx="561070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J15, Transport intracellulaire et trafic vésiculaire 
12:38-12:52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11</xdr:col>
      <xdr:colOff>867108</xdr:colOff>
      <xdr:row>41</xdr:row>
      <xdr:rowOff>12700</xdr:rowOff>
    </xdr:from>
    <xdr:to>
      <xdr:col>13</xdr:col>
      <xdr:colOff>470392</xdr:colOff>
      <xdr:row>41</xdr:row>
      <xdr:rowOff>387350</xdr:rowOff>
    </xdr:to>
    <xdr:sp macro="" textlink="">
      <xdr:nvSpPr>
        <xdr:cNvPr id="13643" name="Rechthoek: afgeronde hoeken 13642">
          <a:extLst>
            <a:ext uri="{FF2B5EF4-FFF2-40B4-BE49-F238E27FC236}">
              <a16:creationId xmlns:a16="http://schemas.microsoft.com/office/drawing/2014/main" id="{4FB6CE0B-5FDB-4DC0-7557-3EEF96B3BB7D}"/>
            </a:ext>
          </a:extLst>
        </xdr:cNvPr>
        <xdr:cNvSpPr/>
      </xdr:nvSpPr>
      <xdr:spPr>
        <a:xfrm>
          <a:off x="12563808" y="16414750"/>
          <a:ext cx="1870234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J15, Membre inférieur 1
12:52-13:42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13</xdr:col>
      <xdr:colOff>470391</xdr:colOff>
      <xdr:row>41</xdr:row>
      <xdr:rowOff>12700</xdr:rowOff>
    </xdr:from>
    <xdr:to>
      <xdr:col>15</xdr:col>
      <xdr:colOff>107679</xdr:colOff>
      <xdr:row>41</xdr:row>
      <xdr:rowOff>387350</xdr:rowOff>
    </xdr:to>
    <xdr:sp macro="" textlink="">
      <xdr:nvSpPr>
        <xdr:cNvPr id="13644" name="Rechthoek: afgeronde hoeken 13643">
          <a:extLst>
            <a:ext uri="{FF2B5EF4-FFF2-40B4-BE49-F238E27FC236}">
              <a16:creationId xmlns:a16="http://schemas.microsoft.com/office/drawing/2014/main" id="{CA1A5E90-5FD8-BC9C-229D-FC3DA80D2331}"/>
            </a:ext>
          </a:extLst>
        </xdr:cNvPr>
        <xdr:cNvSpPr/>
      </xdr:nvSpPr>
      <xdr:spPr>
        <a:xfrm>
          <a:off x="14434041" y="16414750"/>
          <a:ext cx="1904238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J15, intro: région, fascias et appareil 
13:42-14:32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15</xdr:col>
      <xdr:colOff>107680</xdr:colOff>
      <xdr:row>41</xdr:row>
      <xdr:rowOff>12700</xdr:rowOff>
    </xdr:from>
    <xdr:to>
      <xdr:col>16</xdr:col>
      <xdr:colOff>334375</xdr:colOff>
      <xdr:row>41</xdr:row>
      <xdr:rowOff>387350</xdr:rowOff>
    </xdr:to>
    <xdr:sp macro="" textlink="">
      <xdr:nvSpPr>
        <xdr:cNvPr id="13645" name="Rechthoek: afgeronde hoeken 13644">
          <a:extLst>
            <a:ext uri="{FF2B5EF4-FFF2-40B4-BE49-F238E27FC236}">
              <a16:creationId xmlns:a16="http://schemas.microsoft.com/office/drawing/2014/main" id="{AC0A96A8-1B93-6257-BAA9-E6366612A569}"/>
            </a:ext>
          </a:extLst>
        </xdr:cNvPr>
        <xdr:cNvSpPr/>
      </xdr:nvSpPr>
      <xdr:spPr>
        <a:xfrm>
          <a:off x="16338280" y="16414750"/>
          <a:ext cx="1360170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J0, Détection des rayonnements 
14:32-15:08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16</xdr:col>
      <xdr:colOff>334375</xdr:colOff>
      <xdr:row>41</xdr:row>
      <xdr:rowOff>12700</xdr:rowOff>
    </xdr:from>
    <xdr:to>
      <xdr:col>18</xdr:col>
      <xdr:colOff>561070</xdr:colOff>
      <xdr:row>41</xdr:row>
      <xdr:rowOff>387350</xdr:rowOff>
    </xdr:to>
    <xdr:sp macro="" textlink="">
      <xdr:nvSpPr>
        <xdr:cNvPr id="13646" name="Rechthoek: afgeronde hoeken 13645">
          <a:extLst>
            <a:ext uri="{FF2B5EF4-FFF2-40B4-BE49-F238E27FC236}">
              <a16:creationId xmlns:a16="http://schemas.microsoft.com/office/drawing/2014/main" id="{006A1FA9-19AC-1EDF-6F3E-BC5BAFC0F948}"/>
            </a:ext>
          </a:extLst>
        </xdr:cNvPr>
        <xdr:cNvSpPr/>
      </xdr:nvSpPr>
      <xdr:spPr>
        <a:xfrm>
          <a:off x="17698450" y="16414750"/>
          <a:ext cx="2493645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J0, Atomes
15:08-16:14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18</xdr:col>
      <xdr:colOff>561070</xdr:colOff>
      <xdr:row>41</xdr:row>
      <xdr:rowOff>12700</xdr:rowOff>
    </xdr:from>
    <xdr:to>
      <xdr:col>21</xdr:col>
      <xdr:colOff>334375</xdr:colOff>
      <xdr:row>41</xdr:row>
      <xdr:rowOff>387350</xdr:rowOff>
    </xdr:to>
    <xdr:sp macro="" textlink="">
      <xdr:nvSpPr>
        <xdr:cNvPr id="13647" name="Rechthoek: afgeronde hoeken 13646">
          <a:extLst>
            <a:ext uri="{FF2B5EF4-FFF2-40B4-BE49-F238E27FC236}">
              <a16:creationId xmlns:a16="http://schemas.microsoft.com/office/drawing/2014/main" id="{9C564EE8-F877-5212-BA0E-1D4F5781473C}"/>
            </a:ext>
          </a:extLst>
        </xdr:cNvPr>
        <xdr:cNvSpPr/>
      </xdr:nvSpPr>
      <xdr:spPr>
        <a:xfrm>
          <a:off x="20192095" y="16414750"/>
          <a:ext cx="3173730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J0, Cellules souches
16:14-17:38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21</xdr:col>
      <xdr:colOff>334375</xdr:colOff>
      <xdr:row>41</xdr:row>
      <xdr:rowOff>12700</xdr:rowOff>
    </xdr:from>
    <xdr:to>
      <xdr:col>22</xdr:col>
      <xdr:colOff>0</xdr:colOff>
      <xdr:row>41</xdr:row>
      <xdr:rowOff>387350</xdr:rowOff>
    </xdr:to>
    <xdr:sp macro="" textlink="">
      <xdr:nvSpPr>
        <xdr:cNvPr id="13648" name="Rechthoek: afgeronde hoeken 13647">
          <a:extLst>
            <a:ext uri="{FF2B5EF4-FFF2-40B4-BE49-F238E27FC236}">
              <a16:creationId xmlns:a16="http://schemas.microsoft.com/office/drawing/2014/main" id="{3520FAC0-3D9E-37C9-2321-91184B52F347}"/>
            </a:ext>
          </a:extLst>
        </xdr:cNvPr>
        <xdr:cNvSpPr/>
      </xdr:nvSpPr>
      <xdr:spPr>
        <a:xfrm>
          <a:off x="23365825" y="16414750"/>
          <a:ext cx="799100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J0, Mouvement molécules de surface
17:38-09:19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42</xdr:row>
      <xdr:rowOff>12700</xdr:rowOff>
    </xdr:from>
    <xdr:to>
      <xdr:col>4</xdr:col>
      <xdr:colOff>749983</xdr:colOff>
      <xdr:row>42</xdr:row>
      <xdr:rowOff>387350</xdr:rowOff>
    </xdr:to>
    <xdr:sp macro="" textlink="">
      <xdr:nvSpPr>
        <xdr:cNvPr id="13649" name="Rechthoek: afgeronde hoeken 13648">
          <a:extLst>
            <a:ext uri="{FF2B5EF4-FFF2-40B4-BE49-F238E27FC236}">
              <a16:creationId xmlns:a16="http://schemas.microsoft.com/office/drawing/2014/main" id="{81B643A6-1545-F9B8-D717-D4F4379C1F99}"/>
            </a:ext>
          </a:extLst>
        </xdr:cNvPr>
        <xdr:cNvSpPr/>
      </xdr:nvSpPr>
      <xdr:spPr>
        <a:xfrm>
          <a:off x="1495425" y="16814800"/>
          <a:ext cx="3016933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J0, Mouvement molécules de surface
17:38-09:19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4</xdr:col>
      <xdr:colOff>749983</xdr:colOff>
      <xdr:row>42</xdr:row>
      <xdr:rowOff>12700</xdr:rowOff>
    </xdr:from>
    <xdr:to>
      <xdr:col>8</xdr:col>
      <xdr:colOff>334375</xdr:colOff>
      <xdr:row>42</xdr:row>
      <xdr:rowOff>387350</xdr:rowOff>
    </xdr:to>
    <xdr:sp macro="" textlink="">
      <xdr:nvSpPr>
        <xdr:cNvPr id="13650" name="Rechthoek: afgeronde hoeken 13649">
          <a:extLst>
            <a:ext uri="{FF2B5EF4-FFF2-40B4-BE49-F238E27FC236}">
              <a16:creationId xmlns:a16="http://schemas.microsoft.com/office/drawing/2014/main" id="{0A695900-DE17-EAE8-C7F4-A9F801ACBC8C}"/>
            </a:ext>
          </a:extLst>
        </xdr:cNvPr>
        <xdr:cNvSpPr/>
      </xdr:nvSpPr>
      <xdr:spPr>
        <a:xfrm>
          <a:off x="4512358" y="16814800"/>
          <a:ext cx="4118292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J0, Molécules du vivant
09:19-11:08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8</xdr:col>
      <xdr:colOff>334375</xdr:colOff>
      <xdr:row>42</xdr:row>
      <xdr:rowOff>12700</xdr:rowOff>
    </xdr:from>
    <xdr:to>
      <xdr:col>10</xdr:col>
      <xdr:colOff>221027</xdr:colOff>
      <xdr:row>42</xdr:row>
      <xdr:rowOff>387350</xdr:rowOff>
    </xdr:to>
    <xdr:sp macro="" textlink="">
      <xdr:nvSpPr>
        <xdr:cNvPr id="13651" name="Rechthoek: afgeronde hoeken 13650">
          <a:extLst>
            <a:ext uri="{FF2B5EF4-FFF2-40B4-BE49-F238E27FC236}">
              <a16:creationId xmlns:a16="http://schemas.microsoft.com/office/drawing/2014/main" id="{E598E47B-D40B-90FD-4045-4DFCA5EEFA75}"/>
            </a:ext>
          </a:extLst>
        </xdr:cNvPr>
        <xdr:cNvSpPr/>
      </xdr:nvSpPr>
      <xdr:spPr>
        <a:xfrm>
          <a:off x="8630650" y="16814800"/>
          <a:ext cx="2153602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J6, Appareil locomoteur 2
11:08-12:05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10</xdr:col>
      <xdr:colOff>221028</xdr:colOff>
      <xdr:row>42</xdr:row>
      <xdr:rowOff>12700</xdr:rowOff>
    </xdr:from>
    <xdr:to>
      <xdr:col>13</xdr:col>
      <xdr:colOff>192691</xdr:colOff>
      <xdr:row>42</xdr:row>
      <xdr:rowOff>387350</xdr:rowOff>
    </xdr:to>
    <xdr:sp macro="" textlink="">
      <xdr:nvSpPr>
        <xdr:cNvPr id="13652" name="Rechthoek: afgeronde hoeken 13651">
          <a:extLst>
            <a:ext uri="{FF2B5EF4-FFF2-40B4-BE49-F238E27FC236}">
              <a16:creationId xmlns:a16="http://schemas.microsoft.com/office/drawing/2014/main" id="{11704594-5A8F-A9EF-B092-F072065CA316}"/>
            </a:ext>
          </a:extLst>
        </xdr:cNvPr>
        <xdr:cNvSpPr/>
      </xdr:nvSpPr>
      <xdr:spPr>
        <a:xfrm>
          <a:off x="10784253" y="16814800"/>
          <a:ext cx="3372088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J6, Méthode d'évaluation du stress objectif 
12:05-13:35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13</xdr:col>
      <xdr:colOff>192691</xdr:colOff>
      <xdr:row>42</xdr:row>
      <xdr:rowOff>12700</xdr:rowOff>
    </xdr:from>
    <xdr:to>
      <xdr:col>13</xdr:col>
      <xdr:colOff>974789</xdr:colOff>
      <xdr:row>42</xdr:row>
      <xdr:rowOff>387350</xdr:rowOff>
    </xdr:to>
    <xdr:sp macro="" textlink="">
      <xdr:nvSpPr>
        <xdr:cNvPr id="13653" name="Rechthoek: afgeronde hoeken 13652">
          <a:extLst>
            <a:ext uri="{FF2B5EF4-FFF2-40B4-BE49-F238E27FC236}">
              <a16:creationId xmlns:a16="http://schemas.microsoft.com/office/drawing/2014/main" id="{07CC8280-F472-009D-E19D-B57726EFA283}"/>
            </a:ext>
          </a:extLst>
        </xdr:cNvPr>
        <xdr:cNvSpPr/>
      </xdr:nvSpPr>
      <xdr:spPr>
        <a:xfrm>
          <a:off x="14156341" y="16814800"/>
          <a:ext cx="782098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J30, Législation handicap 
13:35-13:55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13</xdr:col>
      <xdr:colOff>974789</xdr:colOff>
      <xdr:row>42</xdr:row>
      <xdr:rowOff>12700</xdr:rowOff>
    </xdr:from>
    <xdr:to>
      <xdr:col>14</xdr:col>
      <xdr:colOff>725424</xdr:colOff>
      <xdr:row>42</xdr:row>
      <xdr:rowOff>387350</xdr:rowOff>
    </xdr:to>
    <xdr:sp macro="" textlink="">
      <xdr:nvSpPr>
        <xdr:cNvPr id="13654" name="Rechthoek: afgeronde hoeken 13653">
          <a:extLst>
            <a:ext uri="{FF2B5EF4-FFF2-40B4-BE49-F238E27FC236}">
              <a16:creationId xmlns:a16="http://schemas.microsoft.com/office/drawing/2014/main" id="{1C7B4901-7F80-C639-FF85-91C42EE4DA94}"/>
            </a:ext>
          </a:extLst>
        </xdr:cNvPr>
        <xdr:cNvSpPr/>
      </xdr:nvSpPr>
      <xdr:spPr>
        <a:xfrm>
          <a:off x="14938439" y="16814800"/>
          <a:ext cx="884110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J30, Dérivés d'acides carboxylique- AG 
13:55-14:19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14</xdr:col>
      <xdr:colOff>725424</xdr:colOff>
      <xdr:row>42</xdr:row>
      <xdr:rowOff>12700</xdr:rowOff>
    </xdr:from>
    <xdr:to>
      <xdr:col>15</xdr:col>
      <xdr:colOff>532733</xdr:colOff>
      <xdr:row>42</xdr:row>
      <xdr:rowOff>387350</xdr:rowOff>
    </xdr:to>
    <xdr:sp macro="" textlink="">
      <xdr:nvSpPr>
        <xdr:cNvPr id="13655" name="Rechthoek: afgeronde hoeken 13654">
          <a:extLst>
            <a:ext uri="{FF2B5EF4-FFF2-40B4-BE49-F238E27FC236}">
              <a16:creationId xmlns:a16="http://schemas.microsoft.com/office/drawing/2014/main" id="{60AC3EC2-87DA-48B4-5BD9-3E0E65B3C614}"/>
            </a:ext>
          </a:extLst>
        </xdr:cNvPr>
        <xdr:cNvSpPr/>
      </xdr:nvSpPr>
      <xdr:spPr>
        <a:xfrm>
          <a:off x="15822549" y="16814800"/>
          <a:ext cx="940784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J30, Intervention rééducation part-6
14:19-14:44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15</xdr:col>
      <xdr:colOff>532733</xdr:colOff>
      <xdr:row>42</xdr:row>
      <xdr:rowOff>12700</xdr:rowOff>
    </xdr:from>
    <xdr:to>
      <xdr:col>16</xdr:col>
      <xdr:colOff>362712</xdr:colOff>
      <xdr:row>42</xdr:row>
      <xdr:rowOff>387350</xdr:rowOff>
    </xdr:to>
    <xdr:sp macro="" textlink="">
      <xdr:nvSpPr>
        <xdr:cNvPr id="13656" name="Rechthoek: afgeronde hoeken 13655">
          <a:extLst>
            <a:ext uri="{FF2B5EF4-FFF2-40B4-BE49-F238E27FC236}">
              <a16:creationId xmlns:a16="http://schemas.microsoft.com/office/drawing/2014/main" id="{7E4A5359-8867-54BC-707F-488CBF14CEF6}"/>
            </a:ext>
          </a:extLst>
        </xdr:cNvPr>
        <xdr:cNvSpPr/>
      </xdr:nvSpPr>
      <xdr:spPr>
        <a:xfrm>
          <a:off x="16763333" y="16814800"/>
          <a:ext cx="963454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J30, Abdomen et pelvis 2 
14:44-15:09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16</xdr:col>
      <xdr:colOff>362713</xdr:colOff>
      <xdr:row>42</xdr:row>
      <xdr:rowOff>12700</xdr:rowOff>
    </xdr:from>
    <xdr:to>
      <xdr:col>17</xdr:col>
      <xdr:colOff>283370</xdr:colOff>
      <xdr:row>42</xdr:row>
      <xdr:rowOff>387350</xdr:rowOff>
    </xdr:to>
    <xdr:sp macro="" textlink="">
      <xdr:nvSpPr>
        <xdr:cNvPr id="13657" name="Rechthoek: afgeronde hoeken 13656">
          <a:extLst>
            <a:ext uri="{FF2B5EF4-FFF2-40B4-BE49-F238E27FC236}">
              <a16:creationId xmlns:a16="http://schemas.microsoft.com/office/drawing/2014/main" id="{270E073D-BFC8-6843-3321-31A3291F7BD4}"/>
            </a:ext>
          </a:extLst>
        </xdr:cNvPr>
        <xdr:cNvSpPr/>
      </xdr:nvSpPr>
      <xdr:spPr>
        <a:xfrm>
          <a:off x="17726788" y="16814800"/>
          <a:ext cx="1054132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J30, Thorax
15:09-15:37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17</xdr:col>
      <xdr:colOff>283369</xdr:colOff>
      <xdr:row>42</xdr:row>
      <xdr:rowOff>12700</xdr:rowOff>
    </xdr:from>
    <xdr:to>
      <xdr:col>18</xdr:col>
      <xdr:colOff>294704</xdr:colOff>
      <xdr:row>42</xdr:row>
      <xdr:rowOff>387350</xdr:rowOff>
    </xdr:to>
    <xdr:sp macro="" textlink="">
      <xdr:nvSpPr>
        <xdr:cNvPr id="13658" name="Rechthoek: afgeronde hoeken 13657">
          <a:extLst>
            <a:ext uri="{FF2B5EF4-FFF2-40B4-BE49-F238E27FC236}">
              <a16:creationId xmlns:a16="http://schemas.microsoft.com/office/drawing/2014/main" id="{5DA9FD2D-8FF2-51BB-353C-7608A696A8C0}"/>
            </a:ext>
          </a:extLst>
        </xdr:cNvPr>
        <xdr:cNvSpPr/>
      </xdr:nvSpPr>
      <xdr:spPr>
        <a:xfrm>
          <a:off x="18780919" y="16814800"/>
          <a:ext cx="1144810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J30, Propriétés électroniques des liaisons chimiques
15:37-16:07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18</xdr:col>
      <xdr:colOff>294703</xdr:colOff>
      <xdr:row>42</xdr:row>
      <xdr:rowOff>12700</xdr:rowOff>
    </xdr:from>
    <xdr:to>
      <xdr:col>19</xdr:col>
      <xdr:colOff>362712</xdr:colOff>
      <xdr:row>42</xdr:row>
      <xdr:rowOff>387350</xdr:rowOff>
    </xdr:to>
    <xdr:sp macro="" textlink="">
      <xdr:nvSpPr>
        <xdr:cNvPr id="13659" name="Rechthoek: afgeronde hoeken 13658">
          <a:extLst>
            <a:ext uri="{FF2B5EF4-FFF2-40B4-BE49-F238E27FC236}">
              <a16:creationId xmlns:a16="http://schemas.microsoft.com/office/drawing/2014/main" id="{9F9E8FD9-756E-F22A-72AC-031422AF2837}"/>
            </a:ext>
          </a:extLst>
        </xdr:cNvPr>
        <xdr:cNvSpPr/>
      </xdr:nvSpPr>
      <xdr:spPr>
        <a:xfrm>
          <a:off x="19925728" y="16814800"/>
          <a:ext cx="1201484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J30, intro: référence et particularité
16:07-16:39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19</xdr:col>
      <xdr:colOff>362713</xdr:colOff>
      <xdr:row>42</xdr:row>
      <xdr:rowOff>12700</xdr:rowOff>
    </xdr:from>
    <xdr:to>
      <xdr:col>21</xdr:col>
      <xdr:colOff>510065</xdr:colOff>
      <xdr:row>42</xdr:row>
      <xdr:rowOff>387350</xdr:rowOff>
    </xdr:to>
    <xdr:sp macro="" textlink="">
      <xdr:nvSpPr>
        <xdr:cNvPr id="13660" name="Rechthoek: afgeronde hoeken 13659">
          <a:extLst>
            <a:ext uri="{FF2B5EF4-FFF2-40B4-BE49-F238E27FC236}">
              <a16:creationId xmlns:a16="http://schemas.microsoft.com/office/drawing/2014/main" id="{8396EF15-0FB6-5048-4ADD-56D6EE378FF4}"/>
            </a:ext>
          </a:extLst>
        </xdr:cNvPr>
        <xdr:cNvSpPr/>
      </xdr:nvSpPr>
      <xdr:spPr>
        <a:xfrm>
          <a:off x="21127213" y="16814800"/>
          <a:ext cx="2414302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J2, Prévention-Alla 
16:39-17:43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21</xdr:col>
      <xdr:colOff>510063</xdr:colOff>
      <xdr:row>42</xdr:row>
      <xdr:rowOff>12700</xdr:rowOff>
    </xdr:from>
    <xdr:to>
      <xdr:col>21</xdr:col>
      <xdr:colOff>1133474</xdr:colOff>
      <xdr:row>42</xdr:row>
      <xdr:rowOff>387350</xdr:rowOff>
    </xdr:to>
    <xdr:sp macro="" textlink="">
      <xdr:nvSpPr>
        <xdr:cNvPr id="13661" name="Rechthoek: afgeronde hoeken 13660">
          <a:extLst>
            <a:ext uri="{FF2B5EF4-FFF2-40B4-BE49-F238E27FC236}">
              <a16:creationId xmlns:a16="http://schemas.microsoft.com/office/drawing/2014/main" id="{724D0FE0-F02D-36F9-A228-76F4FA1607D1}"/>
            </a:ext>
          </a:extLst>
        </xdr:cNvPr>
        <xdr:cNvSpPr/>
      </xdr:nvSpPr>
      <xdr:spPr>
        <a:xfrm>
          <a:off x="23541513" y="16814800"/>
          <a:ext cx="623411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J2, Transports membranaires
17:43-08:47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43</xdr:row>
      <xdr:rowOff>12700</xdr:rowOff>
    </xdr:from>
    <xdr:to>
      <xdr:col>3</xdr:col>
      <xdr:colOff>657415</xdr:colOff>
      <xdr:row>43</xdr:row>
      <xdr:rowOff>387350</xdr:rowOff>
    </xdr:to>
    <xdr:sp macro="" textlink="">
      <xdr:nvSpPr>
        <xdr:cNvPr id="13662" name="Rechthoek: afgeronde hoeken 13661">
          <a:extLst>
            <a:ext uri="{FF2B5EF4-FFF2-40B4-BE49-F238E27FC236}">
              <a16:creationId xmlns:a16="http://schemas.microsoft.com/office/drawing/2014/main" id="{B1EA0FDA-9970-6E0D-419F-75A12DAEA444}"/>
            </a:ext>
          </a:extLst>
        </xdr:cNvPr>
        <xdr:cNvSpPr/>
      </xdr:nvSpPr>
      <xdr:spPr>
        <a:xfrm>
          <a:off x="1495425" y="17214850"/>
          <a:ext cx="1790890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J2, Transports membranaires
17:43-08:47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657416</xdr:colOff>
      <xdr:row>43</xdr:row>
      <xdr:rowOff>12700</xdr:rowOff>
    </xdr:from>
    <xdr:to>
      <xdr:col>4</xdr:col>
      <xdr:colOff>510064</xdr:colOff>
      <xdr:row>43</xdr:row>
      <xdr:rowOff>387350</xdr:rowOff>
    </xdr:to>
    <xdr:sp macro="" textlink="">
      <xdr:nvSpPr>
        <xdr:cNvPr id="13663" name="Rechthoek: afgeronde hoeken 13662">
          <a:extLst>
            <a:ext uri="{FF2B5EF4-FFF2-40B4-BE49-F238E27FC236}">
              <a16:creationId xmlns:a16="http://schemas.microsoft.com/office/drawing/2014/main" id="{4C55DC9B-4F5C-D5B8-BDCA-D8B7BFCB3334}"/>
            </a:ext>
          </a:extLst>
        </xdr:cNvPr>
        <xdr:cNvSpPr/>
      </xdr:nvSpPr>
      <xdr:spPr>
        <a:xfrm>
          <a:off x="3286316" y="17214850"/>
          <a:ext cx="986123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J15, CI du fonctionnement, du handicap et de la santé 
08:47-09:13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4</xdr:col>
      <xdr:colOff>510064</xdr:colOff>
      <xdr:row>43</xdr:row>
      <xdr:rowOff>12700</xdr:rowOff>
    </xdr:from>
    <xdr:to>
      <xdr:col>5</xdr:col>
      <xdr:colOff>702755</xdr:colOff>
      <xdr:row>43</xdr:row>
      <xdr:rowOff>387350</xdr:rowOff>
    </xdr:to>
    <xdr:sp macro="" textlink="">
      <xdr:nvSpPr>
        <xdr:cNvPr id="13664" name="Rechthoek: afgeronde hoeken 13663">
          <a:extLst>
            <a:ext uri="{FF2B5EF4-FFF2-40B4-BE49-F238E27FC236}">
              <a16:creationId xmlns:a16="http://schemas.microsoft.com/office/drawing/2014/main" id="{DF0DA102-EF25-0F05-8134-9391A493A40A}"/>
            </a:ext>
          </a:extLst>
        </xdr:cNvPr>
        <xdr:cNvSpPr/>
      </xdr:nvSpPr>
      <xdr:spPr>
        <a:xfrm>
          <a:off x="4272439" y="17214850"/>
          <a:ext cx="1326166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J15, Jonction neuro-musculaire
09:13-09:48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702754</xdr:colOff>
      <xdr:row>43</xdr:row>
      <xdr:rowOff>12700</xdr:rowOff>
    </xdr:from>
    <xdr:to>
      <xdr:col>6</xdr:col>
      <xdr:colOff>963453</xdr:colOff>
      <xdr:row>43</xdr:row>
      <xdr:rowOff>387350</xdr:rowOff>
    </xdr:to>
    <xdr:sp macro="" textlink="">
      <xdr:nvSpPr>
        <xdr:cNvPr id="13665" name="Rechthoek: afgeronde hoeken 13664">
          <a:extLst>
            <a:ext uri="{FF2B5EF4-FFF2-40B4-BE49-F238E27FC236}">
              <a16:creationId xmlns:a16="http://schemas.microsoft.com/office/drawing/2014/main" id="{184D42D1-48F3-020D-D671-6347B4673C4F}"/>
            </a:ext>
          </a:extLst>
        </xdr:cNvPr>
        <xdr:cNvSpPr/>
      </xdr:nvSpPr>
      <xdr:spPr>
        <a:xfrm>
          <a:off x="5598604" y="17214850"/>
          <a:ext cx="1394174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J15, Culture, corps et santé
09:48-10:25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6</xdr:col>
      <xdr:colOff>963454</xdr:colOff>
      <xdr:row>43</xdr:row>
      <xdr:rowOff>12700</xdr:rowOff>
    </xdr:from>
    <xdr:to>
      <xdr:col>8</xdr:col>
      <xdr:colOff>430721</xdr:colOff>
      <xdr:row>43</xdr:row>
      <xdr:rowOff>387350</xdr:rowOff>
    </xdr:to>
    <xdr:sp macro="" textlink="">
      <xdr:nvSpPr>
        <xdr:cNvPr id="13666" name="Rechthoek: afgeronde hoeken 13665">
          <a:extLst>
            <a:ext uri="{FF2B5EF4-FFF2-40B4-BE49-F238E27FC236}">
              <a16:creationId xmlns:a16="http://schemas.microsoft.com/office/drawing/2014/main" id="{6586BD3B-A0CC-F1F7-D525-D67EAD4106E9}"/>
            </a:ext>
          </a:extLst>
        </xdr:cNvPr>
        <xdr:cNvSpPr/>
      </xdr:nvSpPr>
      <xdr:spPr>
        <a:xfrm>
          <a:off x="6992779" y="17214850"/>
          <a:ext cx="1734217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J15, Les acides aminés- les oses 
10:25-11:11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8</xdr:col>
      <xdr:colOff>430720</xdr:colOff>
      <xdr:row>43</xdr:row>
      <xdr:rowOff>12700</xdr:rowOff>
    </xdr:from>
    <xdr:to>
      <xdr:col>9</xdr:col>
      <xdr:colOff>808545</xdr:colOff>
      <xdr:row>43</xdr:row>
      <xdr:rowOff>387350</xdr:rowOff>
    </xdr:to>
    <xdr:sp macro="" textlink="">
      <xdr:nvSpPr>
        <xdr:cNvPr id="13667" name="Rechthoek: afgeronde hoeken 13666">
          <a:extLst>
            <a:ext uri="{FF2B5EF4-FFF2-40B4-BE49-F238E27FC236}">
              <a16:creationId xmlns:a16="http://schemas.microsoft.com/office/drawing/2014/main" id="{8E1E4D18-2CB2-D36E-0ED6-5DC6CF895CD5}"/>
            </a:ext>
          </a:extLst>
        </xdr:cNvPr>
        <xdr:cNvSpPr/>
      </xdr:nvSpPr>
      <xdr:spPr>
        <a:xfrm>
          <a:off x="8726995" y="17214850"/>
          <a:ext cx="1511300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J0, évaluation des procédures diagnostiques
11:11-11:51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9</xdr:col>
      <xdr:colOff>808545</xdr:colOff>
      <xdr:row>43</xdr:row>
      <xdr:rowOff>12700</xdr:rowOff>
    </xdr:from>
    <xdr:to>
      <xdr:col>12</xdr:col>
      <xdr:colOff>468503</xdr:colOff>
      <xdr:row>43</xdr:row>
      <xdr:rowOff>387350</xdr:rowOff>
    </xdr:to>
    <xdr:sp macro="" textlink="">
      <xdr:nvSpPr>
        <xdr:cNvPr id="13668" name="Rechthoek: afgeronde hoeken 13667">
          <a:extLst>
            <a:ext uri="{FF2B5EF4-FFF2-40B4-BE49-F238E27FC236}">
              <a16:creationId xmlns:a16="http://schemas.microsoft.com/office/drawing/2014/main" id="{0897F246-7FB7-61EF-5E8D-6B81396CDABB}"/>
            </a:ext>
          </a:extLst>
        </xdr:cNvPr>
        <xdr:cNvSpPr/>
      </xdr:nvSpPr>
      <xdr:spPr>
        <a:xfrm>
          <a:off x="10238295" y="17214850"/>
          <a:ext cx="3060383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J0, Réparation de l'ADN
11:51-13:12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12</xdr:col>
      <xdr:colOff>468503</xdr:colOff>
      <xdr:row>43</xdr:row>
      <xdr:rowOff>12700</xdr:rowOff>
    </xdr:from>
    <xdr:to>
      <xdr:col>13</xdr:col>
      <xdr:colOff>1091914</xdr:colOff>
      <xdr:row>43</xdr:row>
      <xdr:rowOff>387350</xdr:rowOff>
    </xdr:to>
    <xdr:sp macro="" textlink="">
      <xdr:nvSpPr>
        <xdr:cNvPr id="13669" name="Rechthoek: afgeronde hoeken 13668">
          <a:extLst>
            <a:ext uri="{FF2B5EF4-FFF2-40B4-BE49-F238E27FC236}">
              <a16:creationId xmlns:a16="http://schemas.microsoft.com/office/drawing/2014/main" id="{51D8D6C5-4077-7FF2-202F-B4E23A004C5D}"/>
            </a:ext>
          </a:extLst>
        </xdr:cNvPr>
        <xdr:cNvSpPr/>
      </xdr:nvSpPr>
      <xdr:spPr>
        <a:xfrm>
          <a:off x="13298678" y="17214850"/>
          <a:ext cx="1756886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J6, stats descriptives
13:12-13:58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13</xdr:col>
      <xdr:colOff>1091915</xdr:colOff>
      <xdr:row>43</xdr:row>
      <xdr:rowOff>12700</xdr:rowOff>
    </xdr:from>
    <xdr:to>
      <xdr:col>15</xdr:col>
      <xdr:colOff>581851</xdr:colOff>
      <xdr:row>43</xdr:row>
      <xdr:rowOff>387350</xdr:rowOff>
    </xdr:to>
    <xdr:sp macro="" textlink="">
      <xdr:nvSpPr>
        <xdr:cNvPr id="13670" name="Rechthoek: afgeronde hoeken 13669">
          <a:extLst>
            <a:ext uri="{FF2B5EF4-FFF2-40B4-BE49-F238E27FC236}">
              <a16:creationId xmlns:a16="http://schemas.microsoft.com/office/drawing/2014/main" id="{3D626317-30F2-708A-0A28-26FA9D254777}"/>
            </a:ext>
          </a:extLst>
        </xdr:cNvPr>
        <xdr:cNvSpPr/>
      </xdr:nvSpPr>
      <xdr:spPr>
        <a:xfrm>
          <a:off x="15055565" y="17214850"/>
          <a:ext cx="1756886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J6, Cou
13:58-14:45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15</xdr:col>
      <xdr:colOff>581850</xdr:colOff>
      <xdr:row>43</xdr:row>
      <xdr:rowOff>12700</xdr:rowOff>
    </xdr:from>
    <xdr:to>
      <xdr:col>18</xdr:col>
      <xdr:colOff>185134</xdr:colOff>
      <xdr:row>43</xdr:row>
      <xdr:rowOff>387350</xdr:rowOff>
    </xdr:to>
    <xdr:sp macro="" textlink="">
      <xdr:nvSpPr>
        <xdr:cNvPr id="13671" name="Rechthoek: afgeronde hoeken 13670">
          <a:extLst>
            <a:ext uri="{FF2B5EF4-FFF2-40B4-BE49-F238E27FC236}">
              <a16:creationId xmlns:a16="http://schemas.microsoft.com/office/drawing/2014/main" id="{26BFF780-9710-FE06-D810-D320D1FA88AF}"/>
            </a:ext>
          </a:extLst>
        </xdr:cNvPr>
        <xdr:cNvSpPr/>
      </xdr:nvSpPr>
      <xdr:spPr>
        <a:xfrm>
          <a:off x="16812450" y="17214850"/>
          <a:ext cx="3003709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J6, Synthèse et dégradation des protéines
14:45-16:04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18</xdr:col>
      <xdr:colOff>185134</xdr:colOff>
      <xdr:row>43</xdr:row>
      <xdr:rowOff>12700</xdr:rowOff>
    </xdr:from>
    <xdr:to>
      <xdr:col>18</xdr:col>
      <xdr:colOff>978566</xdr:colOff>
      <xdr:row>43</xdr:row>
      <xdr:rowOff>387350</xdr:rowOff>
    </xdr:to>
    <xdr:sp macro="" textlink="">
      <xdr:nvSpPr>
        <xdr:cNvPr id="13672" name="Rechthoek: afgeronde hoeken 13671">
          <a:extLst>
            <a:ext uri="{FF2B5EF4-FFF2-40B4-BE49-F238E27FC236}">
              <a16:creationId xmlns:a16="http://schemas.microsoft.com/office/drawing/2014/main" id="{079DC54B-79D2-52F3-B4AB-48FE2FC4D632}"/>
            </a:ext>
          </a:extLst>
        </xdr:cNvPr>
        <xdr:cNvSpPr/>
      </xdr:nvSpPr>
      <xdr:spPr>
        <a:xfrm>
          <a:off x="19816159" y="17214850"/>
          <a:ext cx="793432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J30, Thermodynamique 
16:04-16:25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18</xdr:col>
      <xdr:colOff>978567</xdr:colOff>
      <xdr:row>43</xdr:row>
      <xdr:rowOff>12700</xdr:rowOff>
    </xdr:from>
    <xdr:to>
      <xdr:col>19</xdr:col>
      <xdr:colOff>1069245</xdr:colOff>
      <xdr:row>43</xdr:row>
      <xdr:rowOff>387350</xdr:rowOff>
    </xdr:to>
    <xdr:sp macro="" textlink="">
      <xdr:nvSpPr>
        <xdr:cNvPr id="13673" name="Rechthoek: afgeronde hoeken 13672">
          <a:extLst>
            <a:ext uri="{FF2B5EF4-FFF2-40B4-BE49-F238E27FC236}">
              <a16:creationId xmlns:a16="http://schemas.microsoft.com/office/drawing/2014/main" id="{6C0E05AA-4D17-EA29-1C3D-679DFB0EABDE}"/>
            </a:ext>
          </a:extLst>
        </xdr:cNvPr>
        <xdr:cNvSpPr/>
      </xdr:nvSpPr>
      <xdr:spPr>
        <a:xfrm>
          <a:off x="20609592" y="17214850"/>
          <a:ext cx="1224153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J30, Intervention rééducation part-3
16:25-16:58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19</xdr:col>
      <xdr:colOff>1069245</xdr:colOff>
      <xdr:row>43</xdr:row>
      <xdr:rowOff>12700</xdr:rowOff>
    </xdr:from>
    <xdr:to>
      <xdr:col>21</xdr:col>
      <xdr:colOff>60452</xdr:colOff>
      <xdr:row>43</xdr:row>
      <xdr:rowOff>387350</xdr:rowOff>
    </xdr:to>
    <xdr:sp macro="" textlink="">
      <xdr:nvSpPr>
        <xdr:cNvPr id="13674" name="Rechthoek: afgeronde hoeken 13673">
          <a:extLst>
            <a:ext uri="{FF2B5EF4-FFF2-40B4-BE49-F238E27FC236}">
              <a16:creationId xmlns:a16="http://schemas.microsoft.com/office/drawing/2014/main" id="{18C05928-78AC-B9AB-4294-954872DD5233}"/>
            </a:ext>
          </a:extLst>
        </xdr:cNvPr>
        <xdr:cNvSpPr/>
      </xdr:nvSpPr>
      <xdr:spPr>
        <a:xfrm>
          <a:off x="21833745" y="17214850"/>
          <a:ext cx="1258157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J30, Protéines 
16:58-17:31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21</xdr:col>
      <xdr:colOff>60452</xdr:colOff>
      <xdr:row>43</xdr:row>
      <xdr:rowOff>12700</xdr:rowOff>
    </xdr:from>
    <xdr:to>
      <xdr:col>22</xdr:col>
      <xdr:colOff>0</xdr:colOff>
      <xdr:row>43</xdr:row>
      <xdr:rowOff>387350</xdr:rowOff>
    </xdr:to>
    <xdr:sp macro="" textlink="">
      <xdr:nvSpPr>
        <xdr:cNvPr id="13675" name="Rechthoek: afgeronde hoeken 13674">
          <a:extLst>
            <a:ext uri="{FF2B5EF4-FFF2-40B4-BE49-F238E27FC236}">
              <a16:creationId xmlns:a16="http://schemas.microsoft.com/office/drawing/2014/main" id="{E1FE2B6B-BDE3-F0F7-DAB2-60E547C12A37}"/>
            </a:ext>
          </a:extLst>
        </xdr:cNvPr>
        <xdr:cNvSpPr/>
      </xdr:nvSpPr>
      <xdr:spPr>
        <a:xfrm>
          <a:off x="23091902" y="17214850"/>
          <a:ext cx="1073023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J2, Détection des rayonnements 
17:31-08:04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44</xdr:row>
      <xdr:rowOff>12700</xdr:rowOff>
    </xdr:from>
    <xdr:to>
      <xdr:col>2</xdr:col>
      <xdr:colOff>151130</xdr:colOff>
      <xdr:row>44</xdr:row>
      <xdr:rowOff>387350</xdr:rowOff>
    </xdr:to>
    <xdr:sp macro="" textlink="">
      <xdr:nvSpPr>
        <xdr:cNvPr id="13676" name="Rechthoek: afgeronde hoeken 13675">
          <a:extLst>
            <a:ext uri="{FF2B5EF4-FFF2-40B4-BE49-F238E27FC236}">
              <a16:creationId xmlns:a16="http://schemas.microsoft.com/office/drawing/2014/main" id="{05EB89E1-4791-8F4A-BC7E-58AD51D734DA}"/>
            </a:ext>
          </a:extLst>
        </xdr:cNvPr>
        <xdr:cNvSpPr/>
      </xdr:nvSpPr>
      <xdr:spPr>
        <a:xfrm>
          <a:off x="1495425" y="17614900"/>
          <a:ext cx="151130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J2, Détection des rayonnements 
17:31-08:04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151130</xdr:colOff>
      <xdr:row>44</xdr:row>
      <xdr:rowOff>12700</xdr:rowOff>
    </xdr:from>
    <xdr:to>
      <xdr:col>4</xdr:col>
      <xdr:colOff>128460</xdr:colOff>
      <xdr:row>44</xdr:row>
      <xdr:rowOff>387350</xdr:rowOff>
    </xdr:to>
    <xdr:sp macro="" textlink="">
      <xdr:nvSpPr>
        <xdr:cNvPr id="13677" name="Rechthoek: afgeronde hoeken 13676">
          <a:extLst>
            <a:ext uri="{FF2B5EF4-FFF2-40B4-BE49-F238E27FC236}">
              <a16:creationId xmlns:a16="http://schemas.microsoft.com/office/drawing/2014/main" id="{93FC49A3-F3A2-ED36-4955-742D7ACA95EF}"/>
            </a:ext>
          </a:extLst>
        </xdr:cNvPr>
        <xdr:cNvSpPr/>
      </xdr:nvSpPr>
      <xdr:spPr>
        <a:xfrm>
          <a:off x="1646555" y="17614900"/>
          <a:ext cx="2244280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J2, Atomes
08:04-09:03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4</xdr:col>
      <xdr:colOff>128460</xdr:colOff>
      <xdr:row>44</xdr:row>
      <xdr:rowOff>12700</xdr:rowOff>
    </xdr:from>
    <xdr:to>
      <xdr:col>6</xdr:col>
      <xdr:colOff>717867</xdr:colOff>
      <xdr:row>44</xdr:row>
      <xdr:rowOff>387350</xdr:rowOff>
    </xdr:to>
    <xdr:sp macro="" textlink="">
      <xdr:nvSpPr>
        <xdr:cNvPr id="13678" name="Rechthoek: afgeronde hoeken 13677">
          <a:extLst>
            <a:ext uri="{FF2B5EF4-FFF2-40B4-BE49-F238E27FC236}">
              <a16:creationId xmlns:a16="http://schemas.microsoft.com/office/drawing/2014/main" id="{B8F4B2D7-B075-1FB1-8606-CB1F5049CD75}"/>
            </a:ext>
          </a:extLst>
        </xdr:cNvPr>
        <xdr:cNvSpPr/>
      </xdr:nvSpPr>
      <xdr:spPr>
        <a:xfrm>
          <a:off x="3890835" y="17614900"/>
          <a:ext cx="2856357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J2, Cellules souches
09:03-10:19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6</xdr:col>
      <xdr:colOff>717868</xdr:colOff>
      <xdr:row>44</xdr:row>
      <xdr:rowOff>12700</xdr:rowOff>
    </xdr:from>
    <xdr:to>
      <xdr:col>9</xdr:col>
      <xdr:colOff>751872</xdr:colOff>
      <xdr:row>44</xdr:row>
      <xdr:rowOff>387350</xdr:rowOff>
    </xdr:to>
    <xdr:sp macro="" textlink="">
      <xdr:nvSpPr>
        <xdr:cNvPr id="13679" name="Rechthoek: afgeronde hoeken 13678">
          <a:extLst>
            <a:ext uri="{FF2B5EF4-FFF2-40B4-BE49-F238E27FC236}">
              <a16:creationId xmlns:a16="http://schemas.microsoft.com/office/drawing/2014/main" id="{5973BC15-A8F1-B372-7D59-8480EBE7377C}"/>
            </a:ext>
          </a:extLst>
        </xdr:cNvPr>
        <xdr:cNvSpPr/>
      </xdr:nvSpPr>
      <xdr:spPr>
        <a:xfrm>
          <a:off x="6747193" y="17614900"/>
          <a:ext cx="3434429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J2, Mouvement molécules de surface
10:19-11:49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9</xdr:col>
      <xdr:colOff>751872</xdr:colOff>
      <xdr:row>44</xdr:row>
      <xdr:rowOff>12700</xdr:rowOff>
    </xdr:from>
    <xdr:to>
      <xdr:col>12</xdr:col>
      <xdr:colOff>1057910</xdr:colOff>
      <xdr:row>44</xdr:row>
      <xdr:rowOff>387350</xdr:rowOff>
    </xdr:to>
    <xdr:sp macro="" textlink="">
      <xdr:nvSpPr>
        <xdr:cNvPr id="13680" name="Rechthoek: afgeronde hoeken 13679">
          <a:extLst>
            <a:ext uri="{FF2B5EF4-FFF2-40B4-BE49-F238E27FC236}">
              <a16:creationId xmlns:a16="http://schemas.microsoft.com/office/drawing/2014/main" id="{7E8FC22D-1D8E-BD7D-24C4-8E54C52FE8E2}"/>
            </a:ext>
          </a:extLst>
        </xdr:cNvPr>
        <xdr:cNvSpPr/>
      </xdr:nvSpPr>
      <xdr:spPr>
        <a:xfrm>
          <a:off x="10181622" y="17614900"/>
          <a:ext cx="3706463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J2, Molécules du vivant
11:49-13:28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12</xdr:col>
      <xdr:colOff>1057911</xdr:colOff>
      <xdr:row>44</xdr:row>
      <xdr:rowOff>12700</xdr:rowOff>
    </xdr:from>
    <xdr:to>
      <xdr:col>13</xdr:col>
      <xdr:colOff>604521</xdr:colOff>
      <xdr:row>44</xdr:row>
      <xdr:rowOff>387350</xdr:rowOff>
    </xdr:to>
    <xdr:sp macro="" textlink="">
      <xdr:nvSpPr>
        <xdr:cNvPr id="13681" name="Rechthoek: afgeronde hoeken 13680">
          <a:extLst>
            <a:ext uri="{FF2B5EF4-FFF2-40B4-BE49-F238E27FC236}">
              <a16:creationId xmlns:a16="http://schemas.microsoft.com/office/drawing/2014/main" id="{F0406B75-CDAB-2A7A-44B4-AABFCB4CC5E4}"/>
            </a:ext>
          </a:extLst>
        </xdr:cNvPr>
        <xdr:cNvSpPr/>
      </xdr:nvSpPr>
      <xdr:spPr>
        <a:xfrm>
          <a:off x="13888086" y="17614900"/>
          <a:ext cx="680085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J15, Structure des glucides 
13:28-13:46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13</xdr:col>
      <xdr:colOff>604520</xdr:colOff>
      <xdr:row>44</xdr:row>
      <xdr:rowOff>12700</xdr:rowOff>
    </xdr:from>
    <xdr:to>
      <xdr:col>14</xdr:col>
      <xdr:colOff>491172</xdr:colOff>
      <xdr:row>44</xdr:row>
      <xdr:rowOff>387350</xdr:rowOff>
    </xdr:to>
    <xdr:sp macro="" textlink="">
      <xdr:nvSpPr>
        <xdr:cNvPr id="13682" name="Rechthoek: afgeronde hoeken 13681">
          <a:extLst>
            <a:ext uri="{FF2B5EF4-FFF2-40B4-BE49-F238E27FC236}">
              <a16:creationId xmlns:a16="http://schemas.microsoft.com/office/drawing/2014/main" id="{08909987-A708-0621-E06A-8CD248E9BD19}"/>
            </a:ext>
          </a:extLst>
        </xdr:cNvPr>
        <xdr:cNvSpPr/>
      </xdr:nvSpPr>
      <xdr:spPr>
        <a:xfrm>
          <a:off x="14568170" y="17614900"/>
          <a:ext cx="1020127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J15, Cytosquellette
13:46-14:13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14</xdr:col>
      <xdr:colOff>491173</xdr:colOff>
      <xdr:row>44</xdr:row>
      <xdr:rowOff>12700</xdr:rowOff>
    </xdr:from>
    <xdr:to>
      <xdr:col>15</xdr:col>
      <xdr:colOff>530845</xdr:colOff>
      <xdr:row>44</xdr:row>
      <xdr:rowOff>387350</xdr:rowOff>
    </xdr:to>
    <xdr:sp macro="" textlink="">
      <xdr:nvSpPr>
        <xdr:cNvPr id="13683" name="Rechthoek: afgeronde hoeken 13682">
          <a:extLst>
            <a:ext uri="{FF2B5EF4-FFF2-40B4-BE49-F238E27FC236}">
              <a16:creationId xmlns:a16="http://schemas.microsoft.com/office/drawing/2014/main" id="{82C9932B-9913-7F13-3D7E-C1B10EDD0074}"/>
            </a:ext>
          </a:extLst>
        </xdr:cNvPr>
        <xdr:cNvSpPr/>
      </xdr:nvSpPr>
      <xdr:spPr>
        <a:xfrm>
          <a:off x="15588298" y="17614900"/>
          <a:ext cx="1173147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J15, Membre supérieur 3
14:13-14:44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15</xdr:col>
      <xdr:colOff>530844</xdr:colOff>
      <xdr:row>44</xdr:row>
      <xdr:rowOff>12700</xdr:rowOff>
    </xdr:from>
    <xdr:to>
      <xdr:col>16</xdr:col>
      <xdr:colOff>1063577</xdr:colOff>
      <xdr:row>44</xdr:row>
      <xdr:rowOff>387350</xdr:rowOff>
    </xdr:to>
    <xdr:sp macro="" textlink="">
      <xdr:nvSpPr>
        <xdr:cNvPr id="13684" name="Rechthoek: afgeronde hoeken 13683">
          <a:extLst>
            <a:ext uri="{FF2B5EF4-FFF2-40B4-BE49-F238E27FC236}">
              <a16:creationId xmlns:a16="http://schemas.microsoft.com/office/drawing/2014/main" id="{FA4D2C9B-02E8-7C5A-C49E-8BC1A5C6A13A}"/>
            </a:ext>
          </a:extLst>
        </xdr:cNvPr>
        <xdr:cNvSpPr/>
      </xdr:nvSpPr>
      <xdr:spPr>
        <a:xfrm>
          <a:off x="16761444" y="17614900"/>
          <a:ext cx="1666208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J15, Dos
14:44-15:28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16</xdr:col>
      <xdr:colOff>1063577</xdr:colOff>
      <xdr:row>44</xdr:row>
      <xdr:rowOff>12700</xdr:rowOff>
    </xdr:from>
    <xdr:to>
      <xdr:col>18</xdr:col>
      <xdr:colOff>496840</xdr:colOff>
      <xdr:row>44</xdr:row>
      <xdr:rowOff>387350</xdr:rowOff>
    </xdr:to>
    <xdr:sp macro="" textlink="">
      <xdr:nvSpPr>
        <xdr:cNvPr id="13685" name="Rechthoek: afgeronde hoeken 13684">
          <a:extLst>
            <a:ext uri="{FF2B5EF4-FFF2-40B4-BE49-F238E27FC236}">
              <a16:creationId xmlns:a16="http://schemas.microsoft.com/office/drawing/2014/main" id="{FB8D831C-8179-03E3-0172-260505761ABB}"/>
            </a:ext>
          </a:extLst>
        </xdr:cNvPr>
        <xdr:cNvSpPr/>
      </xdr:nvSpPr>
      <xdr:spPr>
        <a:xfrm>
          <a:off x="18427652" y="17614900"/>
          <a:ext cx="1700213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J15, Le domaine de l'optique 
15:28-16:13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18</xdr:col>
      <xdr:colOff>496839</xdr:colOff>
      <xdr:row>44</xdr:row>
      <xdr:rowOff>12700</xdr:rowOff>
    </xdr:from>
    <xdr:to>
      <xdr:col>19</xdr:col>
      <xdr:colOff>1063577</xdr:colOff>
      <xdr:row>44</xdr:row>
      <xdr:rowOff>387350</xdr:rowOff>
    </xdr:to>
    <xdr:sp macro="" textlink="">
      <xdr:nvSpPr>
        <xdr:cNvPr id="13686" name="Rechthoek: afgeronde hoeken 13685">
          <a:extLst>
            <a:ext uri="{FF2B5EF4-FFF2-40B4-BE49-F238E27FC236}">
              <a16:creationId xmlns:a16="http://schemas.microsoft.com/office/drawing/2014/main" id="{899E3303-CCC5-29D4-9A43-C6942F2DC2C1}"/>
            </a:ext>
          </a:extLst>
        </xdr:cNvPr>
        <xdr:cNvSpPr/>
      </xdr:nvSpPr>
      <xdr:spPr>
        <a:xfrm>
          <a:off x="20127864" y="17614900"/>
          <a:ext cx="1700213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J15, Rayons X et gamma-Rayonnement particulaire
16:13-16:58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19</xdr:col>
      <xdr:colOff>1063577</xdr:colOff>
      <xdr:row>44</xdr:row>
      <xdr:rowOff>12700</xdr:rowOff>
    </xdr:from>
    <xdr:to>
      <xdr:col>21</xdr:col>
      <xdr:colOff>496840</xdr:colOff>
      <xdr:row>44</xdr:row>
      <xdr:rowOff>387350</xdr:rowOff>
    </xdr:to>
    <xdr:sp macro="" textlink="">
      <xdr:nvSpPr>
        <xdr:cNvPr id="13687" name="Rechthoek: afgeronde hoeken 13686">
          <a:extLst>
            <a:ext uri="{FF2B5EF4-FFF2-40B4-BE49-F238E27FC236}">
              <a16:creationId xmlns:a16="http://schemas.microsoft.com/office/drawing/2014/main" id="{022A9AC7-BABC-1747-FC55-3716C12B183D}"/>
            </a:ext>
          </a:extLst>
        </xdr:cNvPr>
        <xdr:cNvSpPr/>
      </xdr:nvSpPr>
      <xdr:spPr>
        <a:xfrm>
          <a:off x="21828077" y="17614900"/>
          <a:ext cx="1700213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J15, Tête
16:58-17:43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21</xdr:col>
      <xdr:colOff>496839</xdr:colOff>
      <xdr:row>44</xdr:row>
      <xdr:rowOff>12700</xdr:rowOff>
    </xdr:from>
    <xdr:to>
      <xdr:col>21</xdr:col>
      <xdr:colOff>1133474</xdr:colOff>
      <xdr:row>44</xdr:row>
      <xdr:rowOff>387350</xdr:rowOff>
    </xdr:to>
    <xdr:sp macro="" textlink="">
      <xdr:nvSpPr>
        <xdr:cNvPr id="13688" name="Rechthoek: afgeronde hoeken 13687">
          <a:extLst>
            <a:ext uri="{FF2B5EF4-FFF2-40B4-BE49-F238E27FC236}">
              <a16:creationId xmlns:a16="http://schemas.microsoft.com/office/drawing/2014/main" id="{D0538AAA-D1F2-D8A1-2526-1D61FFCAECAC}"/>
            </a:ext>
          </a:extLst>
        </xdr:cNvPr>
        <xdr:cNvSpPr/>
      </xdr:nvSpPr>
      <xdr:spPr>
        <a:xfrm>
          <a:off x="23528289" y="17614900"/>
          <a:ext cx="636635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J10, Appareil locomoteur 1
17:43-08:30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45</xdr:row>
      <xdr:rowOff>12700</xdr:rowOff>
    </xdr:from>
    <xdr:to>
      <xdr:col>3</xdr:col>
      <xdr:colOff>20780</xdr:colOff>
      <xdr:row>45</xdr:row>
      <xdr:rowOff>387350</xdr:rowOff>
    </xdr:to>
    <xdr:sp macro="" textlink="">
      <xdr:nvSpPr>
        <xdr:cNvPr id="13689" name="Rechthoek: afgeronde hoeken 13688">
          <a:extLst>
            <a:ext uri="{FF2B5EF4-FFF2-40B4-BE49-F238E27FC236}">
              <a16:creationId xmlns:a16="http://schemas.microsoft.com/office/drawing/2014/main" id="{AA4BE5E5-B384-13E9-1EE5-4E5D37ECB315}"/>
            </a:ext>
          </a:extLst>
        </xdr:cNvPr>
        <xdr:cNvSpPr/>
      </xdr:nvSpPr>
      <xdr:spPr>
        <a:xfrm>
          <a:off x="1495425" y="18014950"/>
          <a:ext cx="1154255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J10, Appareil locomoteur 1
17:43-08:30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20780</xdr:colOff>
      <xdr:row>45</xdr:row>
      <xdr:rowOff>12700</xdr:rowOff>
    </xdr:from>
    <xdr:to>
      <xdr:col>5</xdr:col>
      <xdr:colOff>202136</xdr:colOff>
      <xdr:row>45</xdr:row>
      <xdr:rowOff>387350</xdr:rowOff>
    </xdr:to>
    <xdr:sp macro="" textlink="">
      <xdr:nvSpPr>
        <xdr:cNvPr id="13690" name="Rechthoek: afgeronde hoeken 13689">
          <a:extLst>
            <a:ext uri="{FF2B5EF4-FFF2-40B4-BE49-F238E27FC236}">
              <a16:creationId xmlns:a16="http://schemas.microsoft.com/office/drawing/2014/main" id="{A3F12E5E-A9FB-BDE4-1255-85FAFEC09DF6}"/>
            </a:ext>
          </a:extLst>
        </xdr:cNvPr>
        <xdr:cNvSpPr/>
      </xdr:nvSpPr>
      <xdr:spPr>
        <a:xfrm>
          <a:off x="2649680" y="18014950"/>
          <a:ext cx="2448306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J10, Réplication de l'ADN
08:30-09:35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202136</xdr:colOff>
      <xdr:row>45</xdr:row>
      <xdr:rowOff>12700</xdr:rowOff>
    </xdr:from>
    <xdr:to>
      <xdr:col>7</xdr:col>
      <xdr:colOff>428831</xdr:colOff>
      <xdr:row>45</xdr:row>
      <xdr:rowOff>387350</xdr:rowOff>
    </xdr:to>
    <xdr:sp macro="" textlink="">
      <xdr:nvSpPr>
        <xdr:cNvPr id="13691" name="Rechthoek: afgeronde hoeken 13690">
          <a:extLst>
            <a:ext uri="{FF2B5EF4-FFF2-40B4-BE49-F238E27FC236}">
              <a16:creationId xmlns:a16="http://schemas.microsoft.com/office/drawing/2014/main" id="{8788A65B-A3BD-0926-A593-A0D60D6DFE70}"/>
            </a:ext>
          </a:extLst>
        </xdr:cNvPr>
        <xdr:cNvSpPr/>
      </xdr:nvSpPr>
      <xdr:spPr>
        <a:xfrm>
          <a:off x="5097986" y="18014950"/>
          <a:ext cx="2493645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J0, Probabiltés
09:35-10:41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7</xdr:col>
      <xdr:colOff>428831</xdr:colOff>
      <xdr:row>45</xdr:row>
      <xdr:rowOff>12700</xdr:rowOff>
    </xdr:from>
    <xdr:to>
      <xdr:col>11</xdr:col>
      <xdr:colOff>51006</xdr:colOff>
      <xdr:row>45</xdr:row>
      <xdr:rowOff>387350</xdr:rowOff>
    </xdr:to>
    <xdr:sp macro="" textlink="">
      <xdr:nvSpPr>
        <xdr:cNvPr id="13692" name="Rechthoek: afgeronde hoeken 13691">
          <a:extLst>
            <a:ext uri="{FF2B5EF4-FFF2-40B4-BE49-F238E27FC236}">
              <a16:creationId xmlns:a16="http://schemas.microsoft.com/office/drawing/2014/main" id="{F6568543-9FFB-65D6-42FD-AEB241359196}"/>
            </a:ext>
          </a:extLst>
        </xdr:cNvPr>
        <xdr:cNvSpPr/>
      </xdr:nvSpPr>
      <xdr:spPr>
        <a:xfrm>
          <a:off x="7591631" y="18014950"/>
          <a:ext cx="4156075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J0, Métrologie 
10:41-12:31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11</xdr:col>
      <xdr:colOff>51006</xdr:colOff>
      <xdr:row>45</xdr:row>
      <xdr:rowOff>12700</xdr:rowOff>
    </xdr:from>
    <xdr:to>
      <xdr:col>12</xdr:col>
      <xdr:colOff>277701</xdr:colOff>
      <xdr:row>45</xdr:row>
      <xdr:rowOff>387350</xdr:rowOff>
    </xdr:to>
    <xdr:sp macro="" textlink="">
      <xdr:nvSpPr>
        <xdr:cNvPr id="13693" name="Rechthoek: afgeronde hoeken 13692">
          <a:extLst>
            <a:ext uri="{FF2B5EF4-FFF2-40B4-BE49-F238E27FC236}">
              <a16:creationId xmlns:a16="http://schemas.microsoft.com/office/drawing/2014/main" id="{54D31D8B-7C9C-4A2C-8DD1-82DDBAB369FE}"/>
            </a:ext>
          </a:extLst>
        </xdr:cNvPr>
        <xdr:cNvSpPr/>
      </xdr:nvSpPr>
      <xdr:spPr>
        <a:xfrm>
          <a:off x="11747706" y="18014950"/>
          <a:ext cx="1360170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J2, évaluation des procédures diagnostiques
12:31-13:07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12</xdr:col>
      <xdr:colOff>277701</xdr:colOff>
      <xdr:row>45</xdr:row>
      <xdr:rowOff>12700</xdr:rowOff>
    </xdr:from>
    <xdr:to>
      <xdr:col>14</xdr:col>
      <xdr:colOff>765095</xdr:colOff>
      <xdr:row>45</xdr:row>
      <xdr:rowOff>387350</xdr:rowOff>
    </xdr:to>
    <xdr:sp macro="" textlink="">
      <xdr:nvSpPr>
        <xdr:cNvPr id="13694" name="Rechthoek: afgeronde hoeken 13693">
          <a:extLst>
            <a:ext uri="{FF2B5EF4-FFF2-40B4-BE49-F238E27FC236}">
              <a16:creationId xmlns:a16="http://schemas.microsoft.com/office/drawing/2014/main" id="{92739949-1E94-B527-BDFE-228485CF6443}"/>
            </a:ext>
          </a:extLst>
        </xdr:cNvPr>
        <xdr:cNvSpPr/>
      </xdr:nvSpPr>
      <xdr:spPr>
        <a:xfrm>
          <a:off x="13107876" y="18014950"/>
          <a:ext cx="2754344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J2, Réparation de l'ADN
13:07-14:20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14</xdr:col>
      <xdr:colOff>765096</xdr:colOff>
      <xdr:row>45</xdr:row>
      <xdr:rowOff>12700</xdr:rowOff>
    </xdr:from>
    <xdr:to>
      <xdr:col>15</xdr:col>
      <xdr:colOff>209693</xdr:colOff>
      <xdr:row>45</xdr:row>
      <xdr:rowOff>387350</xdr:rowOff>
    </xdr:to>
    <xdr:sp macro="" textlink="">
      <xdr:nvSpPr>
        <xdr:cNvPr id="13695" name="Rechthoek: afgeronde hoeken 13694">
          <a:extLst>
            <a:ext uri="{FF2B5EF4-FFF2-40B4-BE49-F238E27FC236}">
              <a16:creationId xmlns:a16="http://schemas.microsoft.com/office/drawing/2014/main" id="{E236144A-B6EA-3EB5-B95E-632B4444A622}"/>
            </a:ext>
          </a:extLst>
        </xdr:cNvPr>
        <xdr:cNvSpPr/>
      </xdr:nvSpPr>
      <xdr:spPr>
        <a:xfrm>
          <a:off x="15862221" y="18014950"/>
          <a:ext cx="578072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J15, Membre supérieur 1
14:20-14:35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15</xdr:col>
      <xdr:colOff>209693</xdr:colOff>
      <xdr:row>45</xdr:row>
      <xdr:rowOff>12700</xdr:rowOff>
    </xdr:from>
    <xdr:to>
      <xdr:col>15</xdr:col>
      <xdr:colOff>821769</xdr:colOff>
      <xdr:row>45</xdr:row>
      <xdr:rowOff>387350</xdr:rowOff>
    </xdr:to>
    <xdr:sp macro="" textlink="">
      <xdr:nvSpPr>
        <xdr:cNvPr id="13696" name="Rechthoek: afgeronde hoeken 13695">
          <a:extLst>
            <a:ext uri="{FF2B5EF4-FFF2-40B4-BE49-F238E27FC236}">
              <a16:creationId xmlns:a16="http://schemas.microsoft.com/office/drawing/2014/main" id="{C5A3F77C-9C9F-3466-2F57-A044C59669FB}"/>
            </a:ext>
          </a:extLst>
        </xdr:cNvPr>
        <xdr:cNvSpPr/>
      </xdr:nvSpPr>
      <xdr:spPr>
        <a:xfrm>
          <a:off x="16440293" y="18014950"/>
          <a:ext cx="612076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J15, pH et équilibre acido basique d'une solution
14:35-14:51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15</xdr:col>
      <xdr:colOff>821770</xdr:colOff>
      <xdr:row>45</xdr:row>
      <xdr:rowOff>12700</xdr:rowOff>
    </xdr:from>
    <xdr:to>
      <xdr:col>16</xdr:col>
      <xdr:colOff>878444</xdr:colOff>
      <xdr:row>45</xdr:row>
      <xdr:rowOff>387350</xdr:rowOff>
    </xdr:to>
    <xdr:sp macro="" textlink="">
      <xdr:nvSpPr>
        <xdr:cNvPr id="13697" name="Rechthoek: afgeronde hoeken 13696">
          <a:extLst>
            <a:ext uri="{FF2B5EF4-FFF2-40B4-BE49-F238E27FC236}">
              <a16:creationId xmlns:a16="http://schemas.microsoft.com/office/drawing/2014/main" id="{616417F7-DAE5-28BD-1BF6-1614C4683F81}"/>
            </a:ext>
          </a:extLst>
        </xdr:cNvPr>
        <xdr:cNvSpPr/>
      </xdr:nvSpPr>
      <xdr:spPr>
        <a:xfrm>
          <a:off x="17052370" y="18014950"/>
          <a:ext cx="1190149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J15, système nerveux autonome 
14:51-15:23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16</xdr:col>
      <xdr:colOff>878443</xdr:colOff>
      <xdr:row>45</xdr:row>
      <xdr:rowOff>12700</xdr:rowOff>
    </xdr:from>
    <xdr:to>
      <xdr:col>17</xdr:col>
      <xdr:colOff>1037130</xdr:colOff>
      <xdr:row>45</xdr:row>
      <xdr:rowOff>387350</xdr:rowOff>
    </xdr:to>
    <xdr:sp macro="" textlink="">
      <xdr:nvSpPr>
        <xdr:cNvPr id="13698" name="Rechthoek: afgeronde hoeken 13697">
          <a:extLst>
            <a:ext uri="{FF2B5EF4-FFF2-40B4-BE49-F238E27FC236}">
              <a16:creationId xmlns:a16="http://schemas.microsoft.com/office/drawing/2014/main" id="{8D9646E3-8044-40B5-8D17-82A556FC7973}"/>
            </a:ext>
          </a:extLst>
        </xdr:cNvPr>
        <xdr:cNvSpPr/>
      </xdr:nvSpPr>
      <xdr:spPr>
        <a:xfrm>
          <a:off x="18242518" y="18014950"/>
          <a:ext cx="1292162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J15, Maladies, itinéraire thérapeutique
15:23-15:57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17</xdr:col>
      <xdr:colOff>1037129</xdr:colOff>
      <xdr:row>45</xdr:row>
      <xdr:rowOff>12700</xdr:rowOff>
    </xdr:from>
    <xdr:to>
      <xdr:col>19</xdr:col>
      <xdr:colOff>266366</xdr:colOff>
      <xdr:row>45</xdr:row>
      <xdr:rowOff>387350</xdr:rowOff>
    </xdr:to>
    <xdr:sp macro="" textlink="">
      <xdr:nvSpPr>
        <xdr:cNvPr id="13699" name="Rechthoek: afgeronde hoeken 13698">
          <a:extLst>
            <a:ext uri="{FF2B5EF4-FFF2-40B4-BE49-F238E27FC236}">
              <a16:creationId xmlns:a16="http://schemas.microsoft.com/office/drawing/2014/main" id="{C4BADBC9-1C06-38F6-1312-39C657C9B58B}"/>
            </a:ext>
          </a:extLst>
        </xdr:cNvPr>
        <xdr:cNvSpPr/>
      </xdr:nvSpPr>
      <xdr:spPr>
        <a:xfrm>
          <a:off x="19534679" y="18014950"/>
          <a:ext cx="1496187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J15, Nomenclature chimique- Isomérie 
15:57-16:37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19</xdr:col>
      <xdr:colOff>266367</xdr:colOff>
      <xdr:row>45</xdr:row>
      <xdr:rowOff>12700</xdr:rowOff>
    </xdr:from>
    <xdr:to>
      <xdr:col>20</xdr:col>
      <xdr:colOff>470393</xdr:colOff>
      <xdr:row>45</xdr:row>
      <xdr:rowOff>387350</xdr:rowOff>
    </xdr:to>
    <xdr:sp macro="" textlink="">
      <xdr:nvSpPr>
        <xdr:cNvPr id="13700" name="Rechthoek: afgeronde hoeken 13699">
          <a:extLst>
            <a:ext uri="{FF2B5EF4-FFF2-40B4-BE49-F238E27FC236}">
              <a16:creationId xmlns:a16="http://schemas.microsoft.com/office/drawing/2014/main" id="{60032F67-D6CA-113B-06BD-65B7791499B7}"/>
            </a:ext>
          </a:extLst>
        </xdr:cNvPr>
        <xdr:cNvSpPr/>
      </xdr:nvSpPr>
      <xdr:spPr>
        <a:xfrm>
          <a:off x="21030867" y="18014950"/>
          <a:ext cx="1337501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J10, Sociologie de la profession médicale
16:37-17:12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20</xdr:col>
      <xdr:colOff>470391</xdr:colOff>
      <xdr:row>45</xdr:row>
      <xdr:rowOff>12700</xdr:rowOff>
    </xdr:from>
    <xdr:to>
      <xdr:col>21</xdr:col>
      <xdr:colOff>1133474</xdr:colOff>
      <xdr:row>45</xdr:row>
      <xdr:rowOff>387350</xdr:rowOff>
    </xdr:to>
    <xdr:sp macro="" textlink="">
      <xdr:nvSpPr>
        <xdr:cNvPr id="13701" name="Rechthoek: afgeronde hoeken 13700">
          <a:extLst>
            <a:ext uri="{FF2B5EF4-FFF2-40B4-BE49-F238E27FC236}">
              <a16:creationId xmlns:a16="http://schemas.microsoft.com/office/drawing/2014/main" id="{5DED230B-CA76-1909-1B74-50869710F5DF}"/>
            </a:ext>
          </a:extLst>
        </xdr:cNvPr>
        <xdr:cNvSpPr/>
      </xdr:nvSpPr>
      <xdr:spPr>
        <a:xfrm>
          <a:off x="22368366" y="18014950"/>
          <a:ext cx="1796558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J10, Structure et role des nucléotides
17:12-08:20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46</xdr:row>
      <xdr:rowOff>12700</xdr:rowOff>
    </xdr:from>
    <xdr:to>
      <xdr:col>2</xdr:col>
      <xdr:colOff>787765</xdr:colOff>
      <xdr:row>46</xdr:row>
      <xdr:rowOff>387350</xdr:rowOff>
    </xdr:to>
    <xdr:sp macro="" textlink="">
      <xdr:nvSpPr>
        <xdr:cNvPr id="13702" name="Rechthoek: afgeronde hoeken 13701">
          <a:extLst>
            <a:ext uri="{FF2B5EF4-FFF2-40B4-BE49-F238E27FC236}">
              <a16:creationId xmlns:a16="http://schemas.microsoft.com/office/drawing/2014/main" id="{FE0C7C58-B8ED-AE6D-B9A9-30398103CB4D}"/>
            </a:ext>
          </a:extLst>
        </xdr:cNvPr>
        <xdr:cNvSpPr/>
      </xdr:nvSpPr>
      <xdr:spPr>
        <a:xfrm>
          <a:off x="1495425" y="18415000"/>
          <a:ext cx="787765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J10, Structure et role des nucléotides
17:12-08:20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787765</xdr:colOff>
      <xdr:row>46</xdr:row>
      <xdr:rowOff>12700</xdr:rowOff>
    </xdr:from>
    <xdr:to>
      <xdr:col>5</xdr:col>
      <xdr:colOff>62341</xdr:colOff>
      <xdr:row>46</xdr:row>
      <xdr:rowOff>387350</xdr:rowOff>
    </xdr:to>
    <xdr:sp macro="" textlink="">
      <xdr:nvSpPr>
        <xdr:cNvPr id="13703" name="Rechthoek: afgeronde hoeken 13702">
          <a:extLst>
            <a:ext uri="{FF2B5EF4-FFF2-40B4-BE49-F238E27FC236}">
              <a16:creationId xmlns:a16="http://schemas.microsoft.com/office/drawing/2014/main" id="{F57D49E3-4B69-E76C-5D9A-26803CC6EF0E}"/>
            </a:ext>
          </a:extLst>
        </xdr:cNvPr>
        <xdr:cNvSpPr/>
      </xdr:nvSpPr>
      <xdr:spPr>
        <a:xfrm>
          <a:off x="2283190" y="18415000"/>
          <a:ext cx="2675001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J10, évolution des conceptions relatives au stress
08:20-09:31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62341</xdr:colOff>
      <xdr:row>46</xdr:row>
      <xdr:rowOff>12700</xdr:rowOff>
    </xdr:from>
    <xdr:to>
      <xdr:col>7</xdr:col>
      <xdr:colOff>855774</xdr:colOff>
      <xdr:row>46</xdr:row>
      <xdr:rowOff>387350</xdr:rowOff>
    </xdr:to>
    <xdr:sp macro="" textlink="">
      <xdr:nvSpPr>
        <xdr:cNvPr id="13704" name="Rechthoek: afgeronde hoeken 13703">
          <a:extLst>
            <a:ext uri="{FF2B5EF4-FFF2-40B4-BE49-F238E27FC236}">
              <a16:creationId xmlns:a16="http://schemas.microsoft.com/office/drawing/2014/main" id="{BFB60BE4-55D5-60D8-C899-6F3F1EACE04E}"/>
            </a:ext>
          </a:extLst>
        </xdr:cNvPr>
        <xdr:cNvSpPr/>
      </xdr:nvSpPr>
      <xdr:spPr>
        <a:xfrm>
          <a:off x="4958191" y="18415000"/>
          <a:ext cx="3060383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J0, Dérivés carbonyles
09:31-10:52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7</xdr:col>
      <xdr:colOff>855773</xdr:colOff>
      <xdr:row>46</xdr:row>
      <xdr:rowOff>12700</xdr:rowOff>
    </xdr:from>
    <xdr:to>
      <xdr:col>11</xdr:col>
      <xdr:colOff>402383</xdr:colOff>
      <xdr:row>46</xdr:row>
      <xdr:rowOff>387350</xdr:rowOff>
    </xdr:to>
    <xdr:sp macro="" textlink="">
      <xdr:nvSpPr>
        <xdr:cNvPr id="13705" name="Rechthoek: afgeronde hoeken 13704">
          <a:extLst>
            <a:ext uri="{FF2B5EF4-FFF2-40B4-BE49-F238E27FC236}">
              <a16:creationId xmlns:a16="http://schemas.microsoft.com/office/drawing/2014/main" id="{9A53C5CE-CE83-6C39-7C99-97F412F4DE75}"/>
            </a:ext>
          </a:extLst>
        </xdr:cNvPr>
        <xdr:cNvSpPr/>
      </xdr:nvSpPr>
      <xdr:spPr>
        <a:xfrm>
          <a:off x="8018573" y="18415000"/>
          <a:ext cx="4080510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J0, Enjeux éthiques 
10:52-12:40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11</xdr:col>
      <xdr:colOff>402384</xdr:colOff>
      <xdr:row>46</xdr:row>
      <xdr:rowOff>12700</xdr:rowOff>
    </xdr:from>
    <xdr:to>
      <xdr:col>11</xdr:col>
      <xdr:colOff>1014460</xdr:colOff>
      <xdr:row>46</xdr:row>
      <xdr:rowOff>387350</xdr:rowOff>
    </xdr:to>
    <xdr:sp macro="" textlink="">
      <xdr:nvSpPr>
        <xdr:cNvPr id="13706" name="Rechthoek: afgeronde hoeken 13705">
          <a:extLst>
            <a:ext uri="{FF2B5EF4-FFF2-40B4-BE49-F238E27FC236}">
              <a16:creationId xmlns:a16="http://schemas.microsoft.com/office/drawing/2014/main" id="{3D1EEFF1-95BA-C0C5-219E-1720A59758F3}"/>
            </a:ext>
          </a:extLst>
        </xdr:cNvPr>
        <xdr:cNvSpPr/>
      </xdr:nvSpPr>
      <xdr:spPr>
        <a:xfrm>
          <a:off x="12099084" y="18415000"/>
          <a:ext cx="612076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J30, Intervention rééducation part-4
12:40-12:56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11</xdr:col>
      <xdr:colOff>1014460</xdr:colOff>
      <xdr:row>46</xdr:row>
      <xdr:rowOff>12700</xdr:rowOff>
    </xdr:from>
    <xdr:to>
      <xdr:col>12</xdr:col>
      <xdr:colOff>595074</xdr:colOff>
      <xdr:row>46</xdr:row>
      <xdr:rowOff>387350</xdr:rowOff>
    </xdr:to>
    <xdr:sp macro="" textlink="">
      <xdr:nvSpPr>
        <xdr:cNvPr id="13707" name="Rechthoek: afgeronde hoeken 13706">
          <a:extLst>
            <a:ext uri="{FF2B5EF4-FFF2-40B4-BE49-F238E27FC236}">
              <a16:creationId xmlns:a16="http://schemas.microsoft.com/office/drawing/2014/main" id="{A2F8AA30-624D-DAD1-CEFF-06DE68E2B567}"/>
            </a:ext>
          </a:extLst>
        </xdr:cNvPr>
        <xdr:cNvSpPr/>
      </xdr:nvSpPr>
      <xdr:spPr>
        <a:xfrm>
          <a:off x="12711160" y="18415000"/>
          <a:ext cx="714089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J30, Elément introductif en santé publique
12:56-13:15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12</xdr:col>
      <xdr:colOff>595074</xdr:colOff>
      <xdr:row>46</xdr:row>
      <xdr:rowOff>12700</xdr:rowOff>
    </xdr:from>
    <xdr:to>
      <xdr:col>14</xdr:col>
      <xdr:colOff>572404</xdr:colOff>
      <xdr:row>46</xdr:row>
      <xdr:rowOff>387350</xdr:rowOff>
    </xdr:to>
    <xdr:sp macro="" textlink="">
      <xdr:nvSpPr>
        <xdr:cNvPr id="13708" name="Rechthoek: afgeronde hoeken 13707">
          <a:extLst>
            <a:ext uri="{FF2B5EF4-FFF2-40B4-BE49-F238E27FC236}">
              <a16:creationId xmlns:a16="http://schemas.microsoft.com/office/drawing/2014/main" id="{FC3B6AF8-E866-91F7-2AB7-25A0CC45B675}"/>
            </a:ext>
          </a:extLst>
        </xdr:cNvPr>
        <xdr:cNvSpPr/>
      </xdr:nvSpPr>
      <xdr:spPr>
        <a:xfrm>
          <a:off x="13425249" y="18415000"/>
          <a:ext cx="2244280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J2, Probabiltés
13:15-14:15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14</xdr:col>
      <xdr:colOff>572405</xdr:colOff>
      <xdr:row>46</xdr:row>
      <xdr:rowOff>12700</xdr:rowOff>
    </xdr:from>
    <xdr:to>
      <xdr:col>17</xdr:col>
      <xdr:colOff>912447</xdr:colOff>
      <xdr:row>46</xdr:row>
      <xdr:rowOff>387350</xdr:rowOff>
    </xdr:to>
    <xdr:sp macro="" textlink="">
      <xdr:nvSpPr>
        <xdr:cNvPr id="13709" name="Rechthoek: afgeronde hoeken 13708">
          <a:extLst>
            <a:ext uri="{FF2B5EF4-FFF2-40B4-BE49-F238E27FC236}">
              <a16:creationId xmlns:a16="http://schemas.microsoft.com/office/drawing/2014/main" id="{14F5DA46-BC2E-36D9-3424-18C431CB74B9}"/>
            </a:ext>
          </a:extLst>
        </xdr:cNvPr>
        <xdr:cNvSpPr/>
      </xdr:nvSpPr>
      <xdr:spPr>
        <a:xfrm>
          <a:off x="15669530" y="18415000"/>
          <a:ext cx="3740467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J2, Métrologie 
14:15-15:54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17</xdr:col>
      <xdr:colOff>912447</xdr:colOff>
      <xdr:row>46</xdr:row>
      <xdr:rowOff>12700</xdr:rowOff>
    </xdr:from>
    <xdr:to>
      <xdr:col>18</xdr:col>
      <xdr:colOff>912447</xdr:colOff>
      <xdr:row>46</xdr:row>
      <xdr:rowOff>387350</xdr:rowOff>
    </xdr:to>
    <xdr:sp macro="" textlink="">
      <xdr:nvSpPr>
        <xdr:cNvPr id="13710" name="Rechthoek: afgeronde hoeken 13709">
          <a:extLst>
            <a:ext uri="{FF2B5EF4-FFF2-40B4-BE49-F238E27FC236}">
              <a16:creationId xmlns:a16="http://schemas.microsoft.com/office/drawing/2014/main" id="{F5934338-1CC6-A7EC-99EF-5F9C07B89657}"/>
            </a:ext>
          </a:extLst>
        </xdr:cNvPr>
        <xdr:cNvSpPr/>
      </xdr:nvSpPr>
      <xdr:spPr>
        <a:xfrm>
          <a:off x="19409997" y="18415000"/>
          <a:ext cx="1133475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J10, Appareil locomoteur 3
15:54-16:24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18</xdr:col>
      <xdr:colOff>912447</xdr:colOff>
      <xdr:row>46</xdr:row>
      <xdr:rowOff>12700</xdr:rowOff>
    </xdr:from>
    <xdr:to>
      <xdr:col>20</xdr:col>
      <xdr:colOff>5667</xdr:colOff>
      <xdr:row>46</xdr:row>
      <xdr:rowOff>387350</xdr:rowOff>
    </xdr:to>
    <xdr:sp macro="" textlink="">
      <xdr:nvSpPr>
        <xdr:cNvPr id="13711" name="Rechthoek: afgeronde hoeken 13710">
          <a:extLst>
            <a:ext uri="{FF2B5EF4-FFF2-40B4-BE49-F238E27FC236}">
              <a16:creationId xmlns:a16="http://schemas.microsoft.com/office/drawing/2014/main" id="{6FD2CA47-287D-A97D-338B-18960840819A}"/>
            </a:ext>
          </a:extLst>
        </xdr:cNvPr>
        <xdr:cNvSpPr/>
      </xdr:nvSpPr>
      <xdr:spPr>
        <a:xfrm>
          <a:off x="20543472" y="18415000"/>
          <a:ext cx="1360170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J10, tests stats et méthodologie de choix de test 
16:24-17:00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20</xdr:col>
      <xdr:colOff>5668</xdr:colOff>
      <xdr:row>46</xdr:row>
      <xdr:rowOff>12700</xdr:rowOff>
    </xdr:from>
    <xdr:to>
      <xdr:col>21</xdr:col>
      <xdr:colOff>889779</xdr:colOff>
      <xdr:row>46</xdr:row>
      <xdr:rowOff>387350</xdr:rowOff>
    </xdr:to>
    <xdr:sp macro="" textlink="">
      <xdr:nvSpPr>
        <xdr:cNvPr id="13712" name="Rechthoek: afgeronde hoeken 13711">
          <a:extLst>
            <a:ext uri="{FF2B5EF4-FFF2-40B4-BE49-F238E27FC236}">
              <a16:creationId xmlns:a16="http://schemas.microsoft.com/office/drawing/2014/main" id="{FEBCD410-A666-628B-E326-724E49F1E7A4}"/>
            </a:ext>
          </a:extLst>
        </xdr:cNvPr>
        <xdr:cNvSpPr/>
      </xdr:nvSpPr>
      <xdr:spPr>
        <a:xfrm>
          <a:off x="21903643" y="18415000"/>
          <a:ext cx="2017586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J10, Signalisation intracellulaire part 2
17:00-17:53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21</xdr:col>
      <xdr:colOff>889778</xdr:colOff>
      <xdr:row>46</xdr:row>
      <xdr:rowOff>12700</xdr:rowOff>
    </xdr:from>
    <xdr:to>
      <xdr:col>22</xdr:col>
      <xdr:colOff>0</xdr:colOff>
      <xdr:row>46</xdr:row>
      <xdr:rowOff>387350</xdr:rowOff>
    </xdr:to>
    <xdr:sp macro="" textlink="">
      <xdr:nvSpPr>
        <xdr:cNvPr id="13713" name="Rechthoek: afgeronde hoeken 13712">
          <a:extLst>
            <a:ext uri="{FF2B5EF4-FFF2-40B4-BE49-F238E27FC236}">
              <a16:creationId xmlns:a16="http://schemas.microsoft.com/office/drawing/2014/main" id="{46E7E91A-8A99-14E7-0400-BF4C31BBA51A}"/>
            </a:ext>
          </a:extLst>
        </xdr:cNvPr>
        <xdr:cNvSpPr/>
      </xdr:nvSpPr>
      <xdr:spPr>
        <a:xfrm>
          <a:off x="23921228" y="18415000"/>
          <a:ext cx="243697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J10, Membre supérieur 2 
17:53-08:54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47</xdr:row>
      <xdr:rowOff>12700</xdr:rowOff>
    </xdr:from>
    <xdr:to>
      <xdr:col>3</xdr:col>
      <xdr:colOff>935117</xdr:colOff>
      <xdr:row>47</xdr:row>
      <xdr:rowOff>387350</xdr:rowOff>
    </xdr:to>
    <xdr:sp macro="" textlink="">
      <xdr:nvSpPr>
        <xdr:cNvPr id="13714" name="Rechthoek: afgeronde hoeken 13713">
          <a:extLst>
            <a:ext uri="{FF2B5EF4-FFF2-40B4-BE49-F238E27FC236}">
              <a16:creationId xmlns:a16="http://schemas.microsoft.com/office/drawing/2014/main" id="{441BE9F5-26E0-2123-DE5C-C7538B96F9A9}"/>
            </a:ext>
          </a:extLst>
        </xdr:cNvPr>
        <xdr:cNvSpPr/>
      </xdr:nvSpPr>
      <xdr:spPr>
        <a:xfrm>
          <a:off x="1495425" y="18815050"/>
          <a:ext cx="2068592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J10, Membre supérieur 2 
17:53-08:54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935117</xdr:colOff>
      <xdr:row>47</xdr:row>
      <xdr:rowOff>12700</xdr:rowOff>
    </xdr:from>
    <xdr:to>
      <xdr:col>5</xdr:col>
      <xdr:colOff>680085</xdr:colOff>
      <xdr:row>47</xdr:row>
      <xdr:rowOff>387350</xdr:rowOff>
    </xdr:to>
    <xdr:sp macro="" textlink="">
      <xdr:nvSpPr>
        <xdr:cNvPr id="13715" name="Rechthoek: afgeronde hoeken 13714">
          <a:extLst>
            <a:ext uri="{FF2B5EF4-FFF2-40B4-BE49-F238E27FC236}">
              <a16:creationId xmlns:a16="http://schemas.microsoft.com/office/drawing/2014/main" id="{72F67B99-2B6A-0912-150F-8F5383BE5BC5}"/>
            </a:ext>
          </a:extLst>
        </xdr:cNvPr>
        <xdr:cNvSpPr/>
      </xdr:nvSpPr>
      <xdr:spPr>
        <a:xfrm>
          <a:off x="3564017" y="18815050"/>
          <a:ext cx="2011918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J6, Prévention-Alla 
08:54-09:48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680085</xdr:colOff>
      <xdr:row>47</xdr:row>
      <xdr:rowOff>12700</xdr:rowOff>
    </xdr:from>
    <xdr:to>
      <xdr:col>7</xdr:col>
      <xdr:colOff>425053</xdr:colOff>
      <xdr:row>47</xdr:row>
      <xdr:rowOff>387350</xdr:rowOff>
    </xdr:to>
    <xdr:sp macro="" textlink="">
      <xdr:nvSpPr>
        <xdr:cNvPr id="13716" name="Rechthoek: afgeronde hoeken 13715">
          <a:extLst>
            <a:ext uri="{FF2B5EF4-FFF2-40B4-BE49-F238E27FC236}">
              <a16:creationId xmlns:a16="http://schemas.microsoft.com/office/drawing/2014/main" id="{DE29CFEF-CE38-B97F-C5F2-27F766823716}"/>
            </a:ext>
          </a:extLst>
        </xdr:cNvPr>
        <xdr:cNvSpPr/>
      </xdr:nvSpPr>
      <xdr:spPr>
        <a:xfrm>
          <a:off x="5575935" y="18815050"/>
          <a:ext cx="2011918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J6, Transports membranaires
09:48-10:41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7</xdr:col>
      <xdr:colOff>425053</xdr:colOff>
      <xdr:row>47</xdr:row>
      <xdr:rowOff>12700</xdr:rowOff>
    </xdr:from>
    <xdr:to>
      <xdr:col>7</xdr:col>
      <xdr:colOff>935117</xdr:colOff>
      <xdr:row>47</xdr:row>
      <xdr:rowOff>387350</xdr:rowOff>
    </xdr:to>
    <xdr:sp macro="" textlink="">
      <xdr:nvSpPr>
        <xdr:cNvPr id="13717" name="Rechthoek: afgeronde hoeken 13716">
          <a:extLst>
            <a:ext uri="{FF2B5EF4-FFF2-40B4-BE49-F238E27FC236}">
              <a16:creationId xmlns:a16="http://schemas.microsoft.com/office/drawing/2014/main" id="{EC33387F-8B04-6F85-2080-4E33E5106735}"/>
            </a:ext>
          </a:extLst>
        </xdr:cNvPr>
        <xdr:cNvSpPr/>
      </xdr:nvSpPr>
      <xdr:spPr>
        <a:xfrm>
          <a:off x="7587853" y="18815050"/>
          <a:ext cx="510064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J30, Membre inférieur 3
10:41-10:54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7</xdr:col>
      <xdr:colOff>935117</xdr:colOff>
      <xdr:row>47</xdr:row>
      <xdr:rowOff>12700</xdr:rowOff>
    </xdr:from>
    <xdr:to>
      <xdr:col>8</xdr:col>
      <xdr:colOff>527066</xdr:colOff>
      <xdr:row>47</xdr:row>
      <xdr:rowOff>387350</xdr:rowOff>
    </xdr:to>
    <xdr:sp macro="" textlink="">
      <xdr:nvSpPr>
        <xdr:cNvPr id="13718" name="Rechthoek: afgeronde hoeken 13717">
          <a:extLst>
            <a:ext uri="{FF2B5EF4-FFF2-40B4-BE49-F238E27FC236}">
              <a16:creationId xmlns:a16="http://schemas.microsoft.com/office/drawing/2014/main" id="{0F2A7568-D2B5-0A70-A623-302DF7761436}"/>
            </a:ext>
          </a:extLst>
        </xdr:cNvPr>
        <xdr:cNvSpPr/>
      </xdr:nvSpPr>
      <xdr:spPr>
        <a:xfrm>
          <a:off x="8097917" y="18815050"/>
          <a:ext cx="725424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J30, Outils mathématique 
10:54-11:13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8</xdr:col>
      <xdr:colOff>527066</xdr:colOff>
      <xdr:row>47</xdr:row>
      <xdr:rowOff>12700</xdr:rowOff>
    </xdr:from>
    <xdr:to>
      <xdr:col>9</xdr:col>
      <xdr:colOff>379714</xdr:colOff>
      <xdr:row>47</xdr:row>
      <xdr:rowOff>387350</xdr:rowOff>
    </xdr:to>
    <xdr:sp macro="" textlink="">
      <xdr:nvSpPr>
        <xdr:cNvPr id="13719" name="Rechthoek: afgeronde hoeken 13718">
          <a:extLst>
            <a:ext uri="{FF2B5EF4-FFF2-40B4-BE49-F238E27FC236}">
              <a16:creationId xmlns:a16="http://schemas.microsoft.com/office/drawing/2014/main" id="{0627BC6A-44D9-6674-9EF1-43EFA599419E}"/>
            </a:ext>
          </a:extLst>
        </xdr:cNvPr>
        <xdr:cNvSpPr/>
      </xdr:nvSpPr>
      <xdr:spPr>
        <a:xfrm>
          <a:off x="8823341" y="18815050"/>
          <a:ext cx="986123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J30, Mutations 
11:13-11:40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9</xdr:col>
      <xdr:colOff>379714</xdr:colOff>
      <xdr:row>47</xdr:row>
      <xdr:rowOff>12700</xdr:rowOff>
    </xdr:from>
    <xdr:to>
      <xdr:col>10</xdr:col>
      <xdr:colOff>289036</xdr:colOff>
      <xdr:row>47</xdr:row>
      <xdr:rowOff>387350</xdr:rowOff>
    </xdr:to>
    <xdr:sp macro="" textlink="">
      <xdr:nvSpPr>
        <xdr:cNvPr id="13720" name="Rechthoek: afgeronde hoeken 13719">
          <a:extLst>
            <a:ext uri="{FF2B5EF4-FFF2-40B4-BE49-F238E27FC236}">
              <a16:creationId xmlns:a16="http://schemas.microsoft.com/office/drawing/2014/main" id="{7C547E10-4CEB-1B9C-1A4E-4A22BF475F02}"/>
            </a:ext>
          </a:extLst>
        </xdr:cNvPr>
        <xdr:cNvSpPr/>
      </xdr:nvSpPr>
      <xdr:spPr>
        <a:xfrm>
          <a:off x="9809464" y="18815050"/>
          <a:ext cx="1042797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J30, La composition des membranes cellulaire
11:40-12:07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10</xdr:col>
      <xdr:colOff>289036</xdr:colOff>
      <xdr:row>47</xdr:row>
      <xdr:rowOff>12700</xdr:rowOff>
    </xdr:from>
    <xdr:to>
      <xdr:col>12</xdr:col>
      <xdr:colOff>776430</xdr:colOff>
      <xdr:row>47</xdr:row>
      <xdr:rowOff>387350</xdr:rowOff>
    </xdr:to>
    <xdr:sp macro="" textlink="">
      <xdr:nvSpPr>
        <xdr:cNvPr id="13721" name="Rechthoek: afgeronde hoeken 13720">
          <a:extLst>
            <a:ext uri="{FF2B5EF4-FFF2-40B4-BE49-F238E27FC236}">
              <a16:creationId xmlns:a16="http://schemas.microsoft.com/office/drawing/2014/main" id="{68D9B8EF-52A4-B16E-5C1C-568A5BF0821A}"/>
            </a:ext>
          </a:extLst>
        </xdr:cNvPr>
        <xdr:cNvSpPr/>
      </xdr:nvSpPr>
      <xdr:spPr>
        <a:xfrm>
          <a:off x="10852261" y="18815050"/>
          <a:ext cx="2754344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J2, Dérivés carbonyles
12:07-13:20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12</xdr:col>
      <xdr:colOff>776430</xdr:colOff>
      <xdr:row>47</xdr:row>
      <xdr:rowOff>12700</xdr:rowOff>
    </xdr:from>
    <xdr:to>
      <xdr:col>15</xdr:col>
      <xdr:colOff>1048464</xdr:colOff>
      <xdr:row>47</xdr:row>
      <xdr:rowOff>387350</xdr:rowOff>
    </xdr:to>
    <xdr:sp macro="" textlink="">
      <xdr:nvSpPr>
        <xdr:cNvPr id="13722" name="Rechthoek: afgeronde hoeken 13721">
          <a:extLst>
            <a:ext uri="{FF2B5EF4-FFF2-40B4-BE49-F238E27FC236}">
              <a16:creationId xmlns:a16="http://schemas.microsoft.com/office/drawing/2014/main" id="{A5952CE2-B690-B9B4-B9C6-780F34D6B013}"/>
            </a:ext>
          </a:extLst>
        </xdr:cNvPr>
        <xdr:cNvSpPr/>
      </xdr:nvSpPr>
      <xdr:spPr>
        <a:xfrm>
          <a:off x="13606605" y="18815050"/>
          <a:ext cx="3672459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J2, Enjeux éthiques 
13:20-14:57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15</xdr:col>
      <xdr:colOff>1048465</xdr:colOff>
      <xdr:row>47</xdr:row>
      <xdr:rowOff>12700</xdr:rowOff>
    </xdr:from>
    <xdr:to>
      <xdr:col>17</xdr:col>
      <xdr:colOff>504397</xdr:colOff>
      <xdr:row>47</xdr:row>
      <xdr:rowOff>387350</xdr:rowOff>
    </xdr:to>
    <xdr:sp macro="" textlink="">
      <xdr:nvSpPr>
        <xdr:cNvPr id="13723" name="Rechthoek: afgeronde hoeken 13722">
          <a:extLst>
            <a:ext uri="{FF2B5EF4-FFF2-40B4-BE49-F238E27FC236}">
              <a16:creationId xmlns:a16="http://schemas.microsoft.com/office/drawing/2014/main" id="{73CE071A-114B-B0A3-081E-1518144003C7}"/>
            </a:ext>
          </a:extLst>
        </xdr:cNvPr>
        <xdr:cNvSpPr/>
      </xdr:nvSpPr>
      <xdr:spPr>
        <a:xfrm>
          <a:off x="17279065" y="18815050"/>
          <a:ext cx="1722882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J10, Appareil locomoteur 2
14:57-15:43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17</xdr:col>
      <xdr:colOff>504397</xdr:colOff>
      <xdr:row>47</xdr:row>
      <xdr:rowOff>12700</xdr:rowOff>
    </xdr:from>
    <xdr:to>
      <xdr:col>19</xdr:col>
      <xdr:colOff>935117</xdr:colOff>
      <xdr:row>47</xdr:row>
      <xdr:rowOff>387350</xdr:rowOff>
    </xdr:to>
    <xdr:sp macro="" textlink="">
      <xdr:nvSpPr>
        <xdr:cNvPr id="13724" name="Rechthoek: afgeronde hoeken 13723">
          <a:extLst>
            <a:ext uri="{FF2B5EF4-FFF2-40B4-BE49-F238E27FC236}">
              <a16:creationId xmlns:a16="http://schemas.microsoft.com/office/drawing/2014/main" id="{0DDA2B5F-3968-478F-84FB-0DD1CC3E8D81}"/>
            </a:ext>
          </a:extLst>
        </xdr:cNvPr>
        <xdr:cNvSpPr/>
      </xdr:nvSpPr>
      <xdr:spPr>
        <a:xfrm>
          <a:off x="19001947" y="18815050"/>
          <a:ext cx="2697670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J10, Méthode d'évaluation du stress objectif 
15:43-16:54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19</xdr:col>
      <xdr:colOff>935117</xdr:colOff>
      <xdr:row>47</xdr:row>
      <xdr:rowOff>12700</xdr:rowOff>
    </xdr:from>
    <xdr:to>
      <xdr:col>20</xdr:col>
      <xdr:colOff>821769</xdr:colOff>
      <xdr:row>47</xdr:row>
      <xdr:rowOff>387350</xdr:rowOff>
    </xdr:to>
    <xdr:sp macro="" textlink="">
      <xdr:nvSpPr>
        <xdr:cNvPr id="13725" name="Rechthoek: afgeronde hoeken 13724">
          <a:extLst>
            <a:ext uri="{FF2B5EF4-FFF2-40B4-BE49-F238E27FC236}">
              <a16:creationId xmlns:a16="http://schemas.microsoft.com/office/drawing/2014/main" id="{6E1F306B-D7E3-36CF-B4A3-EB27CEF2955C}"/>
            </a:ext>
          </a:extLst>
        </xdr:cNvPr>
        <xdr:cNvSpPr/>
      </xdr:nvSpPr>
      <xdr:spPr>
        <a:xfrm>
          <a:off x="21699617" y="18815050"/>
          <a:ext cx="1020127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J6, Détection des rayonnements 
16:54-17:21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20</xdr:col>
      <xdr:colOff>821770</xdr:colOff>
      <xdr:row>47</xdr:row>
      <xdr:rowOff>12700</xdr:rowOff>
    </xdr:from>
    <xdr:to>
      <xdr:col>22</xdr:col>
      <xdr:colOff>1</xdr:colOff>
      <xdr:row>47</xdr:row>
      <xdr:rowOff>387350</xdr:rowOff>
    </xdr:to>
    <xdr:sp macro="" textlink="">
      <xdr:nvSpPr>
        <xdr:cNvPr id="13726" name="Rechthoek: afgeronde hoeken 13725">
          <a:extLst>
            <a:ext uri="{FF2B5EF4-FFF2-40B4-BE49-F238E27FC236}">
              <a16:creationId xmlns:a16="http://schemas.microsoft.com/office/drawing/2014/main" id="{BF2AABF8-D64F-4157-2F09-23D0E7114455}"/>
            </a:ext>
          </a:extLst>
        </xdr:cNvPr>
        <xdr:cNvSpPr/>
      </xdr:nvSpPr>
      <xdr:spPr>
        <a:xfrm>
          <a:off x="22719745" y="18815050"/>
          <a:ext cx="1445181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J6, Atomes
17:21-08:11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48</xdr:row>
      <xdr:rowOff>12700</xdr:rowOff>
    </xdr:from>
    <xdr:to>
      <xdr:col>2</xdr:col>
      <xdr:colOff>425053</xdr:colOff>
      <xdr:row>48</xdr:row>
      <xdr:rowOff>387350</xdr:rowOff>
    </xdr:to>
    <xdr:sp macro="" textlink="">
      <xdr:nvSpPr>
        <xdr:cNvPr id="13727" name="Rechthoek: afgeronde hoeken 13726">
          <a:extLst>
            <a:ext uri="{FF2B5EF4-FFF2-40B4-BE49-F238E27FC236}">
              <a16:creationId xmlns:a16="http://schemas.microsoft.com/office/drawing/2014/main" id="{01C6AFAB-041E-6C67-4AC5-E00833BDCFF1}"/>
            </a:ext>
          </a:extLst>
        </xdr:cNvPr>
        <xdr:cNvSpPr/>
      </xdr:nvSpPr>
      <xdr:spPr>
        <a:xfrm>
          <a:off x="1495425" y="19215100"/>
          <a:ext cx="425053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J6, Atomes
17:21-08:11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425053</xdr:colOff>
      <xdr:row>48</xdr:row>
      <xdr:rowOff>12700</xdr:rowOff>
    </xdr:from>
    <xdr:to>
      <xdr:col>4</xdr:col>
      <xdr:colOff>538401</xdr:colOff>
      <xdr:row>48</xdr:row>
      <xdr:rowOff>387350</xdr:rowOff>
    </xdr:to>
    <xdr:sp macro="" textlink="">
      <xdr:nvSpPr>
        <xdr:cNvPr id="13728" name="Rechthoek: afgeronde hoeken 13727">
          <a:extLst>
            <a:ext uri="{FF2B5EF4-FFF2-40B4-BE49-F238E27FC236}">
              <a16:creationId xmlns:a16="http://schemas.microsoft.com/office/drawing/2014/main" id="{BBCE0233-701B-914D-8D32-E7F3A1B25F96}"/>
            </a:ext>
          </a:extLst>
        </xdr:cNvPr>
        <xdr:cNvSpPr/>
      </xdr:nvSpPr>
      <xdr:spPr>
        <a:xfrm>
          <a:off x="1920478" y="19215100"/>
          <a:ext cx="2380298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J6, Cellules souches
08:11-09:14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4</xdr:col>
      <xdr:colOff>538400</xdr:colOff>
      <xdr:row>48</xdr:row>
      <xdr:rowOff>12700</xdr:rowOff>
    </xdr:from>
    <xdr:to>
      <xdr:col>6</xdr:col>
      <xdr:colOff>1133474</xdr:colOff>
      <xdr:row>48</xdr:row>
      <xdr:rowOff>387350</xdr:rowOff>
    </xdr:to>
    <xdr:sp macro="" textlink="">
      <xdr:nvSpPr>
        <xdr:cNvPr id="13729" name="Rechthoek: afgeronde hoeken 13728">
          <a:extLst>
            <a:ext uri="{FF2B5EF4-FFF2-40B4-BE49-F238E27FC236}">
              <a16:creationId xmlns:a16="http://schemas.microsoft.com/office/drawing/2014/main" id="{7CF3206A-EED0-4116-CB18-634AB6A6ACD9}"/>
            </a:ext>
          </a:extLst>
        </xdr:cNvPr>
        <xdr:cNvSpPr/>
      </xdr:nvSpPr>
      <xdr:spPr>
        <a:xfrm>
          <a:off x="4300775" y="19215100"/>
          <a:ext cx="2862024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J6, Mouvement molécules de surface
09:14-10:30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7</xdr:col>
      <xdr:colOff>0</xdr:colOff>
      <xdr:row>48</xdr:row>
      <xdr:rowOff>12700</xdr:rowOff>
    </xdr:from>
    <xdr:to>
      <xdr:col>9</xdr:col>
      <xdr:colOff>821769</xdr:colOff>
      <xdr:row>48</xdr:row>
      <xdr:rowOff>387350</xdr:rowOff>
    </xdr:to>
    <xdr:sp macro="" textlink="">
      <xdr:nvSpPr>
        <xdr:cNvPr id="13730" name="Rechthoek: afgeronde hoeken 13729">
          <a:extLst>
            <a:ext uri="{FF2B5EF4-FFF2-40B4-BE49-F238E27FC236}">
              <a16:creationId xmlns:a16="http://schemas.microsoft.com/office/drawing/2014/main" id="{7519750D-9696-C201-083D-9E465AF78B0D}"/>
            </a:ext>
          </a:extLst>
        </xdr:cNvPr>
        <xdr:cNvSpPr/>
      </xdr:nvSpPr>
      <xdr:spPr>
        <a:xfrm>
          <a:off x="7162800" y="19215100"/>
          <a:ext cx="3088719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J6, Molécules du vivant
10:30-11:51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9</xdr:col>
      <xdr:colOff>821769</xdr:colOff>
      <xdr:row>48</xdr:row>
      <xdr:rowOff>12700</xdr:rowOff>
    </xdr:from>
    <xdr:to>
      <xdr:col>10</xdr:col>
      <xdr:colOff>1093803</xdr:colOff>
      <xdr:row>48</xdr:row>
      <xdr:rowOff>387350</xdr:rowOff>
    </xdr:to>
    <xdr:sp macro="" textlink="">
      <xdr:nvSpPr>
        <xdr:cNvPr id="13731" name="Rechthoek: afgeronde hoeken 13730">
          <a:extLst>
            <a:ext uri="{FF2B5EF4-FFF2-40B4-BE49-F238E27FC236}">
              <a16:creationId xmlns:a16="http://schemas.microsoft.com/office/drawing/2014/main" id="{A48D7851-572A-468B-9AE0-376400D4D95C}"/>
            </a:ext>
          </a:extLst>
        </xdr:cNvPr>
        <xdr:cNvSpPr/>
      </xdr:nvSpPr>
      <xdr:spPr>
        <a:xfrm>
          <a:off x="10251519" y="19215100"/>
          <a:ext cx="1405509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J10, stats descriptives
11:51-12:28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10</xdr:col>
      <xdr:colOff>1093803</xdr:colOff>
      <xdr:row>48</xdr:row>
      <xdr:rowOff>12700</xdr:rowOff>
    </xdr:from>
    <xdr:to>
      <xdr:col>12</xdr:col>
      <xdr:colOff>232362</xdr:colOff>
      <xdr:row>48</xdr:row>
      <xdr:rowOff>387350</xdr:rowOff>
    </xdr:to>
    <xdr:sp macro="" textlink="">
      <xdr:nvSpPr>
        <xdr:cNvPr id="13732" name="Rechthoek: afgeronde hoeken 13731">
          <a:extLst>
            <a:ext uri="{FF2B5EF4-FFF2-40B4-BE49-F238E27FC236}">
              <a16:creationId xmlns:a16="http://schemas.microsoft.com/office/drawing/2014/main" id="{511D6CC1-6E34-CDA1-0FE5-D99C8A1B8B7D}"/>
            </a:ext>
          </a:extLst>
        </xdr:cNvPr>
        <xdr:cNvSpPr/>
      </xdr:nvSpPr>
      <xdr:spPr>
        <a:xfrm>
          <a:off x="11657028" y="19215100"/>
          <a:ext cx="1405509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J10, Cou
12:28-13:06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12</xdr:col>
      <xdr:colOff>232363</xdr:colOff>
      <xdr:row>48</xdr:row>
      <xdr:rowOff>12700</xdr:rowOff>
    </xdr:from>
    <xdr:to>
      <xdr:col>14</xdr:col>
      <xdr:colOff>368380</xdr:colOff>
      <xdr:row>48</xdr:row>
      <xdr:rowOff>387350</xdr:rowOff>
    </xdr:to>
    <xdr:sp macro="" textlink="">
      <xdr:nvSpPr>
        <xdr:cNvPr id="13733" name="Rechthoek: afgeronde hoeken 13732">
          <a:extLst>
            <a:ext uri="{FF2B5EF4-FFF2-40B4-BE49-F238E27FC236}">
              <a16:creationId xmlns:a16="http://schemas.microsoft.com/office/drawing/2014/main" id="{4B2CB6F5-2DE7-F693-08F1-2796697F65FC}"/>
            </a:ext>
          </a:extLst>
        </xdr:cNvPr>
        <xdr:cNvSpPr/>
      </xdr:nvSpPr>
      <xdr:spPr>
        <a:xfrm>
          <a:off x="13062538" y="19215100"/>
          <a:ext cx="2402967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J10, Synthèse et dégradation des protéines
13:06-14:09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14</xdr:col>
      <xdr:colOff>368379</xdr:colOff>
      <xdr:row>48</xdr:row>
      <xdr:rowOff>12700</xdr:rowOff>
    </xdr:from>
    <xdr:to>
      <xdr:col>15</xdr:col>
      <xdr:colOff>368379</xdr:colOff>
      <xdr:row>48</xdr:row>
      <xdr:rowOff>387350</xdr:rowOff>
    </xdr:to>
    <xdr:sp macro="" textlink="">
      <xdr:nvSpPr>
        <xdr:cNvPr id="13734" name="Rechthoek: afgeronde hoeken 13733">
          <a:extLst>
            <a:ext uri="{FF2B5EF4-FFF2-40B4-BE49-F238E27FC236}">
              <a16:creationId xmlns:a16="http://schemas.microsoft.com/office/drawing/2014/main" id="{9000EF3E-F60C-B2FA-14F1-ECF2A3CB6E1A}"/>
            </a:ext>
          </a:extLst>
        </xdr:cNvPr>
        <xdr:cNvSpPr/>
      </xdr:nvSpPr>
      <xdr:spPr>
        <a:xfrm>
          <a:off x="15465504" y="19215100"/>
          <a:ext cx="1133475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J6, évaluation des procédures diagnostiques
14:09-14:39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15</xdr:col>
      <xdr:colOff>368379</xdr:colOff>
      <xdr:row>48</xdr:row>
      <xdr:rowOff>12700</xdr:rowOff>
    </xdr:from>
    <xdr:to>
      <xdr:col>17</xdr:col>
      <xdr:colOff>396716</xdr:colOff>
      <xdr:row>48</xdr:row>
      <xdr:rowOff>387350</xdr:rowOff>
    </xdr:to>
    <xdr:sp macro="" textlink="">
      <xdr:nvSpPr>
        <xdr:cNvPr id="13735" name="Rechthoek: afgeronde hoeken 13734">
          <a:extLst>
            <a:ext uri="{FF2B5EF4-FFF2-40B4-BE49-F238E27FC236}">
              <a16:creationId xmlns:a16="http://schemas.microsoft.com/office/drawing/2014/main" id="{14BA1EA5-37AE-9638-7E80-5D7EAA59847B}"/>
            </a:ext>
          </a:extLst>
        </xdr:cNvPr>
        <xdr:cNvSpPr/>
      </xdr:nvSpPr>
      <xdr:spPr>
        <a:xfrm>
          <a:off x="16598979" y="19215100"/>
          <a:ext cx="2295287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J6, Réparation de l'ADN
14:39-15:40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17</xdr:col>
      <xdr:colOff>396717</xdr:colOff>
      <xdr:row>48</xdr:row>
      <xdr:rowOff>12700</xdr:rowOff>
    </xdr:from>
    <xdr:to>
      <xdr:col>18</xdr:col>
      <xdr:colOff>606410</xdr:colOff>
      <xdr:row>48</xdr:row>
      <xdr:rowOff>387350</xdr:rowOff>
    </xdr:to>
    <xdr:sp macro="" textlink="">
      <xdr:nvSpPr>
        <xdr:cNvPr id="13736" name="Rechthoek: afgeronde hoeken 13735">
          <a:extLst>
            <a:ext uri="{FF2B5EF4-FFF2-40B4-BE49-F238E27FC236}">
              <a16:creationId xmlns:a16="http://schemas.microsoft.com/office/drawing/2014/main" id="{3FE345B0-71D1-53BF-30F9-190089C6F605}"/>
            </a:ext>
          </a:extLst>
        </xdr:cNvPr>
        <xdr:cNvSpPr/>
      </xdr:nvSpPr>
      <xdr:spPr>
        <a:xfrm>
          <a:off x="18894267" y="19215100"/>
          <a:ext cx="1343168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J15, Appareil locomoteur 1
15:40-16:16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18</xdr:col>
      <xdr:colOff>606409</xdr:colOff>
      <xdr:row>48</xdr:row>
      <xdr:rowOff>12700</xdr:rowOff>
    </xdr:from>
    <xdr:to>
      <xdr:col>20</xdr:col>
      <xdr:colOff>175689</xdr:colOff>
      <xdr:row>48</xdr:row>
      <xdr:rowOff>387350</xdr:rowOff>
    </xdr:to>
    <xdr:sp macro="" textlink="">
      <xdr:nvSpPr>
        <xdr:cNvPr id="13737" name="Rechthoek: afgeronde hoeken 13736">
          <a:extLst>
            <a:ext uri="{FF2B5EF4-FFF2-40B4-BE49-F238E27FC236}">
              <a16:creationId xmlns:a16="http://schemas.microsoft.com/office/drawing/2014/main" id="{1F11B2CA-4C90-1FA5-6069-7EFD1229E360}"/>
            </a:ext>
          </a:extLst>
        </xdr:cNvPr>
        <xdr:cNvSpPr/>
      </xdr:nvSpPr>
      <xdr:spPr>
        <a:xfrm>
          <a:off x="20237434" y="19215100"/>
          <a:ext cx="1836230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J15, Réplication de l'ADN
16:16-17:04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20</xdr:col>
      <xdr:colOff>175689</xdr:colOff>
      <xdr:row>48</xdr:row>
      <xdr:rowOff>12700</xdr:rowOff>
    </xdr:from>
    <xdr:to>
      <xdr:col>21</xdr:col>
      <xdr:colOff>912448</xdr:colOff>
      <xdr:row>48</xdr:row>
      <xdr:rowOff>387350</xdr:rowOff>
    </xdr:to>
    <xdr:sp macro="" textlink="">
      <xdr:nvSpPr>
        <xdr:cNvPr id="13738" name="Rechthoek: afgeronde hoeken 13737">
          <a:extLst>
            <a:ext uri="{FF2B5EF4-FFF2-40B4-BE49-F238E27FC236}">
              <a16:creationId xmlns:a16="http://schemas.microsoft.com/office/drawing/2014/main" id="{4F5C3467-A6C1-54AD-8419-3FF776DCC1EF}"/>
            </a:ext>
          </a:extLst>
        </xdr:cNvPr>
        <xdr:cNvSpPr/>
      </xdr:nvSpPr>
      <xdr:spPr>
        <a:xfrm>
          <a:off x="22073664" y="19215100"/>
          <a:ext cx="1870234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J6, Probabiltés
17:04-17:54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21</xdr:col>
      <xdr:colOff>912447</xdr:colOff>
      <xdr:row>48</xdr:row>
      <xdr:rowOff>12700</xdr:rowOff>
    </xdr:from>
    <xdr:to>
      <xdr:col>22</xdr:col>
      <xdr:colOff>0</xdr:colOff>
      <xdr:row>48</xdr:row>
      <xdr:rowOff>387350</xdr:rowOff>
    </xdr:to>
    <xdr:sp macro="" textlink="">
      <xdr:nvSpPr>
        <xdr:cNvPr id="13739" name="Rechthoek: afgeronde hoeken 13738">
          <a:extLst>
            <a:ext uri="{FF2B5EF4-FFF2-40B4-BE49-F238E27FC236}">
              <a16:creationId xmlns:a16="http://schemas.microsoft.com/office/drawing/2014/main" id="{560C9ECF-66D6-8701-5865-5E6E5339A5C0}"/>
            </a:ext>
          </a:extLst>
        </xdr:cNvPr>
        <xdr:cNvSpPr/>
      </xdr:nvSpPr>
      <xdr:spPr>
        <a:xfrm>
          <a:off x="23943897" y="19215100"/>
          <a:ext cx="221028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J6, Métrologie 
17:54-09:16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49</xdr:row>
      <xdr:rowOff>12700</xdr:rowOff>
    </xdr:from>
    <xdr:to>
      <xdr:col>4</xdr:col>
      <xdr:colOff>629079</xdr:colOff>
      <xdr:row>49</xdr:row>
      <xdr:rowOff>387350</xdr:rowOff>
    </xdr:to>
    <xdr:sp macro="" textlink="">
      <xdr:nvSpPr>
        <xdr:cNvPr id="13740" name="Rechthoek: afgeronde hoeken 13739">
          <a:extLst>
            <a:ext uri="{FF2B5EF4-FFF2-40B4-BE49-F238E27FC236}">
              <a16:creationId xmlns:a16="http://schemas.microsoft.com/office/drawing/2014/main" id="{D8C1828C-78CC-FEEB-8D64-C067D3385D9D}"/>
            </a:ext>
          </a:extLst>
        </xdr:cNvPr>
        <xdr:cNvSpPr/>
      </xdr:nvSpPr>
      <xdr:spPr>
        <a:xfrm>
          <a:off x="1495425" y="19615150"/>
          <a:ext cx="2896029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J6, Métrologie 
17:54-09:16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4</xdr:col>
      <xdr:colOff>629079</xdr:colOff>
      <xdr:row>49</xdr:row>
      <xdr:rowOff>12700</xdr:rowOff>
    </xdr:from>
    <xdr:to>
      <xdr:col>5</xdr:col>
      <xdr:colOff>583740</xdr:colOff>
      <xdr:row>49</xdr:row>
      <xdr:rowOff>387350</xdr:rowOff>
    </xdr:to>
    <xdr:sp macro="" textlink="">
      <xdr:nvSpPr>
        <xdr:cNvPr id="13741" name="Rechthoek: afgeronde hoeken 13740">
          <a:extLst>
            <a:ext uri="{FF2B5EF4-FFF2-40B4-BE49-F238E27FC236}">
              <a16:creationId xmlns:a16="http://schemas.microsoft.com/office/drawing/2014/main" id="{A8D9DDF0-4F14-9E29-8AC8-F7E5FBCC16B9}"/>
            </a:ext>
          </a:extLst>
        </xdr:cNvPr>
        <xdr:cNvSpPr/>
      </xdr:nvSpPr>
      <xdr:spPr>
        <a:xfrm>
          <a:off x="4391454" y="19615150"/>
          <a:ext cx="1088136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J30, La discipline anthropologique 
09:16-09:45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583740</xdr:colOff>
      <xdr:row>49</xdr:row>
      <xdr:rowOff>12700</xdr:rowOff>
    </xdr:from>
    <xdr:to>
      <xdr:col>6</xdr:col>
      <xdr:colOff>731092</xdr:colOff>
      <xdr:row>49</xdr:row>
      <xdr:rowOff>387350</xdr:rowOff>
    </xdr:to>
    <xdr:sp macro="" textlink="">
      <xdr:nvSpPr>
        <xdr:cNvPr id="13742" name="Rechthoek: afgeronde hoeken 13741">
          <a:extLst>
            <a:ext uri="{FF2B5EF4-FFF2-40B4-BE49-F238E27FC236}">
              <a16:creationId xmlns:a16="http://schemas.microsoft.com/office/drawing/2014/main" id="{D02385C7-C63B-0773-ACCE-BEEAFCC1F91D}"/>
            </a:ext>
          </a:extLst>
        </xdr:cNvPr>
        <xdr:cNvSpPr/>
      </xdr:nvSpPr>
      <xdr:spPr>
        <a:xfrm>
          <a:off x="5479590" y="19615150"/>
          <a:ext cx="1280827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J30, intro: tissus
09:45-10:19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6</xdr:col>
      <xdr:colOff>731091</xdr:colOff>
      <xdr:row>49</xdr:row>
      <xdr:rowOff>12700</xdr:rowOff>
    </xdr:from>
    <xdr:to>
      <xdr:col>7</xdr:col>
      <xdr:colOff>600741</xdr:colOff>
      <xdr:row>49</xdr:row>
      <xdr:rowOff>387350</xdr:rowOff>
    </xdr:to>
    <xdr:sp macro="" textlink="">
      <xdr:nvSpPr>
        <xdr:cNvPr id="13743" name="Rechthoek: afgeronde hoeken 13742">
          <a:extLst>
            <a:ext uri="{FF2B5EF4-FFF2-40B4-BE49-F238E27FC236}">
              <a16:creationId xmlns:a16="http://schemas.microsoft.com/office/drawing/2014/main" id="{A85108BD-0FE7-30A6-37FD-900BF1C629E9}"/>
            </a:ext>
          </a:extLst>
        </xdr:cNvPr>
        <xdr:cNvSpPr/>
      </xdr:nvSpPr>
      <xdr:spPr>
        <a:xfrm>
          <a:off x="6760416" y="19615150"/>
          <a:ext cx="1003125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J15, Sociologie de la profession médicale
10:19-10:45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7</xdr:col>
      <xdr:colOff>600742</xdr:colOff>
      <xdr:row>49</xdr:row>
      <xdr:rowOff>12700</xdr:rowOff>
    </xdr:from>
    <xdr:to>
      <xdr:col>9</xdr:col>
      <xdr:colOff>272034</xdr:colOff>
      <xdr:row>49</xdr:row>
      <xdr:rowOff>387350</xdr:rowOff>
    </xdr:to>
    <xdr:sp macro="" textlink="">
      <xdr:nvSpPr>
        <xdr:cNvPr id="13744" name="Rechthoek: afgeronde hoeken 13743">
          <a:extLst>
            <a:ext uri="{FF2B5EF4-FFF2-40B4-BE49-F238E27FC236}">
              <a16:creationId xmlns:a16="http://schemas.microsoft.com/office/drawing/2014/main" id="{2EF72626-0C7B-565B-27D0-3A1AC294EF6E}"/>
            </a:ext>
          </a:extLst>
        </xdr:cNvPr>
        <xdr:cNvSpPr/>
      </xdr:nvSpPr>
      <xdr:spPr>
        <a:xfrm>
          <a:off x="7763542" y="19615150"/>
          <a:ext cx="1938242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J15, Structure et role des nucléotides
10:45-11:37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9</xdr:col>
      <xdr:colOff>272034</xdr:colOff>
      <xdr:row>49</xdr:row>
      <xdr:rowOff>12700</xdr:rowOff>
    </xdr:from>
    <xdr:to>
      <xdr:col>11</xdr:col>
      <xdr:colOff>11335</xdr:colOff>
      <xdr:row>49</xdr:row>
      <xdr:rowOff>387350</xdr:rowOff>
    </xdr:to>
    <xdr:sp macro="" textlink="">
      <xdr:nvSpPr>
        <xdr:cNvPr id="13745" name="Rechthoek: afgeronde hoeken 13744">
          <a:extLst>
            <a:ext uri="{FF2B5EF4-FFF2-40B4-BE49-F238E27FC236}">
              <a16:creationId xmlns:a16="http://schemas.microsoft.com/office/drawing/2014/main" id="{D26D49D3-E73F-130B-0266-F799A57A6759}"/>
            </a:ext>
          </a:extLst>
        </xdr:cNvPr>
        <xdr:cNvSpPr/>
      </xdr:nvSpPr>
      <xdr:spPr>
        <a:xfrm>
          <a:off x="9701784" y="19615150"/>
          <a:ext cx="2006251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J15, évolution des conceptions relatives au stress
11:37-12:30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11</xdr:col>
      <xdr:colOff>11335</xdr:colOff>
      <xdr:row>49</xdr:row>
      <xdr:rowOff>12700</xdr:rowOff>
    </xdr:from>
    <xdr:to>
      <xdr:col>13</xdr:col>
      <xdr:colOff>39672</xdr:colOff>
      <xdr:row>49</xdr:row>
      <xdr:rowOff>387350</xdr:rowOff>
    </xdr:to>
    <xdr:sp macro="" textlink="">
      <xdr:nvSpPr>
        <xdr:cNvPr id="13746" name="Rechthoek: afgeronde hoeken 13745">
          <a:extLst>
            <a:ext uri="{FF2B5EF4-FFF2-40B4-BE49-F238E27FC236}">
              <a16:creationId xmlns:a16="http://schemas.microsoft.com/office/drawing/2014/main" id="{3FAE9C67-4250-D658-13D4-EC9EA7881C5B}"/>
            </a:ext>
          </a:extLst>
        </xdr:cNvPr>
        <xdr:cNvSpPr/>
      </xdr:nvSpPr>
      <xdr:spPr>
        <a:xfrm>
          <a:off x="11708035" y="19615150"/>
          <a:ext cx="2295287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J6, Dérivés carbonyles
12:30-13:31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13</xdr:col>
      <xdr:colOff>39672</xdr:colOff>
      <xdr:row>49</xdr:row>
      <xdr:rowOff>12700</xdr:rowOff>
    </xdr:from>
    <xdr:to>
      <xdr:col>15</xdr:col>
      <xdr:colOff>833105</xdr:colOff>
      <xdr:row>49</xdr:row>
      <xdr:rowOff>387350</xdr:rowOff>
    </xdr:to>
    <xdr:sp macro="" textlink="">
      <xdr:nvSpPr>
        <xdr:cNvPr id="13747" name="Rechthoek: afgeronde hoeken 13746">
          <a:extLst>
            <a:ext uri="{FF2B5EF4-FFF2-40B4-BE49-F238E27FC236}">
              <a16:creationId xmlns:a16="http://schemas.microsoft.com/office/drawing/2014/main" id="{62DD17B6-677E-3D50-2CEF-23788EEE444B}"/>
            </a:ext>
          </a:extLst>
        </xdr:cNvPr>
        <xdr:cNvSpPr/>
      </xdr:nvSpPr>
      <xdr:spPr>
        <a:xfrm>
          <a:off x="14003322" y="19615150"/>
          <a:ext cx="3060383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J6, Enjeux éthiques 
13:31-14:52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15</xdr:col>
      <xdr:colOff>833104</xdr:colOff>
      <xdr:row>49</xdr:row>
      <xdr:rowOff>12700</xdr:rowOff>
    </xdr:from>
    <xdr:to>
      <xdr:col>16</xdr:col>
      <xdr:colOff>107680</xdr:colOff>
      <xdr:row>49</xdr:row>
      <xdr:rowOff>387350</xdr:rowOff>
    </xdr:to>
    <xdr:sp macro="" textlink="">
      <xdr:nvSpPr>
        <xdr:cNvPr id="13748" name="Rechthoek: afgeronde hoeken 13747">
          <a:extLst>
            <a:ext uri="{FF2B5EF4-FFF2-40B4-BE49-F238E27FC236}">
              <a16:creationId xmlns:a16="http://schemas.microsoft.com/office/drawing/2014/main" id="{92F6BAB8-674D-3341-7DF5-A395265DD79D}"/>
            </a:ext>
          </a:extLst>
        </xdr:cNvPr>
        <xdr:cNvSpPr/>
      </xdr:nvSpPr>
      <xdr:spPr>
        <a:xfrm>
          <a:off x="17063704" y="19615150"/>
          <a:ext cx="408051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J30, Représentations sociales du handicap 
14:52-15:02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16</xdr:col>
      <xdr:colOff>107680</xdr:colOff>
      <xdr:row>49</xdr:row>
      <xdr:rowOff>12700</xdr:rowOff>
    </xdr:from>
    <xdr:to>
      <xdr:col>16</xdr:col>
      <xdr:colOff>617744</xdr:colOff>
      <xdr:row>49</xdr:row>
      <xdr:rowOff>387350</xdr:rowOff>
    </xdr:to>
    <xdr:sp macro="" textlink="">
      <xdr:nvSpPr>
        <xdr:cNvPr id="13749" name="Rechthoek: afgeronde hoeken 13748">
          <a:extLst>
            <a:ext uri="{FF2B5EF4-FFF2-40B4-BE49-F238E27FC236}">
              <a16:creationId xmlns:a16="http://schemas.microsoft.com/office/drawing/2014/main" id="{F9F90F2C-E457-226B-945D-6833996E2C21}"/>
            </a:ext>
          </a:extLst>
        </xdr:cNvPr>
        <xdr:cNvSpPr/>
      </xdr:nvSpPr>
      <xdr:spPr>
        <a:xfrm>
          <a:off x="17471755" y="19615150"/>
          <a:ext cx="510064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J30, intro : généralités
15:02-15:16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16</xdr:col>
      <xdr:colOff>617744</xdr:colOff>
      <xdr:row>49</xdr:row>
      <xdr:rowOff>12700</xdr:rowOff>
    </xdr:from>
    <xdr:to>
      <xdr:col>17</xdr:col>
      <xdr:colOff>28337</xdr:colOff>
      <xdr:row>49</xdr:row>
      <xdr:rowOff>387350</xdr:rowOff>
    </xdr:to>
    <xdr:sp macro="" textlink="">
      <xdr:nvSpPr>
        <xdr:cNvPr id="13750" name="Rechthoek: afgeronde hoeken 13749">
          <a:extLst>
            <a:ext uri="{FF2B5EF4-FFF2-40B4-BE49-F238E27FC236}">
              <a16:creationId xmlns:a16="http://schemas.microsoft.com/office/drawing/2014/main" id="{A0E96AD0-37B9-578E-4B1F-3D2A03ED4E36}"/>
            </a:ext>
          </a:extLst>
        </xdr:cNvPr>
        <xdr:cNvSpPr/>
      </xdr:nvSpPr>
      <xdr:spPr>
        <a:xfrm>
          <a:off x="17981819" y="19615150"/>
          <a:ext cx="544068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J30, Division cellulaire
15:16-15:30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17</xdr:col>
      <xdr:colOff>28336</xdr:colOff>
      <xdr:row>49</xdr:row>
      <xdr:rowOff>12700</xdr:rowOff>
    </xdr:from>
    <xdr:to>
      <xdr:col>17</xdr:col>
      <xdr:colOff>583739</xdr:colOff>
      <xdr:row>49</xdr:row>
      <xdr:rowOff>387350</xdr:rowOff>
    </xdr:to>
    <xdr:sp macro="" textlink="">
      <xdr:nvSpPr>
        <xdr:cNvPr id="13751" name="Rechthoek: afgeronde hoeken 13750">
          <a:extLst>
            <a:ext uri="{FF2B5EF4-FFF2-40B4-BE49-F238E27FC236}">
              <a16:creationId xmlns:a16="http://schemas.microsoft.com/office/drawing/2014/main" id="{AA54C21A-6E43-D271-8A91-E6AAA2C794D8}"/>
            </a:ext>
          </a:extLst>
        </xdr:cNvPr>
        <xdr:cNvSpPr/>
      </xdr:nvSpPr>
      <xdr:spPr>
        <a:xfrm>
          <a:off x="18525886" y="19615150"/>
          <a:ext cx="555403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J30, Transcription et régulation 
15:30-15:45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17</xdr:col>
      <xdr:colOff>583740</xdr:colOff>
      <xdr:row>49</xdr:row>
      <xdr:rowOff>12700</xdr:rowOff>
    </xdr:from>
    <xdr:to>
      <xdr:col>18</xdr:col>
      <xdr:colOff>130350</xdr:colOff>
      <xdr:row>49</xdr:row>
      <xdr:rowOff>387350</xdr:rowOff>
    </xdr:to>
    <xdr:sp macro="" textlink="">
      <xdr:nvSpPr>
        <xdr:cNvPr id="13752" name="Rechthoek: afgeronde hoeken 13751">
          <a:extLst>
            <a:ext uri="{FF2B5EF4-FFF2-40B4-BE49-F238E27FC236}">
              <a16:creationId xmlns:a16="http://schemas.microsoft.com/office/drawing/2014/main" id="{EB7D9A18-636B-B9DF-72A2-9C90B5107DCC}"/>
            </a:ext>
          </a:extLst>
        </xdr:cNvPr>
        <xdr:cNvSpPr/>
      </xdr:nvSpPr>
      <xdr:spPr>
        <a:xfrm>
          <a:off x="19081290" y="19615150"/>
          <a:ext cx="680085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J30, Membre inférieur 2 
15:45-16:03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18</xdr:col>
      <xdr:colOff>130350</xdr:colOff>
      <xdr:row>49</xdr:row>
      <xdr:rowOff>12700</xdr:rowOff>
    </xdr:from>
    <xdr:to>
      <xdr:col>18</xdr:col>
      <xdr:colOff>980456</xdr:colOff>
      <xdr:row>49</xdr:row>
      <xdr:rowOff>387350</xdr:rowOff>
    </xdr:to>
    <xdr:sp macro="" textlink="">
      <xdr:nvSpPr>
        <xdr:cNvPr id="13753" name="Rechthoek: afgeronde hoeken 13752">
          <a:extLst>
            <a:ext uri="{FF2B5EF4-FFF2-40B4-BE49-F238E27FC236}">
              <a16:creationId xmlns:a16="http://schemas.microsoft.com/office/drawing/2014/main" id="{E31AE82E-E4B8-0151-3421-689CB5A0A163}"/>
            </a:ext>
          </a:extLst>
        </xdr:cNvPr>
        <xdr:cNvSpPr/>
      </xdr:nvSpPr>
      <xdr:spPr>
        <a:xfrm>
          <a:off x="19761375" y="19615150"/>
          <a:ext cx="850106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J15, Appareil locomoteur 3
16:03-16:25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18</xdr:col>
      <xdr:colOff>980456</xdr:colOff>
      <xdr:row>49</xdr:row>
      <xdr:rowOff>12700</xdr:rowOff>
    </xdr:from>
    <xdr:to>
      <xdr:col>19</xdr:col>
      <xdr:colOff>867108</xdr:colOff>
      <xdr:row>49</xdr:row>
      <xdr:rowOff>387350</xdr:rowOff>
    </xdr:to>
    <xdr:sp macro="" textlink="">
      <xdr:nvSpPr>
        <xdr:cNvPr id="13754" name="Rechthoek: afgeronde hoeken 13753">
          <a:extLst>
            <a:ext uri="{FF2B5EF4-FFF2-40B4-BE49-F238E27FC236}">
              <a16:creationId xmlns:a16="http://schemas.microsoft.com/office/drawing/2014/main" id="{C26FF5A3-DDC0-39D5-9143-1FDF582611C0}"/>
            </a:ext>
          </a:extLst>
        </xdr:cNvPr>
        <xdr:cNvSpPr/>
      </xdr:nvSpPr>
      <xdr:spPr>
        <a:xfrm>
          <a:off x="20611481" y="19615150"/>
          <a:ext cx="1020127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J15, tests stats et méthodologie de choix de test 
16:25-16:52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19</xdr:col>
      <xdr:colOff>867108</xdr:colOff>
      <xdr:row>49</xdr:row>
      <xdr:rowOff>12700</xdr:rowOff>
    </xdr:from>
    <xdr:to>
      <xdr:col>21</xdr:col>
      <xdr:colOff>113347</xdr:colOff>
      <xdr:row>49</xdr:row>
      <xdr:rowOff>387350</xdr:rowOff>
    </xdr:to>
    <xdr:sp macro="" textlink="">
      <xdr:nvSpPr>
        <xdr:cNvPr id="13755" name="Rechthoek: afgeronde hoeken 13754">
          <a:extLst>
            <a:ext uri="{FF2B5EF4-FFF2-40B4-BE49-F238E27FC236}">
              <a16:creationId xmlns:a16="http://schemas.microsoft.com/office/drawing/2014/main" id="{138A538A-2F7B-AC36-4E9C-DD4A76CB391C}"/>
            </a:ext>
          </a:extLst>
        </xdr:cNvPr>
        <xdr:cNvSpPr/>
      </xdr:nvSpPr>
      <xdr:spPr>
        <a:xfrm>
          <a:off x="21631608" y="19615150"/>
          <a:ext cx="1513189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J15, Signalisation intracellulaire part 2
16:52-17:33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21</xdr:col>
      <xdr:colOff>113348</xdr:colOff>
      <xdr:row>49</xdr:row>
      <xdr:rowOff>12700</xdr:rowOff>
    </xdr:from>
    <xdr:to>
      <xdr:col>22</xdr:col>
      <xdr:colOff>0</xdr:colOff>
      <xdr:row>49</xdr:row>
      <xdr:rowOff>387350</xdr:rowOff>
    </xdr:to>
    <xdr:sp macro="" textlink="">
      <xdr:nvSpPr>
        <xdr:cNvPr id="13756" name="Rechthoek: afgeronde hoeken 13755">
          <a:extLst>
            <a:ext uri="{FF2B5EF4-FFF2-40B4-BE49-F238E27FC236}">
              <a16:creationId xmlns:a16="http://schemas.microsoft.com/office/drawing/2014/main" id="{41A0D1E6-164C-35CD-4471-9A9393D7CFB9}"/>
            </a:ext>
          </a:extLst>
        </xdr:cNvPr>
        <xdr:cNvSpPr/>
      </xdr:nvSpPr>
      <xdr:spPr>
        <a:xfrm>
          <a:off x="23144798" y="19615150"/>
          <a:ext cx="1020127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J15, Membre supérieur 2 
17:33-08:18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50</xdr:row>
      <xdr:rowOff>12700</xdr:rowOff>
    </xdr:from>
    <xdr:to>
      <xdr:col>2</xdr:col>
      <xdr:colOff>714089</xdr:colOff>
      <xdr:row>50</xdr:row>
      <xdr:rowOff>387350</xdr:rowOff>
    </xdr:to>
    <xdr:sp macro="" textlink="">
      <xdr:nvSpPr>
        <xdr:cNvPr id="13757" name="Rechthoek: afgeronde hoeken 13756">
          <a:extLst>
            <a:ext uri="{FF2B5EF4-FFF2-40B4-BE49-F238E27FC236}">
              <a16:creationId xmlns:a16="http://schemas.microsoft.com/office/drawing/2014/main" id="{71A20429-686F-81B3-5D2F-8B9910884C16}"/>
            </a:ext>
          </a:extLst>
        </xdr:cNvPr>
        <xdr:cNvSpPr/>
      </xdr:nvSpPr>
      <xdr:spPr>
        <a:xfrm>
          <a:off x="1495425" y="20015200"/>
          <a:ext cx="714089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J15, Membre supérieur 2 
17:33-08:18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714089</xdr:colOff>
      <xdr:row>50</xdr:row>
      <xdr:rowOff>12700</xdr:rowOff>
    </xdr:from>
    <xdr:to>
      <xdr:col>4</xdr:col>
      <xdr:colOff>56674</xdr:colOff>
      <xdr:row>50</xdr:row>
      <xdr:rowOff>387350</xdr:rowOff>
    </xdr:to>
    <xdr:sp macro="" textlink="">
      <xdr:nvSpPr>
        <xdr:cNvPr id="13758" name="Rechthoek: afgeronde hoeken 13757">
          <a:extLst>
            <a:ext uri="{FF2B5EF4-FFF2-40B4-BE49-F238E27FC236}">
              <a16:creationId xmlns:a16="http://schemas.microsoft.com/office/drawing/2014/main" id="{9C533E3C-E3D1-E7C2-383B-A2B0215530E8}"/>
            </a:ext>
          </a:extLst>
        </xdr:cNvPr>
        <xdr:cNvSpPr/>
      </xdr:nvSpPr>
      <xdr:spPr>
        <a:xfrm>
          <a:off x="2209514" y="20015200"/>
          <a:ext cx="1609535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J10, Prévention-Alla 
08:18-09:01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4</xdr:col>
      <xdr:colOff>56674</xdr:colOff>
      <xdr:row>50</xdr:row>
      <xdr:rowOff>12700</xdr:rowOff>
    </xdr:from>
    <xdr:to>
      <xdr:col>5</xdr:col>
      <xdr:colOff>532734</xdr:colOff>
      <xdr:row>50</xdr:row>
      <xdr:rowOff>387350</xdr:rowOff>
    </xdr:to>
    <xdr:sp macro="" textlink="">
      <xdr:nvSpPr>
        <xdr:cNvPr id="13759" name="Rechthoek: afgeronde hoeken 13758">
          <a:extLst>
            <a:ext uri="{FF2B5EF4-FFF2-40B4-BE49-F238E27FC236}">
              <a16:creationId xmlns:a16="http://schemas.microsoft.com/office/drawing/2014/main" id="{42B9FBF6-D145-0970-9621-9F622D1A2CD7}"/>
            </a:ext>
          </a:extLst>
        </xdr:cNvPr>
        <xdr:cNvSpPr/>
      </xdr:nvSpPr>
      <xdr:spPr>
        <a:xfrm>
          <a:off x="3819049" y="20015200"/>
          <a:ext cx="1609535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J10, Transports membranaires
09:01-09:44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532733</xdr:colOff>
      <xdr:row>50</xdr:row>
      <xdr:rowOff>12700</xdr:rowOff>
    </xdr:from>
    <xdr:to>
      <xdr:col>6</xdr:col>
      <xdr:colOff>419385</xdr:colOff>
      <xdr:row>50</xdr:row>
      <xdr:rowOff>387350</xdr:rowOff>
    </xdr:to>
    <xdr:sp macro="" textlink="">
      <xdr:nvSpPr>
        <xdr:cNvPr id="13760" name="Rechthoek: afgeronde hoeken 13759">
          <a:extLst>
            <a:ext uri="{FF2B5EF4-FFF2-40B4-BE49-F238E27FC236}">
              <a16:creationId xmlns:a16="http://schemas.microsoft.com/office/drawing/2014/main" id="{143841CC-2529-3D0D-EC11-6742C5D3A70F}"/>
            </a:ext>
          </a:extLst>
        </xdr:cNvPr>
        <xdr:cNvSpPr/>
      </xdr:nvSpPr>
      <xdr:spPr>
        <a:xfrm>
          <a:off x="5428583" y="20015200"/>
          <a:ext cx="1020127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J30, États  de la matière et leur caractérisation 
09:44-10:11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6</xdr:col>
      <xdr:colOff>419386</xdr:colOff>
      <xdr:row>50</xdr:row>
      <xdr:rowOff>12700</xdr:rowOff>
    </xdr:from>
    <xdr:to>
      <xdr:col>7</xdr:col>
      <xdr:colOff>555403</xdr:colOff>
      <xdr:row>50</xdr:row>
      <xdr:rowOff>387350</xdr:rowOff>
    </xdr:to>
    <xdr:sp macro="" textlink="">
      <xdr:nvSpPr>
        <xdr:cNvPr id="13761" name="Rechthoek: afgeronde hoeken 13760">
          <a:extLst>
            <a:ext uri="{FF2B5EF4-FFF2-40B4-BE49-F238E27FC236}">
              <a16:creationId xmlns:a16="http://schemas.microsoft.com/office/drawing/2014/main" id="{9C6704EF-DD2D-CBC7-1624-7E10F4660F7C}"/>
            </a:ext>
          </a:extLst>
        </xdr:cNvPr>
        <xdr:cNvSpPr/>
      </xdr:nvSpPr>
      <xdr:spPr>
        <a:xfrm>
          <a:off x="6448711" y="20015200"/>
          <a:ext cx="1269492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J30, Interaction rayonnement-Matière 
10:11-10:44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7</xdr:col>
      <xdr:colOff>555403</xdr:colOff>
      <xdr:row>50</xdr:row>
      <xdr:rowOff>12700</xdr:rowOff>
    </xdr:from>
    <xdr:to>
      <xdr:col>8</xdr:col>
      <xdr:colOff>702755</xdr:colOff>
      <xdr:row>50</xdr:row>
      <xdr:rowOff>387350</xdr:rowOff>
    </xdr:to>
    <xdr:sp macro="" textlink="">
      <xdr:nvSpPr>
        <xdr:cNvPr id="13762" name="Rechthoek: afgeronde hoeken 13761">
          <a:extLst>
            <a:ext uri="{FF2B5EF4-FFF2-40B4-BE49-F238E27FC236}">
              <a16:creationId xmlns:a16="http://schemas.microsoft.com/office/drawing/2014/main" id="{29C67189-487F-541A-0367-75AF13BA90C5}"/>
            </a:ext>
          </a:extLst>
        </xdr:cNvPr>
        <xdr:cNvSpPr/>
      </xdr:nvSpPr>
      <xdr:spPr>
        <a:xfrm>
          <a:off x="7718203" y="20015200"/>
          <a:ext cx="1280827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J30, essai thérapeutique 
10:44-11:18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8</xdr:col>
      <xdr:colOff>702755</xdr:colOff>
      <xdr:row>50</xdr:row>
      <xdr:rowOff>12700</xdr:rowOff>
    </xdr:from>
    <xdr:to>
      <xdr:col>9</xdr:col>
      <xdr:colOff>929450</xdr:colOff>
      <xdr:row>50</xdr:row>
      <xdr:rowOff>387350</xdr:rowOff>
    </xdr:to>
    <xdr:sp macro="" textlink="">
      <xdr:nvSpPr>
        <xdr:cNvPr id="13763" name="Rechthoek: afgeronde hoeken 13762">
          <a:extLst>
            <a:ext uri="{FF2B5EF4-FFF2-40B4-BE49-F238E27FC236}">
              <a16:creationId xmlns:a16="http://schemas.microsoft.com/office/drawing/2014/main" id="{AD46A71C-D14A-F02B-DA82-F016F35852EC}"/>
            </a:ext>
          </a:extLst>
        </xdr:cNvPr>
        <xdr:cNvSpPr/>
      </xdr:nvSpPr>
      <xdr:spPr>
        <a:xfrm>
          <a:off x="8999030" y="20015200"/>
          <a:ext cx="1360170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J30, Les très basses fréquences du spectre électromagnétique 
11:18-11:54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9</xdr:col>
      <xdr:colOff>929449</xdr:colOff>
      <xdr:row>50</xdr:row>
      <xdr:rowOff>12700</xdr:rowOff>
    </xdr:from>
    <xdr:to>
      <xdr:col>10</xdr:col>
      <xdr:colOff>1088136</xdr:colOff>
      <xdr:row>50</xdr:row>
      <xdr:rowOff>387350</xdr:rowOff>
    </xdr:to>
    <xdr:sp macro="" textlink="">
      <xdr:nvSpPr>
        <xdr:cNvPr id="13764" name="Rechthoek: afgeronde hoeken 13763">
          <a:extLst>
            <a:ext uri="{FF2B5EF4-FFF2-40B4-BE49-F238E27FC236}">
              <a16:creationId xmlns:a16="http://schemas.microsoft.com/office/drawing/2014/main" id="{E8905BDC-EFC2-AC16-54B5-031F4FD708D9}"/>
            </a:ext>
          </a:extLst>
        </xdr:cNvPr>
        <xdr:cNvSpPr/>
      </xdr:nvSpPr>
      <xdr:spPr>
        <a:xfrm>
          <a:off x="10359199" y="20015200"/>
          <a:ext cx="1292162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J15, Appareil locomoteur 2
11:54-12:28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10</xdr:col>
      <xdr:colOff>1088136</xdr:colOff>
      <xdr:row>50</xdr:row>
      <xdr:rowOff>12700</xdr:rowOff>
    </xdr:from>
    <xdr:to>
      <xdr:col>12</xdr:col>
      <xdr:colOff>844439</xdr:colOff>
      <xdr:row>50</xdr:row>
      <xdr:rowOff>387350</xdr:rowOff>
    </xdr:to>
    <xdr:sp macro="" textlink="">
      <xdr:nvSpPr>
        <xdr:cNvPr id="13765" name="Rechthoek: afgeronde hoeken 13764">
          <a:extLst>
            <a:ext uri="{FF2B5EF4-FFF2-40B4-BE49-F238E27FC236}">
              <a16:creationId xmlns:a16="http://schemas.microsoft.com/office/drawing/2014/main" id="{7687C58A-9B1F-B7C3-BB33-44F5734F34AF}"/>
            </a:ext>
          </a:extLst>
        </xdr:cNvPr>
        <xdr:cNvSpPr/>
      </xdr:nvSpPr>
      <xdr:spPr>
        <a:xfrm>
          <a:off x="11651361" y="20015200"/>
          <a:ext cx="2023253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J15, Méthode d'évaluation du stress objectif 
12:28-13:22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12</xdr:col>
      <xdr:colOff>844438</xdr:colOff>
      <xdr:row>50</xdr:row>
      <xdr:rowOff>12700</xdr:rowOff>
    </xdr:from>
    <xdr:to>
      <xdr:col>13</xdr:col>
      <xdr:colOff>527065</xdr:colOff>
      <xdr:row>50</xdr:row>
      <xdr:rowOff>387350</xdr:rowOff>
    </xdr:to>
    <xdr:sp macro="" textlink="">
      <xdr:nvSpPr>
        <xdr:cNvPr id="13766" name="Rechthoek: afgeronde hoeken 13765">
          <a:extLst>
            <a:ext uri="{FF2B5EF4-FFF2-40B4-BE49-F238E27FC236}">
              <a16:creationId xmlns:a16="http://schemas.microsoft.com/office/drawing/2014/main" id="{1DC2527A-BDC8-939A-3C61-DF57B6CB98A8}"/>
            </a:ext>
          </a:extLst>
        </xdr:cNvPr>
        <xdr:cNvSpPr/>
      </xdr:nvSpPr>
      <xdr:spPr>
        <a:xfrm>
          <a:off x="13674613" y="20015200"/>
          <a:ext cx="816102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J10, Détection des rayonnements 
13:22-13:43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13</xdr:col>
      <xdr:colOff>527066</xdr:colOff>
      <xdr:row>50</xdr:row>
      <xdr:rowOff>12700</xdr:rowOff>
    </xdr:from>
    <xdr:to>
      <xdr:col>14</xdr:col>
      <xdr:colOff>889778</xdr:colOff>
      <xdr:row>50</xdr:row>
      <xdr:rowOff>387350</xdr:rowOff>
    </xdr:to>
    <xdr:sp macro="" textlink="">
      <xdr:nvSpPr>
        <xdr:cNvPr id="13767" name="Rechthoek: afgeronde hoeken 13766">
          <a:extLst>
            <a:ext uri="{FF2B5EF4-FFF2-40B4-BE49-F238E27FC236}">
              <a16:creationId xmlns:a16="http://schemas.microsoft.com/office/drawing/2014/main" id="{1C9AAF54-6E1B-DC9B-4F40-F1437FEA2411}"/>
            </a:ext>
          </a:extLst>
        </xdr:cNvPr>
        <xdr:cNvSpPr/>
      </xdr:nvSpPr>
      <xdr:spPr>
        <a:xfrm>
          <a:off x="14490716" y="20015200"/>
          <a:ext cx="1496187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J10, Atomes
13:43-14:23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14</xdr:col>
      <xdr:colOff>889778</xdr:colOff>
      <xdr:row>50</xdr:row>
      <xdr:rowOff>12700</xdr:rowOff>
    </xdr:from>
    <xdr:to>
      <xdr:col>16</xdr:col>
      <xdr:colOff>527066</xdr:colOff>
      <xdr:row>50</xdr:row>
      <xdr:rowOff>387350</xdr:rowOff>
    </xdr:to>
    <xdr:sp macro="" textlink="">
      <xdr:nvSpPr>
        <xdr:cNvPr id="13768" name="Rechthoek: afgeronde hoeken 13767">
          <a:extLst>
            <a:ext uri="{FF2B5EF4-FFF2-40B4-BE49-F238E27FC236}">
              <a16:creationId xmlns:a16="http://schemas.microsoft.com/office/drawing/2014/main" id="{FCF40E8B-083F-E866-A7AA-AE6FB2F99559}"/>
            </a:ext>
          </a:extLst>
        </xdr:cNvPr>
        <xdr:cNvSpPr/>
      </xdr:nvSpPr>
      <xdr:spPr>
        <a:xfrm>
          <a:off x="15986903" y="20015200"/>
          <a:ext cx="1904238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J10, Cellules souches
14:23-15:13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16</xdr:col>
      <xdr:colOff>527066</xdr:colOff>
      <xdr:row>50</xdr:row>
      <xdr:rowOff>12700</xdr:rowOff>
    </xdr:from>
    <xdr:to>
      <xdr:col>18</xdr:col>
      <xdr:colOff>549736</xdr:colOff>
      <xdr:row>50</xdr:row>
      <xdr:rowOff>387350</xdr:rowOff>
    </xdr:to>
    <xdr:sp macro="" textlink="">
      <xdr:nvSpPr>
        <xdr:cNvPr id="13769" name="Rechthoek: afgeronde hoeken 13768">
          <a:extLst>
            <a:ext uri="{FF2B5EF4-FFF2-40B4-BE49-F238E27FC236}">
              <a16:creationId xmlns:a16="http://schemas.microsoft.com/office/drawing/2014/main" id="{FADE2FF6-1FE8-43A1-7ECA-3F3B29EB2741}"/>
            </a:ext>
          </a:extLst>
        </xdr:cNvPr>
        <xdr:cNvSpPr/>
      </xdr:nvSpPr>
      <xdr:spPr>
        <a:xfrm>
          <a:off x="17891141" y="20015200"/>
          <a:ext cx="2289620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J10, Mouvement molécules de surface
15:13-16:14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18</xdr:col>
      <xdr:colOff>549735</xdr:colOff>
      <xdr:row>50</xdr:row>
      <xdr:rowOff>12700</xdr:rowOff>
    </xdr:from>
    <xdr:to>
      <xdr:col>20</xdr:col>
      <xdr:colOff>753761</xdr:colOff>
      <xdr:row>50</xdr:row>
      <xdr:rowOff>387350</xdr:rowOff>
    </xdr:to>
    <xdr:sp macro="" textlink="">
      <xdr:nvSpPr>
        <xdr:cNvPr id="13770" name="Rechthoek: afgeronde hoeken 13769">
          <a:extLst>
            <a:ext uri="{FF2B5EF4-FFF2-40B4-BE49-F238E27FC236}">
              <a16:creationId xmlns:a16="http://schemas.microsoft.com/office/drawing/2014/main" id="{9E59E31D-0807-36B5-43AC-1199EE70CEFA}"/>
            </a:ext>
          </a:extLst>
        </xdr:cNvPr>
        <xdr:cNvSpPr/>
      </xdr:nvSpPr>
      <xdr:spPr>
        <a:xfrm>
          <a:off x="20180760" y="20015200"/>
          <a:ext cx="2470976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J10, Molécules du vivant
16:14-17:19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20</xdr:col>
      <xdr:colOff>753760</xdr:colOff>
      <xdr:row>50</xdr:row>
      <xdr:rowOff>12700</xdr:rowOff>
    </xdr:from>
    <xdr:to>
      <xdr:col>20</xdr:col>
      <xdr:colOff>1105137</xdr:colOff>
      <xdr:row>50</xdr:row>
      <xdr:rowOff>387350</xdr:rowOff>
    </xdr:to>
    <xdr:sp macro="" textlink="">
      <xdr:nvSpPr>
        <xdr:cNvPr id="13771" name="Rechthoek: afgeronde hoeken 13770">
          <a:extLst>
            <a:ext uri="{FF2B5EF4-FFF2-40B4-BE49-F238E27FC236}">
              <a16:creationId xmlns:a16="http://schemas.microsoft.com/office/drawing/2014/main" id="{3797B01C-214E-6A85-4BC8-E3713D3AC0E7}"/>
            </a:ext>
          </a:extLst>
        </xdr:cNvPr>
        <xdr:cNvSpPr/>
      </xdr:nvSpPr>
      <xdr:spPr>
        <a:xfrm>
          <a:off x="22651735" y="20015200"/>
          <a:ext cx="351377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J30, Acides Aminés- peptides 
17:19-17:29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20</xdr:col>
      <xdr:colOff>1105139</xdr:colOff>
      <xdr:row>50</xdr:row>
      <xdr:rowOff>12700</xdr:rowOff>
    </xdr:from>
    <xdr:to>
      <xdr:col>21</xdr:col>
      <xdr:colOff>425054</xdr:colOff>
      <xdr:row>50</xdr:row>
      <xdr:rowOff>387350</xdr:rowOff>
    </xdr:to>
    <xdr:sp macro="" textlink="">
      <xdr:nvSpPr>
        <xdr:cNvPr id="13772" name="Rechthoek: afgeronde hoeken 13771">
          <a:extLst>
            <a:ext uri="{FF2B5EF4-FFF2-40B4-BE49-F238E27FC236}">
              <a16:creationId xmlns:a16="http://schemas.microsoft.com/office/drawing/2014/main" id="{EA8A667B-4D53-1B9B-128A-D5E5546E128A}"/>
            </a:ext>
          </a:extLst>
        </xdr:cNvPr>
        <xdr:cNvSpPr/>
      </xdr:nvSpPr>
      <xdr:spPr>
        <a:xfrm>
          <a:off x="23003114" y="20015200"/>
          <a:ext cx="453390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J30, Intervention rééducation part-2
17:29-17:41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21</xdr:col>
      <xdr:colOff>425053</xdr:colOff>
      <xdr:row>50</xdr:row>
      <xdr:rowOff>12700</xdr:rowOff>
    </xdr:from>
    <xdr:to>
      <xdr:col>21</xdr:col>
      <xdr:colOff>1105138</xdr:colOff>
      <xdr:row>50</xdr:row>
      <xdr:rowOff>387350</xdr:rowOff>
    </xdr:to>
    <xdr:sp macro="" textlink="">
      <xdr:nvSpPr>
        <xdr:cNvPr id="13773" name="Rechthoek: afgeronde hoeken 13772">
          <a:extLst>
            <a:ext uri="{FF2B5EF4-FFF2-40B4-BE49-F238E27FC236}">
              <a16:creationId xmlns:a16="http://schemas.microsoft.com/office/drawing/2014/main" id="{C25F789A-5E8E-8E6F-1478-85FD2973AE61}"/>
            </a:ext>
          </a:extLst>
        </xdr:cNvPr>
        <xdr:cNvSpPr/>
      </xdr:nvSpPr>
      <xdr:spPr>
        <a:xfrm>
          <a:off x="23456503" y="20015200"/>
          <a:ext cx="680085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J30, Du chromosome à l'ADN
17:41-17:59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21</xdr:col>
      <xdr:colOff>1105140</xdr:colOff>
      <xdr:row>50</xdr:row>
      <xdr:rowOff>12700</xdr:rowOff>
    </xdr:from>
    <xdr:to>
      <xdr:col>22</xdr:col>
      <xdr:colOff>2</xdr:colOff>
      <xdr:row>50</xdr:row>
      <xdr:rowOff>387350</xdr:rowOff>
    </xdr:to>
    <xdr:sp macro="" textlink="">
      <xdr:nvSpPr>
        <xdr:cNvPr id="13774" name="Rechthoek: afgeronde hoeken 13773">
          <a:extLst>
            <a:ext uri="{FF2B5EF4-FFF2-40B4-BE49-F238E27FC236}">
              <a16:creationId xmlns:a16="http://schemas.microsoft.com/office/drawing/2014/main" id="{37CDBC69-3B97-281E-8D26-DB3B3B21E8DA}"/>
            </a:ext>
          </a:extLst>
        </xdr:cNvPr>
        <xdr:cNvSpPr/>
      </xdr:nvSpPr>
      <xdr:spPr>
        <a:xfrm>
          <a:off x="24136590" y="20015200"/>
          <a:ext cx="28337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J30, corrélation et régression linéaire
17:59-08:21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51</xdr:row>
      <xdr:rowOff>12700</xdr:rowOff>
    </xdr:from>
    <xdr:to>
      <xdr:col>2</xdr:col>
      <xdr:colOff>799100</xdr:colOff>
      <xdr:row>51</xdr:row>
      <xdr:rowOff>387350</xdr:rowOff>
    </xdr:to>
    <xdr:sp macro="" textlink="">
      <xdr:nvSpPr>
        <xdr:cNvPr id="13775" name="Rechthoek: afgeronde hoeken 13774">
          <a:extLst>
            <a:ext uri="{FF2B5EF4-FFF2-40B4-BE49-F238E27FC236}">
              <a16:creationId xmlns:a16="http://schemas.microsoft.com/office/drawing/2014/main" id="{DF8F5B7E-4A24-E1A8-EB2D-2E4515ED6145}"/>
            </a:ext>
          </a:extLst>
        </xdr:cNvPr>
        <xdr:cNvSpPr/>
      </xdr:nvSpPr>
      <xdr:spPr>
        <a:xfrm>
          <a:off x="1495425" y="20415250"/>
          <a:ext cx="799100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J30, corrélation et régression linéaire
17:59-08:21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799100</xdr:colOff>
      <xdr:row>51</xdr:row>
      <xdr:rowOff>12700</xdr:rowOff>
    </xdr:from>
    <xdr:to>
      <xdr:col>3</xdr:col>
      <xdr:colOff>595074</xdr:colOff>
      <xdr:row>51</xdr:row>
      <xdr:rowOff>387350</xdr:rowOff>
    </xdr:to>
    <xdr:sp macro="" textlink="">
      <xdr:nvSpPr>
        <xdr:cNvPr id="13776" name="Rechthoek: afgeronde hoeken 13775">
          <a:extLst>
            <a:ext uri="{FF2B5EF4-FFF2-40B4-BE49-F238E27FC236}">
              <a16:creationId xmlns:a16="http://schemas.microsoft.com/office/drawing/2014/main" id="{69C4D8A5-A9B8-B391-774D-8C222618B6FB}"/>
            </a:ext>
          </a:extLst>
        </xdr:cNvPr>
        <xdr:cNvSpPr/>
      </xdr:nvSpPr>
      <xdr:spPr>
        <a:xfrm>
          <a:off x="2294525" y="20415250"/>
          <a:ext cx="929449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J30, Signalisation intracellulaire part 1
08:21-08:45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595074</xdr:colOff>
      <xdr:row>51</xdr:row>
      <xdr:rowOff>12700</xdr:rowOff>
    </xdr:from>
    <xdr:to>
      <xdr:col>4</xdr:col>
      <xdr:colOff>583739</xdr:colOff>
      <xdr:row>51</xdr:row>
      <xdr:rowOff>387350</xdr:rowOff>
    </xdr:to>
    <xdr:sp macro="" textlink="">
      <xdr:nvSpPr>
        <xdr:cNvPr id="13777" name="Rechthoek: afgeronde hoeken 13776">
          <a:extLst>
            <a:ext uri="{FF2B5EF4-FFF2-40B4-BE49-F238E27FC236}">
              <a16:creationId xmlns:a16="http://schemas.microsoft.com/office/drawing/2014/main" id="{9BA8F110-9C28-8BEA-ADD8-3F47C8E3DB9C}"/>
            </a:ext>
          </a:extLst>
        </xdr:cNvPr>
        <xdr:cNvSpPr/>
      </xdr:nvSpPr>
      <xdr:spPr>
        <a:xfrm>
          <a:off x="3223974" y="20415250"/>
          <a:ext cx="1122140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J30, Régulation et rôle du rein 
08:45-09:15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4</xdr:col>
      <xdr:colOff>583740</xdr:colOff>
      <xdr:row>51</xdr:row>
      <xdr:rowOff>12700</xdr:rowOff>
    </xdr:from>
    <xdr:to>
      <xdr:col>5</xdr:col>
      <xdr:colOff>663083</xdr:colOff>
      <xdr:row>51</xdr:row>
      <xdr:rowOff>387350</xdr:rowOff>
    </xdr:to>
    <xdr:sp macro="" textlink="">
      <xdr:nvSpPr>
        <xdr:cNvPr id="13778" name="Rechthoek: afgeronde hoeken 13777">
          <a:extLst>
            <a:ext uri="{FF2B5EF4-FFF2-40B4-BE49-F238E27FC236}">
              <a16:creationId xmlns:a16="http://schemas.microsoft.com/office/drawing/2014/main" id="{71A083AF-B7DC-BBC7-E148-39D0DD132B84}"/>
            </a:ext>
          </a:extLst>
        </xdr:cNvPr>
        <xdr:cNvSpPr/>
      </xdr:nvSpPr>
      <xdr:spPr>
        <a:xfrm>
          <a:off x="4346115" y="20415250"/>
          <a:ext cx="1212818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J30, Liaisons chimique et interactions moléculaires
09:15-09:47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663083</xdr:colOff>
      <xdr:row>51</xdr:row>
      <xdr:rowOff>12700</xdr:rowOff>
    </xdr:from>
    <xdr:to>
      <xdr:col>6</xdr:col>
      <xdr:colOff>776431</xdr:colOff>
      <xdr:row>51</xdr:row>
      <xdr:rowOff>387350</xdr:rowOff>
    </xdr:to>
    <xdr:sp macro="" textlink="">
      <xdr:nvSpPr>
        <xdr:cNvPr id="13779" name="Rechthoek: afgeronde hoeken 13778">
          <a:extLst>
            <a:ext uri="{FF2B5EF4-FFF2-40B4-BE49-F238E27FC236}">
              <a16:creationId xmlns:a16="http://schemas.microsoft.com/office/drawing/2014/main" id="{2BA7F0B5-9B07-B13B-C47E-F7FC6307A855}"/>
            </a:ext>
          </a:extLst>
        </xdr:cNvPr>
        <xdr:cNvSpPr/>
      </xdr:nvSpPr>
      <xdr:spPr>
        <a:xfrm>
          <a:off x="5558933" y="20415250"/>
          <a:ext cx="1246823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J30, Physiologie et compartiments liquidiens 
09:47-10:20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6</xdr:col>
      <xdr:colOff>776430</xdr:colOff>
      <xdr:row>51</xdr:row>
      <xdr:rowOff>12700</xdr:rowOff>
    </xdr:from>
    <xdr:to>
      <xdr:col>7</xdr:col>
      <xdr:colOff>697087</xdr:colOff>
      <xdr:row>51</xdr:row>
      <xdr:rowOff>387350</xdr:rowOff>
    </xdr:to>
    <xdr:sp macro="" textlink="">
      <xdr:nvSpPr>
        <xdr:cNvPr id="13780" name="Rechthoek: afgeronde hoeken 13779">
          <a:extLst>
            <a:ext uri="{FF2B5EF4-FFF2-40B4-BE49-F238E27FC236}">
              <a16:creationId xmlns:a16="http://schemas.microsoft.com/office/drawing/2014/main" id="{2E267AB9-3D0C-BC87-5034-07C448CF403A}"/>
            </a:ext>
          </a:extLst>
        </xdr:cNvPr>
        <xdr:cNvSpPr/>
      </xdr:nvSpPr>
      <xdr:spPr>
        <a:xfrm>
          <a:off x="6805755" y="20415250"/>
          <a:ext cx="1054132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J15, stats descriptives
10:20-10:48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7</xdr:col>
      <xdr:colOff>697087</xdr:colOff>
      <xdr:row>51</xdr:row>
      <xdr:rowOff>12700</xdr:rowOff>
    </xdr:from>
    <xdr:to>
      <xdr:col>8</xdr:col>
      <xdr:colOff>617744</xdr:colOff>
      <xdr:row>51</xdr:row>
      <xdr:rowOff>387350</xdr:rowOff>
    </xdr:to>
    <xdr:sp macro="" textlink="">
      <xdr:nvSpPr>
        <xdr:cNvPr id="13781" name="Rechthoek: afgeronde hoeken 13780">
          <a:extLst>
            <a:ext uri="{FF2B5EF4-FFF2-40B4-BE49-F238E27FC236}">
              <a16:creationId xmlns:a16="http://schemas.microsoft.com/office/drawing/2014/main" id="{EEBA8053-578F-B7E4-78A6-0F206CC2916C}"/>
            </a:ext>
          </a:extLst>
        </xdr:cNvPr>
        <xdr:cNvSpPr/>
      </xdr:nvSpPr>
      <xdr:spPr>
        <a:xfrm>
          <a:off x="7859887" y="20415250"/>
          <a:ext cx="1054132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J15, Cou
10:48-11:16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8</xdr:col>
      <xdr:colOff>617744</xdr:colOff>
      <xdr:row>51</xdr:row>
      <xdr:rowOff>12700</xdr:rowOff>
    </xdr:from>
    <xdr:to>
      <xdr:col>10</xdr:col>
      <xdr:colOff>153019</xdr:colOff>
      <xdr:row>51</xdr:row>
      <xdr:rowOff>387350</xdr:rowOff>
    </xdr:to>
    <xdr:sp macro="" textlink="">
      <xdr:nvSpPr>
        <xdr:cNvPr id="13782" name="Rechthoek: afgeronde hoeken 13781">
          <a:extLst>
            <a:ext uri="{FF2B5EF4-FFF2-40B4-BE49-F238E27FC236}">
              <a16:creationId xmlns:a16="http://schemas.microsoft.com/office/drawing/2014/main" id="{419FC789-1207-7F4D-0540-6E4ADFDDC2CD}"/>
            </a:ext>
          </a:extLst>
        </xdr:cNvPr>
        <xdr:cNvSpPr/>
      </xdr:nvSpPr>
      <xdr:spPr>
        <a:xfrm>
          <a:off x="8914019" y="20415250"/>
          <a:ext cx="1802225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J15, Synthèse et dégradation des protéines
11:16-12:04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10</xdr:col>
      <xdr:colOff>153019</xdr:colOff>
      <xdr:row>51</xdr:row>
      <xdr:rowOff>12700</xdr:rowOff>
    </xdr:from>
    <xdr:to>
      <xdr:col>10</xdr:col>
      <xdr:colOff>1059799</xdr:colOff>
      <xdr:row>51</xdr:row>
      <xdr:rowOff>387350</xdr:rowOff>
    </xdr:to>
    <xdr:sp macro="" textlink="">
      <xdr:nvSpPr>
        <xdr:cNvPr id="13783" name="Rechthoek: afgeronde hoeken 13782">
          <a:extLst>
            <a:ext uri="{FF2B5EF4-FFF2-40B4-BE49-F238E27FC236}">
              <a16:creationId xmlns:a16="http://schemas.microsoft.com/office/drawing/2014/main" id="{81B32677-66E5-FE94-65F3-6A399BA9E9D9}"/>
            </a:ext>
          </a:extLst>
        </xdr:cNvPr>
        <xdr:cNvSpPr/>
      </xdr:nvSpPr>
      <xdr:spPr>
        <a:xfrm>
          <a:off x="10716244" y="20415250"/>
          <a:ext cx="906780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J10, évaluation des procédures diagnostiques
12:04-12:28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10</xdr:col>
      <xdr:colOff>1059799</xdr:colOff>
      <xdr:row>51</xdr:row>
      <xdr:rowOff>12700</xdr:rowOff>
    </xdr:from>
    <xdr:to>
      <xdr:col>12</xdr:col>
      <xdr:colOff>629079</xdr:colOff>
      <xdr:row>51</xdr:row>
      <xdr:rowOff>387350</xdr:rowOff>
    </xdr:to>
    <xdr:sp macro="" textlink="">
      <xdr:nvSpPr>
        <xdr:cNvPr id="13784" name="Rechthoek: afgeronde hoeken 13783">
          <a:extLst>
            <a:ext uri="{FF2B5EF4-FFF2-40B4-BE49-F238E27FC236}">
              <a16:creationId xmlns:a16="http://schemas.microsoft.com/office/drawing/2014/main" id="{E501B789-236F-DA66-729A-851F8C24FED6}"/>
            </a:ext>
          </a:extLst>
        </xdr:cNvPr>
        <xdr:cNvSpPr/>
      </xdr:nvSpPr>
      <xdr:spPr>
        <a:xfrm>
          <a:off x="11623024" y="20415250"/>
          <a:ext cx="1836230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J10, Réparation de l'ADN
12:28-13:16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12</xdr:col>
      <xdr:colOff>629078</xdr:colOff>
      <xdr:row>51</xdr:row>
      <xdr:rowOff>12700</xdr:rowOff>
    </xdr:from>
    <xdr:to>
      <xdr:col>12</xdr:col>
      <xdr:colOff>991790</xdr:colOff>
      <xdr:row>51</xdr:row>
      <xdr:rowOff>387350</xdr:rowOff>
    </xdr:to>
    <xdr:sp macro="" textlink="">
      <xdr:nvSpPr>
        <xdr:cNvPr id="13785" name="Rechthoek: afgeronde hoeken 13784">
          <a:extLst>
            <a:ext uri="{FF2B5EF4-FFF2-40B4-BE49-F238E27FC236}">
              <a16:creationId xmlns:a16="http://schemas.microsoft.com/office/drawing/2014/main" id="{84AEF42F-51B5-D431-DF9D-2CF984210F7B}"/>
            </a:ext>
          </a:extLst>
        </xdr:cNvPr>
        <xdr:cNvSpPr/>
      </xdr:nvSpPr>
      <xdr:spPr>
        <a:xfrm>
          <a:off x="13459253" y="20415250"/>
          <a:ext cx="362712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J30, psychologie générale 
13:16-13:26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12</xdr:col>
      <xdr:colOff>991791</xdr:colOff>
      <xdr:row>51</xdr:row>
      <xdr:rowOff>12700</xdr:rowOff>
    </xdr:from>
    <xdr:to>
      <xdr:col>13</xdr:col>
      <xdr:colOff>493062</xdr:colOff>
      <xdr:row>51</xdr:row>
      <xdr:rowOff>387350</xdr:rowOff>
    </xdr:to>
    <xdr:sp macro="" textlink="">
      <xdr:nvSpPr>
        <xdr:cNvPr id="13786" name="Rechthoek: afgeronde hoeken 13785">
          <a:extLst>
            <a:ext uri="{FF2B5EF4-FFF2-40B4-BE49-F238E27FC236}">
              <a16:creationId xmlns:a16="http://schemas.microsoft.com/office/drawing/2014/main" id="{1B51B875-9B79-4494-5A81-C1ED7D05D56F}"/>
            </a:ext>
          </a:extLst>
        </xdr:cNvPr>
        <xdr:cNvSpPr/>
      </xdr:nvSpPr>
      <xdr:spPr>
        <a:xfrm>
          <a:off x="13821966" y="20415250"/>
          <a:ext cx="634746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J30, schéma d'étude 
13:26-13:43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13</xdr:col>
      <xdr:colOff>493061</xdr:colOff>
      <xdr:row>51</xdr:row>
      <xdr:rowOff>12700</xdr:rowOff>
    </xdr:from>
    <xdr:to>
      <xdr:col>13</xdr:col>
      <xdr:colOff>1127807</xdr:colOff>
      <xdr:row>51</xdr:row>
      <xdr:rowOff>387350</xdr:rowOff>
    </xdr:to>
    <xdr:sp macro="" textlink="">
      <xdr:nvSpPr>
        <xdr:cNvPr id="13787" name="Rechthoek: afgeronde hoeken 13786">
          <a:extLst>
            <a:ext uri="{FF2B5EF4-FFF2-40B4-BE49-F238E27FC236}">
              <a16:creationId xmlns:a16="http://schemas.microsoft.com/office/drawing/2014/main" id="{9EAD54A1-D13B-9B8D-AED6-C13670500EC2}"/>
            </a:ext>
          </a:extLst>
        </xdr:cNvPr>
        <xdr:cNvSpPr/>
      </xdr:nvSpPr>
      <xdr:spPr>
        <a:xfrm>
          <a:off x="14456711" y="20415250"/>
          <a:ext cx="634746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J30, Les alcools- les amines
13:43-13:59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13</xdr:col>
      <xdr:colOff>1127807</xdr:colOff>
      <xdr:row>51</xdr:row>
      <xdr:rowOff>12700</xdr:rowOff>
    </xdr:from>
    <xdr:to>
      <xdr:col>15</xdr:col>
      <xdr:colOff>17002</xdr:colOff>
      <xdr:row>51</xdr:row>
      <xdr:rowOff>387350</xdr:rowOff>
    </xdr:to>
    <xdr:sp macro="" textlink="">
      <xdr:nvSpPr>
        <xdr:cNvPr id="13788" name="Rechthoek: afgeronde hoeken 13787">
          <a:extLst>
            <a:ext uri="{FF2B5EF4-FFF2-40B4-BE49-F238E27FC236}">
              <a16:creationId xmlns:a16="http://schemas.microsoft.com/office/drawing/2014/main" id="{9F878BA9-679E-2F07-107D-3E82D18B8C94}"/>
            </a:ext>
          </a:extLst>
        </xdr:cNvPr>
        <xdr:cNvSpPr/>
      </xdr:nvSpPr>
      <xdr:spPr>
        <a:xfrm>
          <a:off x="15091457" y="20415250"/>
          <a:ext cx="1156145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J30, Introduction épidémiologie et stats
13:59-14:30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15</xdr:col>
      <xdr:colOff>17002</xdr:colOff>
      <xdr:row>51</xdr:row>
      <xdr:rowOff>12700</xdr:rowOff>
    </xdr:from>
    <xdr:to>
      <xdr:col>16</xdr:col>
      <xdr:colOff>62341</xdr:colOff>
      <xdr:row>51</xdr:row>
      <xdr:rowOff>387350</xdr:rowOff>
    </xdr:to>
    <xdr:sp macro="" textlink="">
      <xdr:nvSpPr>
        <xdr:cNvPr id="13789" name="Rechthoek: afgeronde hoeken 13788">
          <a:extLst>
            <a:ext uri="{FF2B5EF4-FFF2-40B4-BE49-F238E27FC236}">
              <a16:creationId xmlns:a16="http://schemas.microsoft.com/office/drawing/2014/main" id="{3D676DF5-8B42-F6E0-BAAF-E3112F8912BB}"/>
            </a:ext>
          </a:extLst>
        </xdr:cNvPr>
        <xdr:cNvSpPr/>
      </xdr:nvSpPr>
      <xdr:spPr>
        <a:xfrm>
          <a:off x="16247602" y="20415250"/>
          <a:ext cx="1178814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J30, Intervention rééducation part-5
14:30-15:01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16</xdr:col>
      <xdr:colOff>62340</xdr:colOff>
      <xdr:row>51</xdr:row>
      <xdr:rowOff>12700</xdr:rowOff>
    </xdr:from>
    <xdr:to>
      <xdr:col>17</xdr:col>
      <xdr:colOff>425052</xdr:colOff>
      <xdr:row>51</xdr:row>
      <xdr:rowOff>387350</xdr:rowOff>
    </xdr:to>
    <xdr:sp macro="" textlink="">
      <xdr:nvSpPr>
        <xdr:cNvPr id="13790" name="Rechthoek: afgeronde hoeken 13789">
          <a:extLst>
            <a:ext uri="{FF2B5EF4-FFF2-40B4-BE49-F238E27FC236}">
              <a16:creationId xmlns:a16="http://schemas.microsoft.com/office/drawing/2014/main" id="{84EC3A25-E3E5-B581-D0F7-F6255694CEF4}"/>
            </a:ext>
          </a:extLst>
        </xdr:cNvPr>
        <xdr:cNvSpPr/>
      </xdr:nvSpPr>
      <xdr:spPr>
        <a:xfrm>
          <a:off x="17426415" y="20415250"/>
          <a:ext cx="1496187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J10, Probabiltés
15:01-15:41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17</xdr:col>
      <xdr:colOff>425053</xdr:colOff>
      <xdr:row>51</xdr:row>
      <xdr:rowOff>12700</xdr:rowOff>
    </xdr:from>
    <xdr:to>
      <xdr:col>19</xdr:col>
      <xdr:colOff>651748</xdr:colOff>
      <xdr:row>51</xdr:row>
      <xdr:rowOff>387350</xdr:rowOff>
    </xdr:to>
    <xdr:sp macro="" textlink="">
      <xdr:nvSpPr>
        <xdr:cNvPr id="13791" name="Rechthoek: afgeronde hoeken 13790">
          <a:extLst>
            <a:ext uri="{FF2B5EF4-FFF2-40B4-BE49-F238E27FC236}">
              <a16:creationId xmlns:a16="http://schemas.microsoft.com/office/drawing/2014/main" id="{FAFBAF6B-A7D7-249F-90AF-F325745DEDE6}"/>
            </a:ext>
          </a:extLst>
        </xdr:cNvPr>
        <xdr:cNvSpPr/>
      </xdr:nvSpPr>
      <xdr:spPr>
        <a:xfrm>
          <a:off x="18922603" y="20415250"/>
          <a:ext cx="2493645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J10, Métrologie 
15:41-16:47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19</xdr:col>
      <xdr:colOff>651748</xdr:colOff>
      <xdr:row>51</xdr:row>
      <xdr:rowOff>12700</xdr:rowOff>
    </xdr:from>
    <xdr:to>
      <xdr:col>21</xdr:col>
      <xdr:colOff>221028</xdr:colOff>
      <xdr:row>51</xdr:row>
      <xdr:rowOff>387350</xdr:rowOff>
    </xdr:to>
    <xdr:sp macro="" textlink="">
      <xdr:nvSpPr>
        <xdr:cNvPr id="13792" name="Rechthoek: afgeronde hoeken 13791">
          <a:extLst>
            <a:ext uri="{FF2B5EF4-FFF2-40B4-BE49-F238E27FC236}">
              <a16:creationId xmlns:a16="http://schemas.microsoft.com/office/drawing/2014/main" id="{060F118C-D544-094A-EC0B-A9A90F782842}"/>
            </a:ext>
          </a:extLst>
        </xdr:cNvPr>
        <xdr:cNvSpPr/>
      </xdr:nvSpPr>
      <xdr:spPr>
        <a:xfrm>
          <a:off x="21416248" y="20415250"/>
          <a:ext cx="1836230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J10, Dérivés carbonyles
16:47-17:35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21</xdr:col>
      <xdr:colOff>221028</xdr:colOff>
      <xdr:row>51</xdr:row>
      <xdr:rowOff>12700</xdr:rowOff>
    </xdr:from>
    <xdr:to>
      <xdr:col>22</xdr:col>
      <xdr:colOff>0</xdr:colOff>
      <xdr:row>51</xdr:row>
      <xdr:rowOff>387350</xdr:rowOff>
    </xdr:to>
    <xdr:sp macro="" textlink="">
      <xdr:nvSpPr>
        <xdr:cNvPr id="13793" name="Rechthoek: afgeronde hoeken 13792">
          <a:extLst>
            <a:ext uri="{FF2B5EF4-FFF2-40B4-BE49-F238E27FC236}">
              <a16:creationId xmlns:a16="http://schemas.microsoft.com/office/drawing/2014/main" id="{EF4ED430-086C-69ED-9F4D-98ADDE0B4AA9}"/>
            </a:ext>
          </a:extLst>
        </xdr:cNvPr>
        <xdr:cNvSpPr/>
      </xdr:nvSpPr>
      <xdr:spPr>
        <a:xfrm>
          <a:off x="23252478" y="20415250"/>
          <a:ext cx="912447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J10, Enjeux éthiques 
17:35-08:40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52</xdr:row>
      <xdr:rowOff>12700</xdr:rowOff>
    </xdr:from>
    <xdr:to>
      <xdr:col>3</xdr:col>
      <xdr:colOff>402384</xdr:colOff>
      <xdr:row>52</xdr:row>
      <xdr:rowOff>387350</xdr:rowOff>
    </xdr:to>
    <xdr:sp macro="" textlink="">
      <xdr:nvSpPr>
        <xdr:cNvPr id="13794" name="Rechthoek: afgeronde hoeken 13793">
          <a:extLst>
            <a:ext uri="{FF2B5EF4-FFF2-40B4-BE49-F238E27FC236}">
              <a16:creationId xmlns:a16="http://schemas.microsoft.com/office/drawing/2014/main" id="{7AACCAF1-6345-7A56-8CC0-97015665D755}"/>
            </a:ext>
          </a:extLst>
        </xdr:cNvPr>
        <xdr:cNvSpPr/>
      </xdr:nvSpPr>
      <xdr:spPr>
        <a:xfrm>
          <a:off x="1495425" y="20815300"/>
          <a:ext cx="1535859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J10, Enjeux éthiques 
17:35-08:40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402384</xdr:colOff>
      <xdr:row>52</xdr:row>
      <xdr:rowOff>12700</xdr:rowOff>
    </xdr:from>
    <xdr:to>
      <xdr:col>4</xdr:col>
      <xdr:colOff>476060</xdr:colOff>
      <xdr:row>52</xdr:row>
      <xdr:rowOff>387350</xdr:rowOff>
    </xdr:to>
    <xdr:sp macro="" textlink="">
      <xdr:nvSpPr>
        <xdr:cNvPr id="13795" name="Rechthoek: afgeronde hoeken 13794">
          <a:extLst>
            <a:ext uri="{FF2B5EF4-FFF2-40B4-BE49-F238E27FC236}">
              <a16:creationId xmlns:a16="http://schemas.microsoft.com/office/drawing/2014/main" id="{8DB9D4BB-5818-ECC0-99F2-B36922023920}"/>
            </a:ext>
          </a:extLst>
        </xdr:cNvPr>
        <xdr:cNvSpPr/>
      </xdr:nvSpPr>
      <xdr:spPr>
        <a:xfrm>
          <a:off x="3031284" y="20815300"/>
          <a:ext cx="1207151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J15, Prévention-Alla 
08:40-09:12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4</xdr:col>
      <xdr:colOff>476060</xdr:colOff>
      <xdr:row>52</xdr:row>
      <xdr:rowOff>12700</xdr:rowOff>
    </xdr:from>
    <xdr:to>
      <xdr:col>5</xdr:col>
      <xdr:colOff>549736</xdr:colOff>
      <xdr:row>52</xdr:row>
      <xdr:rowOff>387350</xdr:rowOff>
    </xdr:to>
    <xdr:sp macro="" textlink="">
      <xdr:nvSpPr>
        <xdr:cNvPr id="13796" name="Rechthoek: afgeronde hoeken 13795">
          <a:extLst>
            <a:ext uri="{FF2B5EF4-FFF2-40B4-BE49-F238E27FC236}">
              <a16:creationId xmlns:a16="http://schemas.microsoft.com/office/drawing/2014/main" id="{15F6F4DE-B9E9-46CD-320C-71B818B8C79E}"/>
            </a:ext>
          </a:extLst>
        </xdr:cNvPr>
        <xdr:cNvSpPr/>
      </xdr:nvSpPr>
      <xdr:spPr>
        <a:xfrm>
          <a:off x="4238435" y="20815300"/>
          <a:ext cx="1207151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J15, Transports membranaires
09:12-09:44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549735</xdr:colOff>
      <xdr:row>52</xdr:row>
      <xdr:rowOff>12700</xdr:rowOff>
    </xdr:from>
    <xdr:to>
      <xdr:col>5</xdr:col>
      <xdr:colOff>923782</xdr:colOff>
      <xdr:row>52</xdr:row>
      <xdr:rowOff>387350</xdr:rowOff>
    </xdr:to>
    <xdr:sp macro="" textlink="">
      <xdr:nvSpPr>
        <xdr:cNvPr id="13797" name="Rechthoek: afgeronde hoeken 13796">
          <a:extLst>
            <a:ext uri="{FF2B5EF4-FFF2-40B4-BE49-F238E27FC236}">
              <a16:creationId xmlns:a16="http://schemas.microsoft.com/office/drawing/2014/main" id="{3C476822-ED43-6F61-180D-2AD7C05C9BA4}"/>
            </a:ext>
          </a:extLst>
        </xdr:cNvPr>
        <xdr:cNvSpPr/>
      </xdr:nvSpPr>
      <xdr:spPr>
        <a:xfrm>
          <a:off x="5445585" y="20815300"/>
          <a:ext cx="374047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J30, Transport intracellulaire et trafic vésiculaire 
09:44-09:54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923782</xdr:colOff>
      <xdr:row>52</xdr:row>
      <xdr:rowOff>12700</xdr:rowOff>
    </xdr:from>
    <xdr:to>
      <xdr:col>6</xdr:col>
      <xdr:colOff>1037130</xdr:colOff>
      <xdr:row>52</xdr:row>
      <xdr:rowOff>387350</xdr:rowOff>
    </xdr:to>
    <xdr:sp macro="" textlink="">
      <xdr:nvSpPr>
        <xdr:cNvPr id="13798" name="Rechthoek: afgeronde hoeken 13797">
          <a:extLst>
            <a:ext uri="{FF2B5EF4-FFF2-40B4-BE49-F238E27FC236}">
              <a16:creationId xmlns:a16="http://schemas.microsoft.com/office/drawing/2014/main" id="{80F72559-A969-ED0A-A199-A471BA428B3D}"/>
            </a:ext>
          </a:extLst>
        </xdr:cNvPr>
        <xdr:cNvSpPr/>
      </xdr:nvSpPr>
      <xdr:spPr>
        <a:xfrm>
          <a:off x="5819632" y="20815300"/>
          <a:ext cx="1246823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J30, Membre inférieur 1
09:54-10:27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6</xdr:col>
      <xdr:colOff>1037130</xdr:colOff>
      <xdr:row>52</xdr:row>
      <xdr:rowOff>12700</xdr:rowOff>
    </xdr:from>
    <xdr:to>
      <xdr:col>8</xdr:col>
      <xdr:colOff>39672</xdr:colOff>
      <xdr:row>52</xdr:row>
      <xdr:rowOff>387350</xdr:rowOff>
    </xdr:to>
    <xdr:sp macro="" textlink="">
      <xdr:nvSpPr>
        <xdr:cNvPr id="13799" name="Rechthoek: afgeronde hoeken 13798">
          <a:extLst>
            <a:ext uri="{FF2B5EF4-FFF2-40B4-BE49-F238E27FC236}">
              <a16:creationId xmlns:a16="http://schemas.microsoft.com/office/drawing/2014/main" id="{8EFF76C0-5C87-5A73-B1C2-9829FFC7A090}"/>
            </a:ext>
          </a:extLst>
        </xdr:cNvPr>
        <xdr:cNvSpPr/>
      </xdr:nvSpPr>
      <xdr:spPr>
        <a:xfrm>
          <a:off x="7066455" y="20815300"/>
          <a:ext cx="1269492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J30, intro: région, fascias et appareil 
10:27-11:01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8</xdr:col>
      <xdr:colOff>39672</xdr:colOff>
      <xdr:row>52</xdr:row>
      <xdr:rowOff>12700</xdr:rowOff>
    </xdr:from>
    <xdr:to>
      <xdr:col>8</xdr:col>
      <xdr:colOff>651748</xdr:colOff>
      <xdr:row>52</xdr:row>
      <xdr:rowOff>387350</xdr:rowOff>
    </xdr:to>
    <xdr:sp macro="" textlink="">
      <xdr:nvSpPr>
        <xdr:cNvPr id="13800" name="Rechthoek: afgeronde hoeken 13799">
          <a:extLst>
            <a:ext uri="{FF2B5EF4-FFF2-40B4-BE49-F238E27FC236}">
              <a16:creationId xmlns:a16="http://schemas.microsoft.com/office/drawing/2014/main" id="{C2AABFB0-71F9-D4FA-6F16-6957D2161E91}"/>
            </a:ext>
          </a:extLst>
        </xdr:cNvPr>
        <xdr:cNvSpPr/>
      </xdr:nvSpPr>
      <xdr:spPr>
        <a:xfrm>
          <a:off x="8335947" y="20815300"/>
          <a:ext cx="612076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J15, Détection des rayonnements 
11:01-11:17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8</xdr:col>
      <xdr:colOff>651748</xdr:colOff>
      <xdr:row>52</xdr:row>
      <xdr:rowOff>12700</xdr:rowOff>
    </xdr:from>
    <xdr:to>
      <xdr:col>9</xdr:col>
      <xdr:colOff>640413</xdr:colOff>
      <xdr:row>52</xdr:row>
      <xdr:rowOff>387350</xdr:rowOff>
    </xdr:to>
    <xdr:sp macro="" textlink="">
      <xdr:nvSpPr>
        <xdr:cNvPr id="13801" name="Rechthoek: afgeronde hoeken 13800">
          <a:extLst>
            <a:ext uri="{FF2B5EF4-FFF2-40B4-BE49-F238E27FC236}">
              <a16:creationId xmlns:a16="http://schemas.microsoft.com/office/drawing/2014/main" id="{B26775CA-6DB6-46A2-29E3-D11D8392ABF8}"/>
            </a:ext>
          </a:extLst>
        </xdr:cNvPr>
        <xdr:cNvSpPr/>
      </xdr:nvSpPr>
      <xdr:spPr>
        <a:xfrm>
          <a:off x="8948023" y="20815300"/>
          <a:ext cx="1122140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J15, Atomes
11:17-11:46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9</xdr:col>
      <xdr:colOff>640414</xdr:colOff>
      <xdr:row>52</xdr:row>
      <xdr:rowOff>12700</xdr:rowOff>
    </xdr:from>
    <xdr:to>
      <xdr:col>10</xdr:col>
      <xdr:colOff>935118</xdr:colOff>
      <xdr:row>52</xdr:row>
      <xdr:rowOff>387350</xdr:rowOff>
    </xdr:to>
    <xdr:sp macro="" textlink="">
      <xdr:nvSpPr>
        <xdr:cNvPr id="13802" name="Rechthoek: afgeronde hoeken 13801">
          <a:extLst>
            <a:ext uri="{FF2B5EF4-FFF2-40B4-BE49-F238E27FC236}">
              <a16:creationId xmlns:a16="http://schemas.microsoft.com/office/drawing/2014/main" id="{980A0778-A0CE-52BF-4CEC-E43B73B8486B}"/>
            </a:ext>
          </a:extLst>
        </xdr:cNvPr>
        <xdr:cNvSpPr/>
      </xdr:nvSpPr>
      <xdr:spPr>
        <a:xfrm>
          <a:off x="10070164" y="20815300"/>
          <a:ext cx="1428179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J15, Cellules souches
11:46-12:24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10</xdr:col>
      <xdr:colOff>935117</xdr:colOff>
      <xdr:row>52</xdr:row>
      <xdr:rowOff>12700</xdr:rowOff>
    </xdr:from>
    <xdr:to>
      <xdr:col>12</xdr:col>
      <xdr:colOff>385382</xdr:colOff>
      <xdr:row>52</xdr:row>
      <xdr:rowOff>387350</xdr:rowOff>
    </xdr:to>
    <xdr:sp macro="" textlink="">
      <xdr:nvSpPr>
        <xdr:cNvPr id="13803" name="Rechthoek: afgeronde hoeken 13802">
          <a:extLst>
            <a:ext uri="{FF2B5EF4-FFF2-40B4-BE49-F238E27FC236}">
              <a16:creationId xmlns:a16="http://schemas.microsoft.com/office/drawing/2014/main" id="{E3D77A21-5E09-0CA4-F554-C9E15240A25A}"/>
            </a:ext>
          </a:extLst>
        </xdr:cNvPr>
        <xdr:cNvSpPr/>
      </xdr:nvSpPr>
      <xdr:spPr>
        <a:xfrm>
          <a:off x="11498342" y="20815300"/>
          <a:ext cx="1717215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J15, Mouvement molécules de surface
12:24-13:10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12</xdr:col>
      <xdr:colOff>385381</xdr:colOff>
      <xdr:row>52</xdr:row>
      <xdr:rowOff>12700</xdr:rowOff>
    </xdr:from>
    <xdr:to>
      <xdr:col>13</xdr:col>
      <xdr:colOff>1105138</xdr:colOff>
      <xdr:row>52</xdr:row>
      <xdr:rowOff>387350</xdr:rowOff>
    </xdr:to>
    <xdr:sp macro="" textlink="">
      <xdr:nvSpPr>
        <xdr:cNvPr id="13804" name="Rechthoek: afgeronde hoeken 13803">
          <a:extLst>
            <a:ext uri="{FF2B5EF4-FFF2-40B4-BE49-F238E27FC236}">
              <a16:creationId xmlns:a16="http://schemas.microsoft.com/office/drawing/2014/main" id="{C52D9AB1-2A9B-A04F-FFA6-CD1F92459791}"/>
            </a:ext>
          </a:extLst>
        </xdr:cNvPr>
        <xdr:cNvSpPr/>
      </xdr:nvSpPr>
      <xdr:spPr>
        <a:xfrm>
          <a:off x="13215556" y="20815300"/>
          <a:ext cx="1853232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J15, Molécules du vivant
13:10-13:59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13</xdr:col>
      <xdr:colOff>1105139</xdr:colOff>
      <xdr:row>52</xdr:row>
      <xdr:rowOff>12700</xdr:rowOff>
    </xdr:from>
    <xdr:to>
      <xdr:col>14</xdr:col>
      <xdr:colOff>629079</xdr:colOff>
      <xdr:row>52</xdr:row>
      <xdr:rowOff>387350</xdr:rowOff>
    </xdr:to>
    <xdr:sp macro="" textlink="">
      <xdr:nvSpPr>
        <xdr:cNvPr id="13805" name="Rechthoek: afgeronde hoeken 13804">
          <a:extLst>
            <a:ext uri="{FF2B5EF4-FFF2-40B4-BE49-F238E27FC236}">
              <a16:creationId xmlns:a16="http://schemas.microsoft.com/office/drawing/2014/main" id="{1A0B2F86-A43D-C768-7A70-84370D406A91}"/>
            </a:ext>
          </a:extLst>
        </xdr:cNvPr>
        <xdr:cNvSpPr/>
      </xdr:nvSpPr>
      <xdr:spPr>
        <a:xfrm>
          <a:off x="15068789" y="20815300"/>
          <a:ext cx="657415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J30, CI du fonctionnement, du handicap et de la santé 
13:59-14:16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14</xdr:col>
      <xdr:colOff>629078</xdr:colOff>
      <xdr:row>52</xdr:row>
      <xdr:rowOff>12700</xdr:rowOff>
    </xdr:from>
    <xdr:to>
      <xdr:col>15</xdr:col>
      <xdr:colOff>379713</xdr:colOff>
      <xdr:row>52</xdr:row>
      <xdr:rowOff>387350</xdr:rowOff>
    </xdr:to>
    <xdr:sp macro="" textlink="">
      <xdr:nvSpPr>
        <xdr:cNvPr id="13806" name="Rechthoek: afgeronde hoeken 13805">
          <a:extLst>
            <a:ext uri="{FF2B5EF4-FFF2-40B4-BE49-F238E27FC236}">
              <a16:creationId xmlns:a16="http://schemas.microsoft.com/office/drawing/2014/main" id="{DE1BBDCD-F975-1FC3-B919-7BE9AAA7C276}"/>
            </a:ext>
          </a:extLst>
        </xdr:cNvPr>
        <xdr:cNvSpPr/>
      </xdr:nvSpPr>
      <xdr:spPr>
        <a:xfrm>
          <a:off x="15726203" y="20815300"/>
          <a:ext cx="884110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J30, Jonction neuro-musculaire
14:16-14:40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15</xdr:col>
      <xdr:colOff>379715</xdr:colOff>
      <xdr:row>52</xdr:row>
      <xdr:rowOff>12700</xdr:rowOff>
    </xdr:from>
    <xdr:to>
      <xdr:col>16</xdr:col>
      <xdr:colOff>175689</xdr:colOff>
      <xdr:row>52</xdr:row>
      <xdr:rowOff>387350</xdr:rowOff>
    </xdr:to>
    <xdr:sp macro="" textlink="">
      <xdr:nvSpPr>
        <xdr:cNvPr id="13807" name="Rechthoek: afgeronde hoeken 13806">
          <a:extLst>
            <a:ext uri="{FF2B5EF4-FFF2-40B4-BE49-F238E27FC236}">
              <a16:creationId xmlns:a16="http://schemas.microsoft.com/office/drawing/2014/main" id="{8952E6E8-A352-B9E2-0D6B-D2459976451C}"/>
            </a:ext>
          </a:extLst>
        </xdr:cNvPr>
        <xdr:cNvSpPr/>
      </xdr:nvSpPr>
      <xdr:spPr>
        <a:xfrm>
          <a:off x="16610315" y="20815300"/>
          <a:ext cx="929449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J30, Culture, corps et santé
14:40-15:04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16</xdr:col>
      <xdr:colOff>175689</xdr:colOff>
      <xdr:row>52</xdr:row>
      <xdr:rowOff>12700</xdr:rowOff>
    </xdr:from>
    <xdr:to>
      <xdr:col>17</xdr:col>
      <xdr:colOff>198359</xdr:colOff>
      <xdr:row>52</xdr:row>
      <xdr:rowOff>387350</xdr:rowOff>
    </xdr:to>
    <xdr:sp macro="" textlink="">
      <xdr:nvSpPr>
        <xdr:cNvPr id="13808" name="Rechthoek: afgeronde hoeken 13807">
          <a:extLst>
            <a:ext uri="{FF2B5EF4-FFF2-40B4-BE49-F238E27FC236}">
              <a16:creationId xmlns:a16="http://schemas.microsoft.com/office/drawing/2014/main" id="{F0A13ED6-8360-9ED2-2252-7F1B295A0605}"/>
            </a:ext>
          </a:extLst>
        </xdr:cNvPr>
        <xdr:cNvSpPr/>
      </xdr:nvSpPr>
      <xdr:spPr>
        <a:xfrm>
          <a:off x="17539764" y="20815300"/>
          <a:ext cx="1156145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J30, Les acides aminés- les oses 
15:04-15:35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17</xdr:col>
      <xdr:colOff>198358</xdr:colOff>
      <xdr:row>52</xdr:row>
      <xdr:rowOff>12700</xdr:rowOff>
    </xdr:from>
    <xdr:to>
      <xdr:col>17</xdr:col>
      <xdr:colOff>878443</xdr:colOff>
      <xdr:row>52</xdr:row>
      <xdr:rowOff>387350</xdr:rowOff>
    </xdr:to>
    <xdr:sp macro="" textlink="">
      <xdr:nvSpPr>
        <xdr:cNvPr id="13809" name="Rechthoek: afgeronde hoeken 13808">
          <a:extLst>
            <a:ext uri="{FF2B5EF4-FFF2-40B4-BE49-F238E27FC236}">
              <a16:creationId xmlns:a16="http://schemas.microsoft.com/office/drawing/2014/main" id="{4061DD84-6C68-0F5C-B01E-8B5070B00EAD}"/>
            </a:ext>
          </a:extLst>
        </xdr:cNvPr>
        <xdr:cNvSpPr/>
      </xdr:nvSpPr>
      <xdr:spPr>
        <a:xfrm>
          <a:off x="18695908" y="20815300"/>
          <a:ext cx="680085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J15, évaluation des procédures diagnostiques
15:35-15:53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17</xdr:col>
      <xdr:colOff>878443</xdr:colOff>
      <xdr:row>52</xdr:row>
      <xdr:rowOff>12700</xdr:rowOff>
    </xdr:from>
    <xdr:to>
      <xdr:col>18</xdr:col>
      <xdr:colOff>1122140</xdr:colOff>
      <xdr:row>52</xdr:row>
      <xdr:rowOff>387350</xdr:rowOff>
    </xdr:to>
    <xdr:sp macro="" textlink="">
      <xdr:nvSpPr>
        <xdr:cNvPr id="13810" name="Rechthoek: afgeronde hoeken 13809">
          <a:extLst>
            <a:ext uri="{FF2B5EF4-FFF2-40B4-BE49-F238E27FC236}">
              <a16:creationId xmlns:a16="http://schemas.microsoft.com/office/drawing/2014/main" id="{314CC562-86FA-7A59-8004-1964475D6160}"/>
            </a:ext>
          </a:extLst>
        </xdr:cNvPr>
        <xdr:cNvSpPr/>
      </xdr:nvSpPr>
      <xdr:spPr>
        <a:xfrm>
          <a:off x="19375993" y="20815300"/>
          <a:ext cx="1377172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J15, Réparation de l'ADN
15:53-16:29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18</xdr:col>
      <xdr:colOff>1122141</xdr:colOff>
      <xdr:row>52</xdr:row>
      <xdr:rowOff>12700</xdr:rowOff>
    </xdr:from>
    <xdr:to>
      <xdr:col>19</xdr:col>
      <xdr:colOff>442056</xdr:colOff>
      <xdr:row>52</xdr:row>
      <xdr:rowOff>387350</xdr:rowOff>
    </xdr:to>
    <xdr:sp macro="" textlink="">
      <xdr:nvSpPr>
        <xdr:cNvPr id="13811" name="Rechthoek: afgeronde hoeken 13810">
          <a:extLst>
            <a:ext uri="{FF2B5EF4-FFF2-40B4-BE49-F238E27FC236}">
              <a16:creationId xmlns:a16="http://schemas.microsoft.com/office/drawing/2014/main" id="{7673AD30-5238-3ECF-FC82-E26433F949F7}"/>
            </a:ext>
          </a:extLst>
        </xdr:cNvPr>
        <xdr:cNvSpPr/>
      </xdr:nvSpPr>
      <xdr:spPr>
        <a:xfrm>
          <a:off x="20753166" y="20815300"/>
          <a:ext cx="453390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J30, Structure des glucides 
16:29-16:41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19</xdr:col>
      <xdr:colOff>442055</xdr:colOff>
      <xdr:row>52</xdr:row>
      <xdr:rowOff>12700</xdr:rowOff>
    </xdr:from>
    <xdr:to>
      <xdr:col>19</xdr:col>
      <xdr:colOff>1122140</xdr:colOff>
      <xdr:row>52</xdr:row>
      <xdr:rowOff>387350</xdr:rowOff>
    </xdr:to>
    <xdr:sp macro="" textlink="">
      <xdr:nvSpPr>
        <xdr:cNvPr id="13812" name="Rechthoek: afgeronde hoeken 13811">
          <a:extLst>
            <a:ext uri="{FF2B5EF4-FFF2-40B4-BE49-F238E27FC236}">
              <a16:creationId xmlns:a16="http://schemas.microsoft.com/office/drawing/2014/main" id="{CA51E257-551F-285B-DB74-238C8C94C6A5}"/>
            </a:ext>
          </a:extLst>
        </xdr:cNvPr>
        <xdr:cNvSpPr/>
      </xdr:nvSpPr>
      <xdr:spPr>
        <a:xfrm>
          <a:off x="21206555" y="20815300"/>
          <a:ext cx="680085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J30, Cytosquellette
16:41-16:59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19</xdr:col>
      <xdr:colOff>1122141</xdr:colOff>
      <xdr:row>52</xdr:row>
      <xdr:rowOff>12700</xdr:rowOff>
    </xdr:from>
    <xdr:to>
      <xdr:col>20</xdr:col>
      <xdr:colOff>770764</xdr:colOff>
      <xdr:row>52</xdr:row>
      <xdr:rowOff>387350</xdr:rowOff>
    </xdr:to>
    <xdr:sp macro="" textlink="">
      <xdr:nvSpPr>
        <xdr:cNvPr id="13813" name="Rechthoek: afgeronde hoeken 13812">
          <a:extLst>
            <a:ext uri="{FF2B5EF4-FFF2-40B4-BE49-F238E27FC236}">
              <a16:creationId xmlns:a16="http://schemas.microsoft.com/office/drawing/2014/main" id="{30D9F168-5257-41CA-A0C3-A13805BA57EE}"/>
            </a:ext>
          </a:extLst>
        </xdr:cNvPr>
        <xdr:cNvSpPr/>
      </xdr:nvSpPr>
      <xdr:spPr>
        <a:xfrm>
          <a:off x="21886641" y="20815300"/>
          <a:ext cx="782098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J30, Membre supérieur 3
16:59-17:20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20</xdr:col>
      <xdr:colOff>770762</xdr:colOff>
      <xdr:row>52</xdr:row>
      <xdr:rowOff>12700</xdr:rowOff>
    </xdr:from>
    <xdr:to>
      <xdr:col>21</xdr:col>
      <xdr:colOff>748092</xdr:colOff>
      <xdr:row>52</xdr:row>
      <xdr:rowOff>387350</xdr:rowOff>
    </xdr:to>
    <xdr:sp macro="" textlink="">
      <xdr:nvSpPr>
        <xdr:cNvPr id="13814" name="Rechthoek: afgeronde hoeken 13813">
          <a:extLst>
            <a:ext uri="{FF2B5EF4-FFF2-40B4-BE49-F238E27FC236}">
              <a16:creationId xmlns:a16="http://schemas.microsoft.com/office/drawing/2014/main" id="{9DFA01D4-0DCF-888F-22B2-72F84532D982}"/>
            </a:ext>
          </a:extLst>
        </xdr:cNvPr>
        <xdr:cNvSpPr/>
      </xdr:nvSpPr>
      <xdr:spPr>
        <a:xfrm>
          <a:off x="22668737" y="20815300"/>
          <a:ext cx="1110805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J30, Dos
17:20-17:49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21</xdr:col>
      <xdr:colOff>748094</xdr:colOff>
      <xdr:row>52</xdr:row>
      <xdr:rowOff>12700</xdr:rowOff>
    </xdr:from>
    <xdr:to>
      <xdr:col>22</xdr:col>
      <xdr:colOff>0</xdr:colOff>
      <xdr:row>52</xdr:row>
      <xdr:rowOff>387350</xdr:rowOff>
    </xdr:to>
    <xdr:sp macro="" textlink="">
      <xdr:nvSpPr>
        <xdr:cNvPr id="13815" name="Rechthoek: afgeronde hoeken 13814">
          <a:extLst>
            <a:ext uri="{FF2B5EF4-FFF2-40B4-BE49-F238E27FC236}">
              <a16:creationId xmlns:a16="http://schemas.microsoft.com/office/drawing/2014/main" id="{2473CBBD-F477-B61C-D60D-E970DCA257E6}"/>
            </a:ext>
          </a:extLst>
        </xdr:cNvPr>
        <xdr:cNvSpPr/>
      </xdr:nvSpPr>
      <xdr:spPr>
        <a:xfrm>
          <a:off x="23779544" y="20815300"/>
          <a:ext cx="385381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J30, Le domaine de l'optique 
17:49-08:19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53</xdr:row>
      <xdr:rowOff>12700</xdr:rowOff>
    </xdr:from>
    <xdr:to>
      <xdr:col>2</xdr:col>
      <xdr:colOff>748093</xdr:colOff>
      <xdr:row>53</xdr:row>
      <xdr:rowOff>387350</xdr:rowOff>
    </xdr:to>
    <xdr:sp macro="" textlink="">
      <xdr:nvSpPr>
        <xdr:cNvPr id="13816" name="Rechthoek: afgeronde hoeken 13815">
          <a:extLst>
            <a:ext uri="{FF2B5EF4-FFF2-40B4-BE49-F238E27FC236}">
              <a16:creationId xmlns:a16="http://schemas.microsoft.com/office/drawing/2014/main" id="{46928243-5230-C8A0-119C-313C42CF6B7B}"/>
            </a:ext>
          </a:extLst>
        </xdr:cNvPr>
        <xdr:cNvSpPr/>
      </xdr:nvSpPr>
      <xdr:spPr>
        <a:xfrm>
          <a:off x="1495425" y="21215350"/>
          <a:ext cx="748093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J30, Le domaine de l'optique 
17:49-08:19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748093</xdr:colOff>
      <xdr:row>53</xdr:row>
      <xdr:rowOff>12700</xdr:rowOff>
    </xdr:from>
    <xdr:to>
      <xdr:col>3</xdr:col>
      <xdr:colOff>748093</xdr:colOff>
      <xdr:row>53</xdr:row>
      <xdr:rowOff>387350</xdr:rowOff>
    </xdr:to>
    <xdr:sp macro="" textlink="">
      <xdr:nvSpPr>
        <xdr:cNvPr id="13817" name="Rechthoek: afgeronde hoeken 13816">
          <a:extLst>
            <a:ext uri="{FF2B5EF4-FFF2-40B4-BE49-F238E27FC236}">
              <a16:creationId xmlns:a16="http://schemas.microsoft.com/office/drawing/2014/main" id="{AFC32104-9884-F773-8516-4A11BAE24AF0}"/>
            </a:ext>
          </a:extLst>
        </xdr:cNvPr>
        <xdr:cNvSpPr/>
      </xdr:nvSpPr>
      <xdr:spPr>
        <a:xfrm>
          <a:off x="2243518" y="21215350"/>
          <a:ext cx="1133475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J30, Rayons X et gamma-Rayonnement particulaire
08:19-08:49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748093</xdr:colOff>
      <xdr:row>53</xdr:row>
      <xdr:rowOff>12700</xdr:rowOff>
    </xdr:from>
    <xdr:to>
      <xdr:col>4</xdr:col>
      <xdr:colOff>748093</xdr:colOff>
      <xdr:row>53</xdr:row>
      <xdr:rowOff>387350</xdr:rowOff>
    </xdr:to>
    <xdr:sp macro="" textlink="">
      <xdr:nvSpPr>
        <xdr:cNvPr id="13818" name="Rechthoek: afgeronde hoeken 13817">
          <a:extLst>
            <a:ext uri="{FF2B5EF4-FFF2-40B4-BE49-F238E27FC236}">
              <a16:creationId xmlns:a16="http://schemas.microsoft.com/office/drawing/2014/main" id="{1A64831F-0E2E-56DC-4A43-154DCBEBE3EC}"/>
            </a:ext>
          </a:extLst>
        </xdr:cNvPr>
        <xdr:cNvSpPr/>
      </xdr:nvSpPr>
      <xdr:spPr>
        <a:xfrm>
          <a:off x="3376993" y="21215350"/>
          <a:ext cx="1133475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J30, Tête
08:49-09:19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4</xdr:col>
      <xdr:colOff>748093</xdr:colOff>
      <xdr:row>53</xdr:row>
      <xdr:rowOff>12700</xdr:rowOff>
    </xdr:from>
    <xdr:to>
      <xdr:col>5</xdr:col>
      <xdr:colOff>736758</xdr:colOff>
      <xdr:row>53</xdr:row>
      <xdr:rowOff>387350</xdr:rowOff>
    </xdr:to>
    <xdr:sp macro="" textlink="">
      <xdr:nvSpPr>
        <xdr:cNvPr id="13819" name="Rechthoek: afgeronde hoeken 13818">
          <a:extLst>
            <a:ext uri="{FF2B5EF4-FFF2-40B4-BE49-F238E27FC236}">
              <a16:creationId xmlns:a16="http://schemas.microsoft.com/office/drawing/2014/main" id="{559C50DC-3841-61AF-AB77-34DD1F389654}"/>
            </a:ext>
          </a:extLst>
        </xdr:cNvPr>
        <xdr:cNvSpPr/>
      </xdr:nvSpPr>
      <xdr:spPr>
        <a:xfrm>
          <a:off x="4510468" y="21215350"/>
          <a:ext cx="1122140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J15, Probabiltés
09:19-09:49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736759</xdr:colOff>
      <xdr:row>53</xdr:row>
      <xdr:rowOff>12700</xdr:rowOff>
    </xdr:from>
    <xdr:to>
      <xdr:col>7</xdr:col>
      <xdr:colOff>340043</xdr:colOff>
      <xdr:row>53</xdr:row>
      <xdr:rowOff>387350</xdr:rowOff>
    </xdr:to>
    <xdr:sp macro="" textlink="">
      <xdr:nvSpPr>
        <xdr:cNvPr id="13820" name="Rechthoek: afgeronde hoeken 13819">
          <a:extLst>
            <a:ext uri="{FF2B5EF4-FFF2-40B4-BE49-F238E27FC236}">
              <a16:creationId xmlns:a16="http://schemas.microsoft.com/office/drawing/2014/main" id="{CE7CFB0F-6703-72F1-F04A-8F3AF993A5EC}"/>
            </a:ext>
          </a:extLst>
        </xdr:cNvPr>
        <xdr:cNvSpPr/>
      </xdr:nvSpPr>
      <xdr:spPr>
        <a:xfrm>
          <a:off x="5632609" y="21215350"/>
          <a:ext cx="1870234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J15, Métrologie 
09:49-10:39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7</xdr:col>
      <xdr:colOff>340043</xdr:colOff>
      <xdr:row>53</xdr:row>
      <xdr:rowOff>12700</xdr:rowOff>
    </xdr:from>
    <xdr:to>
      <xdr:col>7</xdr:col>
      <xdr:colOff>725424</xdr:colOff>
      <xdr:row>53</xdr:row>
      <xdr:rowOff>387350</xdr:rowOff>
    </xdr:to>
    <xdr:sp macro="" textlink="">
      <xdr:nvSpPr>
        <xdr:cNvPr id="13821" name="Rechthoek: afgeronde hoeken 13820">
          <a:extLst>
            <a:ext uri="{FF2B5EF4-FFF2-40B4-BE49-F238E27FC236}">
              <a16:creationId xmlns:a16="http://schemas.microsoft.com/office/drawing/2014/main" id="{03153142-5114-4636-3040-B5C522144EF4}"/>
            </a:ext>
          </a:extLst>
        </xdr:cNvPr>
        <xdr:cNvSpPr/>
      </xdr:nvSpPr>
      <xdr:spPr>
        <a:xfrm>
          <a:off x="7502843" y="21215350"/>
          <a:ext cx="385381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J30, Membre supérieur 1
10:39-10:49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7</xdr:col>
      <xdr:colOff>725424</xdr:colOff>
      <xdr:row>53</xdr:row>
      <xdr:rowOff>12700</xdr:rowOff>
    </xdr:from>
    <xdr:to>
      <xdr:col>8</xdr:col>
      <xdr:colOff>0</xdr:colOff>
      <xdr:row>53</xdr:row>
      <xdr:rowOff>387350</xdr:rowOff>
    </xdr:to>
    <xdr:sp macro="" textlink="">
      <xdr:nvSpPr>
        <xdr:cNvPr id="13822" name="Rechthoek: afgeronde hoeken 13821">
          <a:extLst>
            <a:ext uri="{FF2B5EF4-FFF2-40B4-BE49-F238E27FC236}">
              <a16:creationId xmlns:a16="http://schemas.microsoft.com/office/drawing/2014/main" id="{4787BC88-F2B2-B340-A363-66E4D307F420}"/>
            </a:ext>
          </a:extLst>
        </xdr:cNvPr>
        <xdr:cNvSpPr/>
      </xdr:nvSpPr>
      <xdr:spPr>
        <a:xfrm>
          <a:off x="7888224" y="21215350"/>
          <a:ext cx="408051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J30, pH et équilibre acido basique d'une solution
10:49-11:00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8</xdr:col>
      <xdr:colOff>0</xdr:colOff>
      <xdr:row>53</xdr:row>
      <xdr:rowOff>12700</xdr:rowOff>
    </xdr:from>
    <xdr:to>
      <xdr:col>8</xdr:col>
      <xdr:colOff>793432</xdr:colOff>
      <xdr:row>53</xdr:row>
      <xdr:rowOff>387350</xdr:rowOff>
    </xdr:to>
    <xdr:sp macro="" textlink="">
      <xdr:nvSpPr>
        <xdr:cNvPr id="13823" name="Rechthoek: afgeronde hoeken 13822">
          <a:extLst>
            <a:ext uri="{FF2B5EF4-FFF2-40B4-BE49-F238E27FC236}">
              <a16:creationId xmlns:a16="http://schemas.microsoft.com/office/drawing/2014/main" id="{66E93524-A2A1-53C0-3292-274C012A9113}"/>
            </a:ext>
          </a:extLst>
        </xdr:cNvPr>
        <xdr:cNvSpPr/>
      </xdr:nvSpPr>
      <xdr:spPr>
        <a:xfrm>
          <a:off x="8296275" y="21215350"/>
          <a:ext cx="793432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J30, système nerveux autonome 
11:00-11:21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8</xdr:col>
      <xdr:colOff>793432</xdr:colOff>
      <xdr:row>53</xdr:row>
      <xdr:rowOff>12700</xdr:rowOff>
    </xdr:from>
    <xdr:to>
      <xdr:col>9</xdr:col>
      <xdr:colOff>521398</xdr:colOff>
      <xdr:row>53</xdr:row>
      <xdr:rowOff>387350</xdr:rowOff>
    </xdr:to>
    <xdr:sp macro="" textlink="">
      <xdr:nvSpPr>
        <xdr:cNvPr id="13824" name="Rechthoek: afgeronde hoeken 13823">
          <a:extLst>
            <a:ext uri="{FF2B5EF4-FFF2-40B4-BE49-F238E27FC236}">
              <a16:creationId xmlns:a16="http://schemas.microsoft.com/office/drawing/2014/main" id="{94F47A90-60BB-DEEC-4162-7E9E927F0BEC}"/>
            </a:ext>
          </a:extLst>
        </xdr:cNvPr>
        <xdr:cNvSpPr/>
      </xdr:nvSpPr>
      <xdr:spPr>
        <a:xfrm>
          <a:off x="9089707" y="21215350"/>
          <a:ext cx="861441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J30, Maladies, itinéraire thérapeutique
11:21-11:43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9</xdr:col>
      <xdr:colOff>521398</xdr:colOff>
      <xdr:row>53</xdr:row>
      <xdr:rowOff>12700</xdr:rowOff>
    </xdr:from>
    <xdr:to>
      <xdr:col>10</xdr:col>
      <xdr:colOff>385381</xdr:colOff>
      <xdr:row>53</xdr:row>
      <xdr:rowOff>387350</xdr:rowOff>
    </xdr:to>
    <xdr:sp macro="" textlink="">
      <xdr:nvSpPr>
        <xdr:cNvPr id="13825" name="Rechthoek: afgeronde hoeken 13824">
          <a:extLst>
            <a:ext uri="{FF2B5EF4-FFF2-40B4-BE49-F238E27FC236}">
              <a16:creationId xmlns:a16="http://schemas.microsoft.com/office/drawing/2014/main" id="{02A5866E-D70D-8CD0-BAB3-EC74C1BC5E1B}"/>
            </a:ext>
          </a:extLst>
        </xdr:cNvPr>
        <xdr:cNvSpPr/>
      </xdr:nvSpPr>
      <xdr:spPr>
        <a:xfrm>
          <a:off x="9951148" y="21215350"/>
          <a:ext cx="997458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J30, Nomenclature chimique- Isomérie 
11:43-12:10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10</xdr:col>
      <xdr:colOff>385381</xdr:colOff>
      <xdr:row>53</xdr:row>
      <xdr:rowOff>12700</xdr:rowOff>
    </xdr:from>
    <xdr:to>
      <xdr:col>11</xdr:col>
      <xdr:colOff>629078</xdr:colOff>
      <xdr:row>53</xdr:row>
      <xdr:rowOff>387350</xdr:rowOff>
    </xdr:to>
    <xdr:sp macro="" textlink="">
      <xdr:nvSpPr>
        <xdr:cNvPr id="13826" name="Rechthoek: afgeronde hoeken 13825">
          <a:extLst>
            <a:ext uri="{FF2B5EF4-FFF2-40B4-BE49-F238E27FC236}">
              <a16:creationId xmlns:a16="http://schemas.microsoft.com/office/drawing/2014/main" id="{8398C4D5-2E63-BB4D-2C71-83AD1BA90197}"/>
            </a:ext>
          </a:extLst>
        </xdr:cNvPr>
        <xdr:cNvSpPr/>
      </xdr:nvSpPr>
      <xdr:spPr>
        <a:xfrm>
          <a:off x="10948606" y="21215350"/>
          <a:ext cx="1377172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J15, Dérivés carbonyles
12:10-12:46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11</xdr:col>
      <xdr:colOff>629079</xdr:colOff>
      <xdr:row>53</xdr:row>
      <xdr:rowOff>12700</xdr:rowOff>
    </xdr:from>
    <xdr:to>
      <xdr:col>13</xdr:col>
      <xdr:colOff>198359</xdr:colOff>
      <xdr:row>53</xdr:row>
      <xdr:rowOff>387350</xdr:rowOff>
    </xdr:to>
    <xdr:sp macro="" textlink="">
      <xdr:nvSpPr>
        <xdr:cNvPr id="13827" name="Rechthoek: afgeronde hoeken 13826">
          <a:extLst>
            <a:ext uri="{FF2B5EF4-FFF2-40B4-BE49-F238E27FC236}">
              <a16:creationId xmlns:a16="http://schemas.microsoft.com/office/drawing/2014/main" id="{D7E63560-A8BE-9FA4-4D9F-BFC551FEC815}"/>
            </a:ext>
          </a:extLst>
        </xdr:cNvPr>
        <xdr:cNvSpPr/>
      </xdr:nvSpPr>
      <xdr:spPr>
        <a:xfrm>
          <a:off x="12325779" y="21215350"/>
          <a:ext cx="1836230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J15, Enjeux éthiques 
12:46-13:35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13</xdr:col>
      <xdr:colOff>198358</xdr:colOff>
      <xdr:row>53</xdr:row>
      <xdr:rowOff>12700</xdr:rowOff>
    </xdr:from>
    <xdr:to>
      <xdr:col>13</xdr:col>
      <xdr:colOff>1093803</xdr:colOff>
      <xdr:row>53</xdr:row>
      <xdr:rowOff>387350</xdr:rowOff>
    </xdr:to>
    <xdr:sp macro="" textlink="">
      <xdr:nvSpPr>
        <xdr:cNvPr id="13828" name="Rechthoek: afgeronde hoeken 13827">
          <a:extLst>
            <a:ext uri="{FF2B5EF4-FFF2-40B4-BE49-F238E27FC236}">
              <a16:creationId xmlns:a16="http://schemas.microsoft.com/office/drawing/2014/main" id="{5BAF576C-F9F0-D4E6-5E23-19D3ADCD4962}"/>
            </a:ext>
          </a:extLst>
        </xdr:cNvPr>
        <xdr:cNvSpPr/>
      </xdr:nvSpPr>
      <xdr:spPr>
        <a:xfrm>
          <a:off x="14162008" y="21215350"/>
          <a:ext cx="895445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J30, Appareil locomoteur 1
13:35-13:58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13</xdr:col>
      <xdr:colOff>1093803</xdr:colOff>
      <xdr:row>53</xdr:row>
      <xdr:rowOff>12700</xdr:rowOff>
    </xdr:from>
    <xdr:to>
      <xdr:col>15</xdr:col>
      <xdr:colOff>51006</xdr:colOff>
      <xdr:row>53</xdr:row>
      <xdr:rowOff>387350</xdr:rowOff>
    </xdr:to>
    <xdr:sp macro="" textlink="">
      <xdr:nvSpPr>
        <xdr:cNvPr id="13829" name="Rechthoek: afgeronde hoeken 13828">
          <a:extLst>
            <a:ext uri="{FF2B5EF4-FFF2-40B4-BE49-F238E27FC236}">
              <a16:creationId xmlns:a16="http://schemas.microsoft.com/office/drawing/2014/main" id="{22B33B80-7066-D024-2388-800C402D0E8C}"/>
            </a:ext>
          </a:extLst>
        </xdr:cNvPr>
        <xdr:cNvSpPr/>
      </xdr:nvSpPr>
      <xdr:spPr>
        <a:xfrm>
          <a:off x="15057453" y="21215350"/>
          <a:ext cx="1224153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J30, Réplication de l'ADN
13:58-14:31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15</xdr:col>
      <xdr:colOff>51006</xdr:colOff>
      <xdr:row>53</xdr:row>
      <xdr:rowOff>12700</xdr:rowOff>
    </xdr:from>
    <xdr:to>
      <xdr:col>15</xdr:col>
      <xdr:colOff>719756</xdr:colOff>
      <xdr:row>53</xdr:row>
      <xdr:rowOff>387350</xdr:rowOff>
    </xdr:to>
    <xdr:sp macro="" textlink="">
      <xdr:nvSpPr>
        <xdr:cNvPr id="13830" name="Rechthoek: afgeronde hoeken 13829">
          <a:extLst>
            <a:ext uri="{FF2B5EF4-FFF2-40B4-BE49-F238E27FC236}">
              <a16:creationId xmlns:a16="http://schemas.microsoft.com/office/drawing/2014/main" id="{5828718D-3A56-6925-DDCF-6F09141649CB}"/>
            </a:ext>
          </a:extLst>
        </xdr:cNvPr>
        <xdr:cNvSpPr/>
      </xdr:nvSpPr>
      <xdr:spPr>
        <a:xfrm>
          <a:off x="16281606" y="21215350"/>
          <a:ext cx="668750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J30, Sociologie de la profession médicale
14:31-14:49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15</xdr:col>
      <xdr:colOff>719756</xdr:colOff>
      <xdr:row>53</xdr:row>
      <xdr:rowOff>12700</xdr:rowOff>
    </xdr:from>
    <xdr:to>
      <xdr:col>16</xdr:col>
      <xdr:colOff>878443</xdr:colOff>
      <xdr:row>53</xdr:row>
      <xdr:rowOff>387350</xdr:rowOff>
    </xdr:to>
    <xdr:sp macro="" textlink="">
      <xdr:nvSpPr>
        <xdr:cNvPr id="13831" name="Rechthoek: afgeronde hoeken 13830">
          <a:extLst>
            <a:ext uri="{FF2B5EF4-FFF2-40B4-BE49-F238E27FC236}">
              <a16:creationId xmlns:a16="http://schemas.microsoft.com/office/drawing/2014/main" id="{857BB4C4-274B-07C6-8078-035371551E80}"/>
            </a:ext>
          </a:extLst>
        </xdr:cNvPr>
        <xdr:cNvSpPr/>
      </xdr:nvSpPr>
      <xdr:spPr>
        <a:xfrm>
          <a:off x="16950356" y="21215350"/>
          <a:ext cx="1292162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J30, Structure et role des nucléotides
14:49-15:23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16</xdr:col>
      <xdr:colOff>878443</xdr:colOff>
      <xdr:row>53</xdr:row>
      <xdr:rowOff>12700</xdr:rowOff>
    </xdr:from>
    <xdr:to>
      <xdr:col>17</xdr:col>
      <xdr:colOff>1082469</xdr:colOff>
      <xdr:row>53</xdr:row>
      <xdr:rowOff>387350</xdr:rowOff>
    </xdr:to>
    <xdr:sp macro="" textlink="">
      <xdr:nvSpPr>
        <xdr:cNvPr id="13832" name="Rechthoek: afgeronde hoeken 13831">
          <a:extLst>
            <a:ext uri="{FF2B5EF4-FFF2-40B4-BE49-F238E27FC236}">
              <a16:creationId xmlns:a16="http://schemas.microsoft.com/office/drawing/2014/main" id="{1360B1F2-54F4-8458-0420-077446DE4E45}"/>
            </a:ext>
          </a:extLst>
        </xdr:cNvPr>
        <xdr:cNvSpPr/>
      </xdr:nvSpPr>
      <xdr:spPr>
        <a:xfrm>
          <a:off x="18242518" y="21215350"/>
          <a:ext cx="1337501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J30, évolution des conceptions relatives au stress
15:23-15:58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17</xdr:col>
      <xdr:colOff>1082469</xdr:colOff>
      <xdr:row>53</xdr:row>
      <xdr:rowOff>12700</xdr:rowOff>
    </xdr:from>
    <xdr:to>
      <xdr:col>18</xdr:col>
      <xdr:colOff>130350</xdr:colOff>
      <xdr:row>53</xdr:row>
      <xdr:rowOff>387350</xdr:rowOff>
    </xdr:to>
    <xdr:sp macro="" textlink="">
      <xdr:nvSpPr>
        <xdr:cNvPr id="13833" name="Rechthoek: afgeronde hoeken 13832">
          <a:extLst>
            <a:ext uri="{FF2B5EF4-FFF2-40B4-BE49-F238E27FC236}">
              <a16:creationId xmlns:a16="http://schemas.microsoft.com/office/drawing/2014/main" id="{599EC6D0-4074-B64A-52C3-7C967547AF34}"/>
            </a:ext>
          </a:extLst>
        </xdr:cNvPr>
        <xdr:cNvSpPr/>
      </xdr:nvSpPr>
      <xdr:spPr>
        <a:xfrm>
          <a:off x="19580019" y="21215350"/>
          <a:ext cx="181356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J60, Répercussion sociétales et empowerment 
15:58-16:03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18</xdr:col>
      <xdr:colOff>130350</xdr:colOff>
      <xdr:row>53</xdr:row>
      <xdr:rowOff>12700</xdr:rowOff>
    </xdr:from>
    <xdr:to>
      <xdr:col>18</xdr:col>
      <xdr:colOff>697088</xdr:colOff>
      <xdr:row>53</xdr:row>
      <xdr:rowOff>387350</xdr:rowOff>
    </xdr:to>
    <xdr:sp macro="" textlink="">
      <xdr:nvSpPr>
        <xdr:cNvPr id="13834" name="Rechthoek: afgeronde hoeken 13833">
          <a:extLst>
            <a:ext uri="{FF2B5EF4-FFF2-40B4-BE49-F238E27FC236}">
              <a16:creationId xmlns:a16="http://schemas.microsoft.com/office/drawing/2014/main" id="{652F350C-41B5-0151-6D70-CE552847DBF9}"/>
            </a:ext>
          </a:extLst>
        </xdr:cNvPr>
        <xdr:cNvSpPr/>
      </xdr:nvSpPr>
      <xdr:spPr>
        <a:xfrm>
          <a:off x="19761375" y="21215350"/>
          <a:ext cx="566738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J30, Appareil locomoteur 3
16:03-16:18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18</xdr:col>
      <xdr:colOff>697088</xdr:colOff>
      <xdr:row>53</xdr:row>
      <xdr:rowOff>12700</xdr:rowOff>
    </xdr:from>
    <xdr:to>
      <xdr:col>19</xdr:col>
      <xdr:colOff>243698</xdr:colOff>
      <xdr:row>53</xdr:row>
      <xdr:rowOff>387350</xdr:rowOff>
    </xdr:to>
    <xdr:sp macro="" textlink="">
      <xdr:nvSpPr>
        <xdr:cNvPr id="13835" name="Rechthoek: afgeronde hoeken 13834">
          <a:extLst>
            <a:ext uri="{FF2B5EF4-FFF2-40B4-BE49-F238E27FC236}">
              <a16:creationId xmlns:a16="http://schemas.microsoft.com/office/drawing/2014/main" id="{BEADCC7F-DA74-B2B3-D048-63D0E5091C29}"/>
            </a:ext>
          </a:extLst>
        </xdr:cNvPr>
        <xdr:cNvSpPr/>
      </xdr:nvSpPr>
      <xdr:spPr>
        <a:xfrm>
          <a:off x="20328113" y="21215350"/>
          <a:ext cx="680085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J30, tests stats et méthodologie de choix de test 
16:18-16:36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19</xdr:col>
      <xdr:colOff>243697</xdr:colOff>
      <xdr:row>53</xdr:row>
      <xdr:rowOff>12700</xdr:rowOff>
    </xdr:from>
    <xdr:to>
      <xdr:col>20</xdr:col>
      <xdr:colOff>119015</xdr:colOff>
      <xdr:row>53</xdr:row>
      <xdr:rowOff>387350</xdr:rowOff>
    </xdr:to>
    <xdr:sp macro="" textlink="">
      <xdr:nvSpPr>
        <xdr:cNvPr id="13836" name="Rechthoek: afgeronde hoeken 13835">
          <a:extLst>
            <a:ext uri="{FF2B5EF4-FFF2-40B4-BE49-F238E27FC236}">
              <a16:creationId xmlns:a16="http://schemas.microsoft.com/office/drawing/2014/main" id="{2D72D627-6853-3D57-ECB8-8DF8E3F4A6B8}"/>
            </a:ext>
          </a:extLst>
        </xdr:cNvPr>
        <xdr:cNvSpPr/>
      </xdr:nvSpPr>
      <xdr:spPr>
        <a:xfrm>
          <a:off x="21008197" y="21215350"/>
          <a:ext cx="1008793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J30, Signalisation intracellulaire part 2
16:36-17:03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20</xdr:col>
      <xdr:colOff>119014</xdr:colOff>
      <xdr:row>53</xdr:row>
      <xdr:rowOff>12700</xdr:rowOff>
    </xdr:from>
    <xdr:to>
      <xdr:col>21</xdr:col>
      <xdr:colOff>141684</xdr:colOff>
      <xdr:row>53</xdr:row>
      <xdr:rowOff>387350</xdr:rowOff>
    </xdr:to>
    <xdr:sp macro="" textlink="">
      <xdr:nvSpPr>
        <xdr:cNvPr id="13837" name="Rechthoek: afgeronde hoeken 13836">
          <a:extLst>
            <a:ext uri="{FF2B5EF4-FFF2-40B4-BE49-F238E27FC236}">
              <a16:creationId xmlns:a16="http://schemas.microsoft.com/office/drawing/2014/main" id="{13FE97B8-7F29-0CAC-48B3-0EDA0B06F64E}"/>
            </a:ext>
          </a:extLst>
        </xdr:cNvPr>
        <xdr:cNvSpPr/>
      </xdr:nvSpPr>
      <xdr:spPr>
        <a:xfrm>
          <a:off x="22016989" y="21215350"/>
          <a:ext cx="1156145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J30, Membre supérieur 2 
17:03-17:33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21</xdr:col>
      <xdr:colOff>141684</xdr:colOff>
      <xdr:row>53</xdr:row>
      <xdr:rowOff>12700</xdr:rowOff>
    </xdr:from>
    <xdr:to>
      <xdr:col>21</xdr:col>
      <xdr:colOff>430720</xdr:colOff>
      <xdr:row>53</xdr:row>
      <xdr:rowOff>387350</xdr:rowOff>
    </xdr:to>
    <xdr:sp macro="" textlink="">
      <xdr:nvSpPr>
        <xdr:cNvPr id="13838" name="Rechthoek: afgeronde hoeken 13837">
          <a:extLst>
            <a:ext uri="{FF2B5EF4-FFF2-40B4-BE49-F238E27FC236}">
              <a16:creationId xmlns:a16="http://schemas.microsoft.com/office/drawing/2014/main" id="{1BB0AE75-F5FD-89CF-147B-53BC8FEA5284}"/>
            </a:ext>
          </a:extLst>
        </xdr:cNvPr>
        <xdr:cNvSpPr/>
      </xdr:nvSpPr>
      <xdr:spPr>
        <a:xfrm>
          <a:off x="23173134" y="21215350"/>
          <a:ext cx="289036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J60, épidémiologie descriptive
17:33-17:41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21</xdr:col>
      <xdr:colOff>430721</xdr:colOff>
      <xdr:row>53</xdr:row>
      <xdr:rowOff>12700</xdr:rowOff>
    </xdr:from>
    <xdr:to>
      <xdr:col>21</xdr:col>
      <xdr:colOff>878444</xdr:colOff>
      <xdr:row>53</xdr:row>
      <xdr:rowOff>387350</xdr:rowOff>
    </xdr:to>
    <xdr:sp macro="" textlink="">
      <xdr:nvSpPr>
        <xdr:cNvPr id="13839" name="Rechthoek: afgeronde hoeken 13838">
          <a:extLst>
            <a:ext uri="{FF2B5EF4-FFF2-40B4-BE49-F238E27FC236}">
              <a16:creationId xmlns:a16="http://schemas.microsoft.com/office/drawing/2014/main" id="{69A381E3-C825-BE64-CC15-2B6A88A44AE7}"/>
            </a:ext>
          </a:extLst>
        </xdr:cNvPr>
        <xdr:cNvSpPr/>
      </xdr:nvSpPr>
      <xdr:spPr>
        <a:xfrm>
          <a:off x="23462171" y="21215350"/>
          <a:ext cx="447723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J60, Économie du système de santé
17:41-17:53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21</xdr:col>
      <xdr:colOff>878443</xdr:colOff>
      <xdr:row>53</xdr:row>
      <xdr:rowOff>12700</xdr:rowOff>
    </xdr:from>
    <xdr:to>
      <xdr:col>22</xdr:col>
      <xdr:colOff>0</xdr:colOff>
      <xdr:row>53</xdr:row>
      <xdr:rowOff>387350</xdr:rowOff>
    </xdr:to>
    <xdr:sp macro="" textlink="">
      <xdr:nvSpPr>
        <xdr:cNvPr id="13840" name="Rechthoek: afgeronde hoeken 13839">
          <a:extLst>
            <a:ext uri="{FF2B5EF4-FFF2-40B4-BE49-F238E27FC236}">
              <a16:creationId xmlns:a16="http://schemas.microsoft.com/office/drawing/2014/main" id="{8B2D46F5-6895-77A4-6205-F0F11402F77D}"/>
            </a:ext>
          </a:extLst>
        </xdr:cNvPr>
        <xdr:cNvSpPr/>
      </xdr:nvSpPr>
      <xdr:spPr>
        <a:xfrm>
          <a:off x="23909893" y="21215350"/>
          <a:ext cx="255032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J60, Abdomen et pelvis 1
17:53-08:07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54</xdr:row>
      <xdr:rowOff>12700</xdr:rowOff>
    </xdr:from>
    <xdr:to>
      <xdr:col>2</xdr:col>
      <xdr:colOff>266367</xdr:colOff>
      <xdr:row>54</xdr:row>
      <xdr:rowOff>387350</xdr:rowOff>
    </xdr:to>
    <xdr:sp macro="" textlink="">
      <xdr:nvSpPr>
        <xdr:cNvPr id="13841" name="Rechthoek: afgeronde hoeken 13840">
          <a:extLst>
            <a:ext uri="{FF2B5EF4-FFF2-40B4-BE49-F238E27FC236}">
              <a16:creationId xmlns:a16="http://schemas.microsoft.com/office/drawing/2014/main" id="{551F1D5E-2274-C995-A238-E2749F89FFD0}"/>
            </a:ext>
          </a:extLst>
        </xdr:cNvPr>
        <xdr:cNvSpPr/>
      </xdr:nvSpPr>
      <xdr:spPr>
        <a:xfrm>
          <a:off x="1495425" y="21615400"/>
          <a:ext cx="266367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J60, Abdomen et pelvis 1
17:53-08:07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266367</xdr:colOff>
      <xdr:row>54</xdr:row>
      <xdr:rowOff>12700</xdr:rowOff>
    </xdr:from>
    <xdr:to>
      <xdr:col>2</xdr:col>
      <xdr:colOff>906780</xdr:colOff>
      <xdr:row>54</xdr:row>
      <xdr:rowOff>387350</xdr:rowOff>
    </xdr:to>
    <xdr:sp macro="" textlink="">
      <xdr:nvSpPr>
        <xdr:cNvPr id="13842" name="Rechthoek: afgeronde hoeken 13841">
          <a:extLst>
            <a:ext uri="{FF2B5EF4-FFF2-40B4-BE49-F238E27FC236}">
              <a16:creationId xmlns:a16="http://schemas.microsoft.com/office/drawing/2014/main" id="{75F3AE42-1D85-3FC6-E79C-0BA66A4A8B75}"/>
            </a:ext>
          </a:extLst>
        </xdr:cNvPr>
        <xdr:cNvSpPr/>
      </xdr:nvSpPr>
      <xdr:spPr>
        <a:xfrm>
          <a:off x="1761792" y="21615400"/>
          <a:ext cx="640413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J60, Synthèse tampons, Diagramme de Davenport
08:07-08:24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906780</xdr:colOff>
      <xdr:row>54</xdr:row>
      <xdr:rowOff>12700</xdr:rowOff>
    </xdr:from>
    <xdr:to>
      <xdr:col>3</xdr:col>
      <xdr:colOff>634746</xdr:colOff>
      <xdr:row>54</xdr:row>
      <xdr:rowOff>387350</xdr:rowOff>
    </xdr:to>
    <xdr:sp macro="" textlink="">
      <xdr:nvSpPr>
        <xdr:cNvPr id="13843" name="Rechthoek: afgeronde hoeken 13842">
          <a:extLst>
            <a:ext uri="{FF2B5EF4-FFF2-40B4-BE49-F238E27FC236}">
              <a16:creationId xmlns:a16="http://schemas.microsoft.com/office/drawing/2014/main" id="{BB096780-15A8-C96E-86BC-FB73884E0563}"/>
            </a:ext>
          </a:extLst>
        </xdr:cNvPr>
        <xdr:cNvSpPr/>
      </xdr:nvSpPr>
      <xdr:spPr>
        <a:xfrm>
          <a:off x="2402205" y="21615400"/>
          <a:ext cx="861441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J30, Appareil locomoteur 2
08:24-08:46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634746</xdr:colOff>
      <xdr:row>54</xdr:row>
      <xdr:rowOff>12700</xdr:rowOff>
    </xdr:from>
    <xdr:to>
      <xdr:col>4</xdr:col>
      <xdr:colOff>850106</xdr:colOff>
      <xdr:row>54</xdr:row>
      <xdr:rowOff>387350</xdr:rowOff>
    </xdr:to>
    <xdr:sp macro="" textlink="">
      <xdr:nvSpPr>
        <xdr:cNvPr id="13844" name="Rechthoek: afgeronde hoeken 13843">
          <a:extLst>
            <a:ext uri="{FF2B5EF4-FFF2-40B4-BE49-F238E27FC236}">
              <a16:creationId xmlns:a16="http://schemas.microsoft.com/office/drawing/2014/main" id="{0EEE1F6F-ABC8-BBD0-A5B0-2ED2D6367C0B}"/>
            </a:ext>
          </a:extLst>
        </xdr:cNvPr>
        <xdr:cNvSpPr/>
      </xdr:nvSpPr>
      <xdr:spPr>
        <a:xfrm>
          <a:off x="3263646" y="21615400"/>
          <a:ext cx="1348835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J30, Méthode d'évaluation du stress objectif 
08:46-09:22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4</xdr:col>
      <xdr:colOff>850106</xdr:colOff>
      <xdr:row>54</xdr:row>
      <xdr:rowOff>12700</xdr:rowOff>
    </xdr:from>
    <xdr:to>
      <xdr:col>5</xdr:col>
      <xdr:colOff>90678</xdr:colOff>
      <xdr:row>54</xdr:row>
      <xdr:rowOff>387350</xdr:rowOff>
    </xdr:to>
    <xdr:sp macro="" textlink="">
      <xdr:nvSpPr>
        <xdr:cNvPr id="13845" name="Rechthoek: afgeronde hoeken 13844">
          <a:extLst>
            <a:ext uri="{FF2B5EF4-FFF2-40B4-BE49-F238E27FC236}">
              <a16:creationId xmlns:a16="http://schemas.microsoft.com/office/drawing/2014/main" id="{A271F236-A273-2740-1FD5-9A7AEF6D8E55}"/>
            </a:ext>
          </a:extLst>
        </xdr:cNvPr>
        <xdr:cNvSpPr/>
      </xdr:nvSpPr>
      <xdr:spPr>
        <a:xfrm>
          <a:off x="4612481" y="21615400"/>
          <a:ext cx="374047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J60, Thermorégulation
09:22-09:32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90678</xdr:colOff>
      <xdr:row>54</xdr:row>
      <xdr:rowOff>12700</xdr:rowOff>
    </xdr:from>
    <xdr:to>
      <xdr:col>5</xdr:col>
      <xdr:colOff>657416</xdr:colOff>
      <xdr:row>54</xdr:row>
      <xdr:rowOff>387350</xdr:rowOff>
    </xdr:to>
    <xdr:sp macro="" textlink="">
      <xdr:nvSpPr>
        <xdr:cNvPr id="13846" name="Rechthoek: afgeronde hoeken 13845">
          <a:extLst>
            <a:ext uri="{FF2B5EF4-FFF2-40B4-BE49-F238E27FC236}">
              <a16:creationId xmlns:a16="http://schemas.microsoft.com/office/drawing/2014/main" id="{3F442250-1901-BA7F-2E53-618019CFB3F1}"/>
            </a:ext>
          </a:extLst>
        </xdr:cNvPr>
        <xdr:cNvSpPr/>
      </xdr:nvSpPr>
      <xdr:spPr>
        <a:xfrm>
          <a:off x="4986528" y="21615400"/>
          <a:ext cx="566738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J60, Potentiel électrochimique 
09:32-09:47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657416</xdr:colOff>
      <xdr:row>54</xdr:row>
      <xdr:rowOff>12700</xdr:rowOff>
    </xdr:from>
    <xdr:to>
      <xdr:col>6</xdr:col>
      <xdr:colOff>119015</xdr:colOff>
      <xdr:row>54</xdr:row>
      <xdr:rowOff>387350</xdr:rowOff>
    </xdr:to>
    <xdr:sp macro="" textlink="">
      <xdr:nvSpPr>
        <xdr:cNvPr id="13847" name="Rechthoek: afgeronde hoeken 13846">
          <a:extLst>
            <a:ext uri="{FF2B5EF4-FFF2-40B4-BE49-F238E27FC236}">
              <a16:creationId xmlns:a16="http://schemas.microsoft.com/office/drawing/2014/main" id="{B6A2994E-F30F-AC06-E0F1-C14C011E0420}"/>
            </a:ext>
          </a:extLst>
        </xdr:cNvPr>
        <xdr:cNvSpPr/>
      </xdr:nvSpPr>
      <xdr:spPr>
        <a:xfrm>
          <a:off x="5553266" y="21615400"/>
          <a:ext cx="595074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J60, intro: mouvements
09:47-10:03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6</xdr:col>
      <xdr:colOff>119015</xdr:colOff>
      <xdr:row>54</xdr:row>
      <xdr:rowOff>12700</xdr:rowOff>
    </xdr:from>
    <xdr:to>
      <xdr:col>6</xdr:col>
      <xdr:colOff>821769</xdr:colOff>
      <xdr:row>54</xdr:row>
      <xdr:rowOff>387350</xdr:rowOff>
    </xdr:to>
    <xdr:sp macro="" textlink="">
      <xdr:nvSpPr>
        <xdr:cNvPr id="13848" name="Rechthoek: afgeronde hoeken 13847">
          <a:extLst>
            <a:ext uri="{FF2B5EF4-FFF2-40B4-BE49-F238E27FC236}">
              <a16:creationId xmlns:a16="http://schemas.microsoft.com/office/drawing/2014/main" id="{E632403A-50E9-41A3-14A4-430B1B58D314}"/>
            </a:ext>
          </a:extLst>
        </xdr:cNvPr>
        <xdr:cNvSpPr/>
      </xdr:nvSpPr>
      <xdr:spPr>
        <a:xfrm>
          <a:off x="6148340" y="21615400"/>
          <a:ext cx="702754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J30, stats descriptives
10:03-10:21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6</xdr:col>
      <xdr:colOff>821769</xdr:colOff>
      <xdr:row>54</xdr:row>
      <xdr:rowOff>12700</xdr:rowOff>
    </xdr:from>
    <xdr:to>
      <xdr:col>7</xdr:col>
      <xdr:colOff>391048</xdr:colOff>
      <xdr:row>54</xdr:row>
      <xdr:rowOff>387350</xdr:rowOff>
    </xdr:to>
    <xdr:sp macro="" textlink="">
      <xdr:nvSpPr>
        <xdr:cNvPr id="13849" name="Rechthoek: afgeronde hoeken 13848">
          <a:extLst>
            <a:ext uri="{FF2B5EF4-FFF2-40B4-BE49-F238E27FC236}">
              <a16:creationId xmlns:a16="http://schemas.microsoft.com/office/drawing/2014/main" id="{554F3284-B169-17C7-EC2F-8ECDD3C67332}"/>
            </a:ext>
          </a:extLst>
        </xdr:cNvPr>
        <xdr:cNvSpPr/>
      </xdr:nvSpPr>
      <xdr:spPr>
        <a:xfrm>
          <a:off x="6851094" y="21615400"/>
          <a:ext cx="702754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J30, Cou
10:21-10:40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7</xdr:col>
      <xdr:colOff>391049</xdr:colOff>
      <xdr:row>54</xdr:row>
      <xdr:rowOff>12700</xdr:rowOff>
    </xdr:from>
    <xdr:to>
      <xdr:col>8</xdr:col>
      <xdr:colOff>459058</xdr:colOff>
      <xdr:row>54</xdr:row>
      <xdr:rowOff>387350</xdr:rowOff>
    </xdr:to>
    <xdr:sp macro="" textlink="">
      <xdr:nvSpPr>
        <xdr:cNvPr id="13850" name="Rechthoek: afgeronde hoeken 13849">
          <a:extLst>
            <a:ext uri="{FF2B5EF4-FFF2-40B4-BE49-F238E27FC236}">
              <a16:creationId xmlns:a16="http://schemas.microsoft.com/office/drawing/2014/main" id="{5BD77832-B60F-6F42-DDCA-B12C6D5AD6FC}"/>
            </a:ext>
          </a:extLst>
        </xdr:cNvPr>
        <xdr:cNvSpPr/>
      </xdr:nvSpPr>
      <xdr:spPr>
        <a:xfrm>
          <a:off x="7553849" y="21615400"/>
          <a:ext cx="1201484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J30, Synthèse et dégradation des protéines
10:40-11:12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55</xdr:row>
      <xdr:rowOff>12700</xdr:rowOff>
    </xdr:from>
    <xdr:to>
      <xdr:col>2</xdr:col>
      <xdr:colOff>357045</xdr:colOff>
      <xdr:row>55</xdr:row>
      <xdr:rowOff>387350</xdr:rowOff>
    </xdr:to>
    <xdr:sp macro="" textlink="">
      <xdr:nvSpPr>
        <xdr:cNvPr id="13851" name="Rechthoek: afgeronde hoeken 13850">
          <a:extLst>
            <a:ext uri="{FF2B5EF4-FFF2-40B4-BE49-F238E27FC236}">
              <a16:creationId xmlns:a16="http://schemas.microsoft.com/office/drawing/2014/main" id="{EEFE35F6-172C-B284-5DAD-77DC7CCF4E7B}"/>
            </a:ext>
          </a:extLst>
        </xdr:cNvPr>
        <xdr:cNvSpPr/>
      </xdr:nvSpPr>
      <xdr:spPr>
        <a:xfrm>
          <a:off x="1495425" y="22015450"/>
          <a:ext cx="357045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J60, Intervention rééducation part-1 
08:00-08:09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56</xdr:row>
      <xdr:rowOff>12700</xdr:rowOff>
    </xdr:from>
    <xdr:to>
      <xdr:col>2</xdr:col>
      <xdr:colOff>804767</xdr:colOff>
      <xdr:row>56</xdr:row>
      <xdr:rowOff>387350</xdr:rowOff>
    </xdr:to>
    <xdr:sp macro="" textlink="">
      <xdr:nvSpPr>
        <xdr:cNvPr id="13852" name="Rechthoek: afgeronde hoeken 13851">
          <a:extLst>
            <a:ext uri="{FF2B5EF4-FFF2-40B4-BE49-F238E27FC236}">
              <a16:creationId xmlns:a16="http://schemas.microsoft.com/office/drawing/2014/main" id="{0D57BF05-7534-A19E-5C76-DE4097B9F560}"/>
            </a:ext>
          </a:extLst>
        </xdr:cNvPr>
        <xdr:cNvSpPr/>
      </xdr:nvSpPr>
      <xdr:spPr>
        <a:xfrm>
          <a:off x="1495425" y="22415500"/>
          <a:ext cx="804767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J30, Prévention-Alla 
08:00-08:21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804767</xdr:colOff>
      <xdr:row>56</xdr:row>
      <xdr:rowOff>12700</xdr:rowOff>
    </xdr:from>
    <xdr:to>
      <xdr:col>3</xdr:col>
      <xdr:colOff>476059</xdr:colOff>
      <xdr:row>56</xdr:row>
      <xdr:rowOff>387350</xdr:rowOff>
    </xdr:to>
    <xdr:sp macro="" textlink="">
      <xdr:nvSpPr>
        <xdr:cNvPr id="13853" name="Rechthoek: afgeronde hoeken 13852">
          <a:extLst>
            <a:ext uri="{FF2B5EF4-FFF2-40B4-BE49-F238E27FC236}">
              <a16:creationId xmlns:a16="http://schemas.microsoft.com/office/drawing/2014/main" id="{4DD942D8-61AB-1126-1F83-8A326F6A3374}"/>
            </a:ext>
          </a:extLst>
        </xdr:cNvPr>
        <xdr:cNvSpPr/>
      </xdr:nvSpPr>
      <xdr:spPr>
        <a:xfrm>
          <a:off x="2300192" y="22415500"/>
          <a:ext cx="804767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J30, Transports membranaires
08:21-08:42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57</xdr:row>
      <xdr:rowOff>12700</xdr:rowOff>
    </xdr:from>
    <xdr:to>
      <xdr:col>2</xdr:col>
      <xdr:colOff>408051</xdr:colOff>
      <xdr:row>57</xdr:row>
      <xdr:rowOff>387350</xdr:rowOff>
    </xdr:to>
    <xdr:sp macro="" textlink="">
      <xdr:nvSpPr>
        <xdr:cNvPr id="13854" name="Rechthoek: afgeronde hoeken 13853">
          <a:extLst>
            <a:ext uri="{FF2B5EF4-FFF2-40B4-BE49-F238E27FC236}">
              <a16:creationId xmlns:a16="http://schemas.microsoft.com/office/drawing/2014/main" id="{43EBA99A-0C80-A9A8-B6BE-D0E636B9B6DF}"/>
            </a:ext>
          </a:extLst>
        </xdr:cNvPr>
        <xdr:cNvSpPr/>
      </xdr:nvSpPr>
      <xdr:spPr>
        <a:xfrm>
          <a:off x="1495425" y="22815550"/>
          <a:ext cx="408051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J30, Détection des rayonnements 
08:00-08:10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408051</xdr:colOff>
      <xdr:row>57</xdr:row>
      <xdr:rowOff>12700</xdr:rowOff>
    </xdr:from>
    <xdr:to>
      <xdr:col>3</xdr:col>
      <xdr:colOff>22669</xdr:colOff>
      <xdr:row>57</xdr:row>
      <xdr:rowOff>387350</xdr:rowOff>
    </xdr:to>
    <xdr:sp macro="" textlink="">
      <xdr:nvSpPr>
        <xdr:cNvPr id="13855" name="Rechthoek: afgeronde hoeken 13854">
          <a:extLst>
            <a:ext uri="{FF2B5EF4-FFF2-40B4-BE49-F238E27FC236}">
              <a16:creationId xmlns:a16="http://schemas.microsoft.com/office/drawing/2014/main" id="{C3975D1C-3F12-62CE-E59E-2E9AAB38AFBC}"/>
            </a:ext>
          </a:extLst>
        </xdr:cNvPr>
        <xdr:cNvSpPr/>
      </xdr:nvSpPr>
      <xdr:spPr>
        <a:xfrm>
          <a:off x="1903476" y="22815550"/>
          <a:ext cx="748093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J30, Atomes
08:10-08:30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22670</xdr:colOff>
      <xdr:row>57</xdr:row>
      <xdr:rowOff>12700</xdr:rowOff>
    </xdr:from>
    <xdr:to>
      <xdr:col>3</xdr:col>
      <xdr:colOff>974789</xdr:colOff>
      <xdr:row>57</xdr:row>
      <xdr:rowOff>387350</xdr:rowOff>
    </xdr:to>
    <xdr:sp macro="" textlink="">
      <xdr:nvSpPr>
        <xdr:cNvPr id="13856" name="Rechthoek: afgeronde hoeken 13855">
          <a:extLst>
            <a:ext uri="{FF2B5EF4-FFF2-40B4-BE49-F238E27FC236}">
              <a16:creationId xmlns:a16="http://schemas.microsoft.com/office/drawing/2014/main" id="{8F78F207-555D-5814-14E0-D84F3E0DB667}"/>
            </a:ext>
          </a:extLst>
        </xdr:cNvPr>
        <xdr:cNvSpPr/>
      </xdr:nvSpPr>
      <xdr:spPr>
        <a:xfrm>
          <a:off x="2651570" y="22815550"/>
          <a:ext cx="952119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J30, Cellules souches
08:30-08:55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974789</xdr:colOff>
      <xdr:row>57</xdr:row>
      <xdr:rowOff>12700</xdr:rowOff>
    </xdr:from>
    <xdr:to>
      <xdr:col>4</xdr:col>
      <xdr:colOff>986124</xdr:colOff>
      <xdr:row>57</xdr:row>
      <xdr:rowOff>387350</xdr:rowOff>
    </xdr:to>
    <xdr:sp macro="" textlink="">
      <xdr:nvSpPr>
        <xdr:cNvPr id="13857" name="Rechthoek: afgeronde hoeken 13856">
          <a:extLst>
            <a:ext uri="{FF2B5EF4-FFF2-40B4-BE49-F238E27FC236}">
              <a16:creationId xmlns:a16="http://schemas.microsoft.com/office/drawing/2014/main" id="{EAACE760-B452-7A7C-C213-78870E2FAE65}"/>
            </a:ext>
          </a:extLst>
        </xdr:cNvPr>
        <xdr:cNvSpPr/>
      </xdr:nvSpPr>
      <xdr:spPr>
        <a:xfrm>
          <a:off x="3603689" y="22815550"/>
          <a:ext cx="1144810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J30, Mouvement molécules de surface
08:55-09:26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4</xdr:col>
      <xdr:colOff>986123</xdr:colOff>
      <xdr:row>57</xdr:row>
      <xdr:rowOff>12700</xdr:rowOff>
    </xdr:from>
    <xdr:to>
      <xdr:col>5</xdr:col>
      <xdr:colOff>1088136</xdr:colOff>
      <xdr:row>57</xdr:row>
      <xdr:rowOff>387350</xdr:rowOff>
    </xdr:to>
    <xdr:sp macro="" textlink="">
      <xdr:nvSpPr>
        <xdr:cNvPr id="13858" name="Rechthoek: afgeronde hoeken 13857">
          <a:extLst>
            <a:ext uri="{FF2B5EF4-FFF2-40B4-BE49-F238E27FC236}">
              <a16:creationId xmlns:a16="http://schemas.microsoft.com/office/drawing/2014/main" id="{E74D9418-A982-676F-328C-0D285612E14B}"/>
            </a:ext>
          </a:extLst>
        </xdr:cNvPr>
        <xdr:cNvSpPr/>
      </xdr:nvSpPr>
      <xdr:spPr>
        <a:xfrm>
          <a:off x="4748498" y="22815550"/>
          <a:ext cx="1235488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J30, Molécules du vivant
09:26-09:58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58</xdr:row>
      <xdr:rowOff>12700</xdr:rowOff>
    </xdr:from>
    <xdr:to>
      <xdr:col>2</xdr:col>
      <xdr:colOff>391049</xdr:colOff>
      <xdr:row>58</xdr:row>
      <xdr:rowOff>387350</xdr:rowOff>
    </xdr:to>
    <xdr:sp macro="" textlink="">
      <xdr:nvSpPr>
        <xdr:cNvPr id="13859" name="Rechthoek: afgeronde hoeken 13858">
          <a:extLst>
            <a:ext uri="{FF2B5EF4-FFF2-40B4-BE49-F238E27FC236}">
              <a16:creationId xmlns:a16="http://schemas.microsoft.com/office/drawing/2014/main" id="{6DF2F6FC-74FF-3117-63A5-B5654E572B66}"/>
            </a:ext>
          </a:extLst>
        </xdr:cNvPr>
        <xdr:cNvSpPr/>
      </xdr:nvSpPr>
      <xdr:spPr>
        <a:xfrm>
          <a:off x="1495425" y="23215600"/>
          <a:ext cx="391049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J60, Législation handicap 
08:00-08:10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391049</xdr:colOff>
      <xdr:row>58</xdr:row>
      <xdr:rowOff>12700</xdr:rowOff>
    </xdr:from>
    <xdr:to>
      <xdr:col>2</xdr:col>
      <xdr:colOff>833104</xdr:colOff>
      <xdr:row>58</xdr:row>
      <xdr:rowOff>387350</xdr:rowOff>
    </xdr:to>
    <xdr:sp macro="" textlink="">
      <xdr:nvSpPr>
        <xdr:cNvPr id="13860" name="Rechthoek: afgeronde hoeken 13859">
          <a:extLst>
            <a:ext uri="{FF2B5EF4-FFF2-40B4-BE49-F238E27FC236}">
              <a16:creationId xmlns:a16="http://schemas.microsoft.com/office/drawing/2014/main" id="{A6992204-6F59-6BD8-CBAF-C3B3F59315E9}"/>
            </a:ext>
          </a:extLst>
        </xdr:cNvPr>
        <xdr:cNvSpPr/>
      </xdr:nvSpPr>
      <xdr:spPr>
        <a:xfrm>
          <a:off x="1886474" y="23215600"/>
          <a:ext cx="442055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J60, Dérivés d'acides carboxylique- AG 
08:10-08:22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833104</xdr:colOff>
      <xdr:row>58</xdr:row>
      <xdr:rowOff>12700</xdr:rowOff>
    </xdr:from>
    <xdr:to>
      <xdr:col>3</xdr:col>
      <xdr:colOff>170021</xdr:colOff>
      <xdr:row>58</xdr:row>
      <xdr:rowOff>387350</xdr:rowOff>
    </xdr:to>
    <xdr:sp macro="" textlink="">
      <xdr:nvSpPr>
        <xdr:cNvPr id="13861" name="Rechthoek: afgeronde hoeken 13860">
          <a:extLst>
            <a:ext uri="{FF2B5EF4-FFF2-40B4-BE49-F238E27FC236}">
              <a16:creationId xmlns:a16="http://schemas.microsoft.com/office/drawing/2014/main" id="{365C663E-6F8B-EC8A-5845-6FF4FC0A090F}"/>
            </a:ext>
          </a:extLst>
        </xdr:cNvPr>
        <xdr:cNvSpPr/>
      </xdr:nvSpPr>
      <xdr:spPr>
        <a:xfrm>
          <a:off x="2328529" y="23215600"/>
          <a:ext cx="470392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J60, Intervention rééducation part-6
08:22-08:34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170021</xdr:colOff>
      <xdr:row>58</xdr:row>
      <xdr:rowOff>12700</xdr:rowOff>
    </xdr:from>
    <xdr:to>
      <xdr:col>3</xdr:col>
      <xdr:colOff>651748</xdr:colOff>
      <xdr:row>58</xdr:row>
      <xdr:rowOff>387350</xdr:rowOff>
    </xdr:to>
    <xdr:sp macro="" textlink="">
      <xdr:nvSpPr>
        <xdr:cNvPr id="13862" name="Rechthoek: afgeronde hoeken 13861">
          <a:extLst>
            <a:ext uri="{FF2B5EF4-FFF2-40B4-BE49-F238E27FC236}">
              <a16:creationId xmlns:a16="http://schemas.microsoft.com/office/drawing/2014/main" id="{7F0EECED-AEE2-34DF-C53D-096C9AD2C85C}"/>
            </a:ext>
          </a:extLst>
        </xdr:cNvPr>
        <xdr:cNvSpPr/>
      </xdr:nvSpPr>
      <xdr:spPr>
        <a:xfrm>
          <a:off x="2798921" y="23215600"/>
          <a:ext cx="481727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J60, Abdomen et pelvis 2 
08:34-08:47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651748</xdr:colOff>
      <xdr:row>58</xdr:row>
      <xdr:rowOff>12700</xdr:rowOff>
    </xdr:from>
    <xdr:to>
      <xdr:col>4</xdr:col>
      <xdr:colOff>45339</xdr:colOff>
      <xdr:row>58</xdr:row>
      <xdr:rowOff>387350</xdr:rowOff>
    </xdr:to>
    <xdr:sp macro="" textlink="">
      <xdr:nvSpPr>
        <xdr:cNvPr id="13863" name="Rechthoek: afgeronde hoeken 13862">
          <a:extLst>
            <a:ext uri="{FF2B5EF4-FFF2-40B4-BE49-F238E27FC236}">
              <a16:creationId xmlns:a16="http://schemas.microsoft.com/office/drawing/2014/main" id="{44D2B414-1B13-DA83-E9F2-3C46252B5F17}"/>
            </a:ext>
          </a:extLst>
        </xdr:cNvPr>
        <xdr:cNvSpPr/>
      </xdr:nvSpPr>
      <xdr:spPr>
        <a:xfrm>
          <a:off x="3280648" y="23215600"/>
          <a:ext cx="527066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J60, Thorax
08:47-09:01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4</xdr:col>
      <xdr:colOff>45339</xdr:colOff>
      <xdr:row>58</xdr:row>
      <xdr:rowOff>12700</xdr:rowOff>
    </xdr:from>
    <xdr:to>
      <xdr:col>4</xdr:col>
      <xdr:colOff>617744</xdr:colOff>
      <xdr:row>58</xdr:row>
      <xdr:rowOff>387350</xdr:rowOff>
    </xdr:to>
    <xdr:sp macro="" textlink="">
      <xdr:nvSpPr>
        <xdr:cNvPr id="13864" name="Rechthoek: afgeronde hoeken 13863">
          <a:extLst>
            <a:ext uri="{FF2B5EF4-FFF2-40B4-BE49-F238E27FC236}">
              <a16:creationId xmlns:a16="http://schemas.microsoft.com/office/drawing/2014/main" id="{16B3BDD3-AAF7-04D5-79B8-C05BA6ACF6B3}"/>
            </a:ext>
          </a:extLst>
        </xdr:cNvPr>
        <xdr:cNvSpPr/>
      </xdr:nvSpPr>
      <xdr:spPr>
        <a:xfrm>
          <a:off x="3807714" y="23215600"/>
          <a:ext cx="572405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J60, Propriétés électroniques des liaisons chimiques
09:01-09:16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4</xdr:col>
      <xdr:colOff>617744</xdr:colOff>
      <xdr:row>58</xdr:row>
      <xdr:rowOff>12700</xdr:rowOff>
    </xdr:from>
    <xdr:to>
      <xdr:col>5</xdr:col>
      <xdr:colOff>85011</xdr:colOff>
      <xdr:row>58</xdr:row>
      <xdr:rowOff>387350</xdr:rowOff>
    </xdr:to>
    <xdr:sp macro="" textlink="">
      <xdr:nvSpPr>
        <xdr:cNvPr id="13865" name="Rechthoek: afgeronde hoeken 13864">
          <a:extLst>
            <a:ext uri="{FF2B5EF4-FFF2-40B4-BE49-F238E27FC236}">
              <a16:creationId xmlns:a16="http://schemas.microsoft.com/office/drawing/2014/main" id="{8ED2F27D-2ED0-CD7E-9CBD-B4F94F29BFF3}"/>
            </a:ext>
          </a:extLst>
        </xdr:cNvPr>
        <xdr:cNvSpPr/>
      </xdr:nvSpPr>
      <xdr:spPr>
        <a:xfrm>
          <a:off x="4380119" y="23215600"/>
          <a:ext cx="600742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J60, intro: référence et particularité
09:16-09:32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85011</xdr:colOff>
      <xdr:row>58</xdr:row>
      <xdr:rowOff>12700</xdr:rowOff>
    </xdr:from>
    <xdr:to>
      <xdr:col>5</xdr:col>
      <xdr:colOff>538401</xdr:colOff>
      <xdr:row>58</xdr:row>
      <xdr:rowOff>387350</xdr:rowOff>
    </xdr:to>
    <xdr:sp macro="" textlink="">
      <xdr:nvSpPr>
        <xdr:cNvPr id="13866" name="Rechthoek: afgeronde hoeken 13865">
          <a:extLst>
            <a:ext uri="{FF2B5EF4-FFF2-40B4-BE49-F238E27FC236}">
              <a16:creationId xmlns:a16="http://schemas.microsoft.com/office/drawing/2014/main" id="{C0E0654E-109E-A520-E9C0-347DE78CBD62}"/>
            </a:ext>
          </a:extLst>
        </xdr:cNvPr>
        <xdr:cNvSpPr/>
      </xdr:nvSpPr>
      <xdr:spPr>
        <a:xfrm>
          <a:off x="4980861" y="23215600"/>
          <a:ext cx="453390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J30, évaluation des procédures diagnostiques
09:32-09:44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538400</xdr:colOff>
      <xdr:row>58</xdr:row>
      <xdr:rowOff>12700</xdr:rowOff>
    </xdr:from>
    <xdr:to>
      <xdr:col>6</xdr:col>
      <xdr:colOff>323040</xdr:colOff>
      <xdr:row>58</xdr:row>
      <xdr:rowOff>387350</xdr:rowOff>
    </xdr:to>
    <xdr:sp macro="" textlink="">
      <xdr:nvSpPr>
        <xdr:cNvPr id="13867" name="Rechthoek: afgeronde hoeken 13866">
          <a:extLst>
            <a:ext uri="{FF2B5EF4-FFF2-40B4-BE49-F238E27FC236}">
              <a16:creationId xmlns:a16="http://schemas.microsoft.com/office/drawing/2014/main" id="{87EE2B69-6AF0-56F8-A5F2-FF60BA0DB026}"/>
            </a:ext>
          </a:extLst>
        </xdr:cNvPr>
        <xdr:cNvSpPr/>
      </xdr:nvSpPr>
      <xdr:spPr>
        <a:xfrm>
          <a:off x="5434250" y="23215600"/>
          <a:ext cx="918115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J30, Réparation de l'ADN
09:44-10:08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59</xdr:row>
      <xdr:rowOff>12700</xdr:rowOff>
    </xdr:from>
    <xdr:to>
      <xdr:col>2</xdr:col>
      <xdr:colOff>396716</xdr:colOff>
      <xdr:row>59</xdr:row>
      <xdr:rowOff>387350</xdr:rowOff>
    </xdr:to>
    <xdr:sp macro="" textlink="">
      <xdr:nvSpPr>
        <xdr:cNvPr id="13868" name="Rechthoek: afgeronde hoeken 13867">
          <a:extLst>
            <a:ext uri="{FF2B5EF4-FFF2-40B4-BE49-F238E27FC236}">
              <a16:creationId xmlns:a16="http://schemas.microsoft.com/office/drawing/2014/main" id="{193D3E7A-00BC-6533-F2B3-289C0516C05A}"/>
            </a:ext>
          </a:extLst>
        </xdr:cNvPr>
        <xdr:cNvSpPr/>
      </xdr:nvSpPr>
      <xdr:spPr>
        <a:xfrm>
          <a:off x="1495425" y="23615650"/>
          <a:ext cx="396716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J60, Thermodynamique 
08:00-08:10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396716</xdr:colOff>
      <xdr:row>59</xdr:row>
      <xdr:rowOff>12700</xdr:rowOff>
    </xdr:from>
    <xdr:to>
      <xdr:col>2</xdr:col>
      <xdr:colOff>1008792</xdr:colOff>
      <xdr:row>59</xdr:row>
      <xdr:rowOff>387350</xdr:rowOff>
    </xdr:to>
    <xdr:sp macro="" textlink="">
      <xdr:nvSpPr>
        <xdr:cNvPr id="13869" name="Rechthoek: afgeronde hoeken 13868">
          <a:extLst>
            <a:ext uri="{FF2B5EF4-FFF2-40B4-BE49-F238E27FC236}">
              <a16:creationId xmlns:a16="http://schemas.microsoft.com/office/drawing/2014/main" id="{E05E2ACC-A0E8-098D-DDC5-D4996BA28BA9}"/>
            </a:ext>
          </a:extLst>
        </xdr:cNvPr>
        <xdr:cNvSpPr/>
      </xdr:nvSpPr>
      <xdr:spPr>
        <a:xfrm>
          <a:off x="1892141" y="23615650"/>
          <a:ext cx="612076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J60, Intervention rééducation part-3
08:10-08:26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1008793</xdr:colOff>
      <xdr:row>59</xdr:row>
      <xdr:rowOff>12700</xdr:rowOff>
    </xdr:from>
    <xdr:to>
      <xdr:col>3</xdr:col>
      <xdr:colOff>504397</xdr:colOff>
      <xdr:row>59</xdr:row>
      <xdr:rowOff>387350</xdr:rowOff>
    </xdr:to>
    <xdr:sp macro="" textlink="">
      <xdr:nvSpPr>
        <xdr:cNvPr id="13870" name="Rechthoek: afgeronde hoeken 13869">
          <a:extLst>
            <a:ext uri="{FF2B5EF4-FFF2-40B4-BE49-F238E27FC236}">
              <a16:creationId xmlns:a16="http://schemas.microsoft.com/office/drawing/2014/main" id="{21DE7E8E-75E4-EC2A-67E2-CE10BF68DAB8}"/>
            </a:ext>
          </a:extLst>
        </xdr:cNvPr>
        <xdr:cNvSpPr/>
      </xdr:nvSpPr>
      <xdr:spPr>
        <a:xfrm>
          <a:off x="2504218" y="23615650"/>
          <a:ext cx="629079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J60, Protéines 
08:26-08:43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504396</xdr:colOff>
      <xdr:row>59</xdr:row>
      <xdr:rowOff>12700</xdr:rowOff>
    </xdr:from>
    <xdr:to>
      <xdr:col>4</xdr:col>
      <xdr:colOff>119014</xdr:colOff>
      <xdr:row>59</xdr:row>
      <xdr:rowOff>387350</xdr:rowOff>
    </xdr:to>
    <xdr:sp macro="" textlink="">
      <xdr:nvSpPr>
        <xdr:cNvPr id="13871" name="Rechthoek: afgeronde hoeken 13870">
          <a:extLst>
            <a:ext uri="{FF2B5EF4-FFF2-40B4-BE49-F238E27FC236}">
              <a16:creationId xmlns:a16="http://schemas.microsoft.com/office/drawing/2014/main" id="{68F6C83E-271C-37D3-8700-0A02228719EC}"/>
            </a:ext>
          </a:extLst>
        </xdr:cNvPr>
        <xdr:cNvSpPr/>
      </xdr:nvSpPr>
      <xdr:spPr>
        <a:xfrm>
          <a:off x="3133296" y="23615650"/>
          <a:ext cx="748093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J30, Probabiltés
08:43-09:03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4</xdr:col>
      <xdr:colOff>119015</xdr:colOff>
      <xdr:row>59</xdr:row>
      <xdr:rowOff>12700</xdr:rowOff>
    </xdr:from>
    <xdr:to>
      <xdr:col>5</xdr:col>
      <xdr:colOff>232363</xdr:colOff>
      <xdr:row>59</xdr:row>
      <xdr:rowOff>387350</xdr:rowOff>
    </xdr:to>
    <xdr:sp macro="" textlink="">
      <xdr:nvSpPr>
        <xdr:cNvPr id="13872" name="Rechthoek: afgeronde hoeken 13871">
          <a:extLst>
            <a:ext uri="{FF2B5EF4-FFF2-40B4-BE49-F238E27FC236}">
              <a16:creationId xmlns:a16="http://schemas.microsoft.com/office/drawing/2014/main" id="{84A96205-DBB7-3418-72F6-E32950D798E0}"/>
            </a:ext>
          </a:extLst>
        </xdr:cNvPr>
        <xdr:cNvSpPr/>
      </xdr:nvSpPr>
      <xdr:spPr>
        <a:xfrm>
          <a:off x="3881390" y="23615650"/>
          <a:ext cx="1246823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J30, Métrologie 
09:03-09:36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60</xdr:row>
      <xdr:rowOff>12700</xdr:rowOff>
    </xdr:from>
    <xdr:to>
      <xdr:col>2</xdr:col>
      <xdr:colOff>918115</xdr:colOff>
      <xdr:row>60</xdr:row>
      <xdr:rowOff>387350</xdr:rowOff>
    </xdr:to>
    <xdr:sp macro="" textlink="">
      <xdr:nvSpPr>
        <xdr:cNvPr id="13873" name="Rechthoek: afgeronde hoeken 13872">
          <a:extLst>
            <a:ext uri="{FF2B5EF4-FFF2-40B4-BE49-F238E27FC236}">
              <a16:creationId xmlns:a16="http://schemas.microsoft.com/office/drawing/2014/main" id="{FB54A3A7-37B8-EFE3-2F60-9E7FC001C399}"/>
            </a:ext>
          </a:extLst>
        </xdr:cNvPr>
        <xdr:cNvSpPr/>
      </xdr:nvSpPr>
      <xdr:spPr>
        <a:xfrm>
          <a:off x="1495425" y="24015700"/>
          <a:ext cx="918115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J30, Dérivés carbonyles
08:00-08:24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918115</xdr:colOff>
      <xdr:row>60</xdr:row>
      <xdr:rowOff>12700</xdr:rowOff>
    </xdr:from>
    <xdr:to>
      <xdr:col>3</xdr:col>
      <xdr:colOff>1008793</xdr:colOff>
      <xdr:row>60</xdr:row>
      <xdr:rowOff>387350</xdr:rowOff>
    </xdr:to>
    <xdr:sp macro="" textlink="">
      <xdr:nvSpPr>
        <xdr:cNvPr id="13874" name="Rechthoek: afgeronde hoeken 13873">
          <a:extLst>
            <a:ext uri="{FF2B5EF4-FFF2-40B4-BE49-F238E27FC236}">
              <a16:creationId xmlns:a16="http://schemas.microsoft.com/office/drawing/2014/main" id="{E289CB06-93FC-43CA-6348-B7B9E9E4B931}"/>
            </a:ext>
          </a:extLst>
        </xdr:cNvPr>
        <xdr:cNvSpPr/>
      </xdr:nvSpPr>
      <xdr:spPr>
        <a:xfrm>
          <a:off x="2413540" y="24015700"/>
          <a:ext cx="1224153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J30, Enjeux éthiques 
08:24-08:56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1008793</xdr:colOff>
      <xdr:row>60</xdr:row>
      <xdr:rowOff>12700</xdr:rowOff>
    </xdr:from>
    <xdr:to>
      <xdr:col>4</xdr:col>
      <xdr:colOff>181356</xdr:colOff>
      <xdr:row>60</xdr:row>
      <xdr:rowOff>387350</xdr:rowOff>
    </xdr:to>
    <xdr:sp macro="" textlink="">
      <xdr:nvSpPr>
        <xdr:cNvPr id="13875" name="Rechthoek: afgeronde hoeken 13874">
          <a:extLst>
            <a:ext uri="{FF2B5EF4-FFF2-40B4-BE49-F238E27FC236}">
              <a16:creationId xmlns:a16="http://schemas.microsoft.com/office/drawing/2014/main" id="{F5635704-F513-011D-4D28-09311422BC73}"/>
            </a:ext>
          </a:extLst>
        </xdr:cNvPr>
        <xdr:cNvSpPr/>
      </xdr:nvSpPr>
      <xdr:spPr>
        <a:xfrm>
          <a:off x="3637693" y="24015700"/>
          <a:ext cx="306038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J60, Intervention rééducation part-4
08:56-09:04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4</xdr:col>
      <xdr:colOff>181356</xdr:colOff>
      <xdr:row>60</xdr:row>
      <xdr:rowOff>12700</xdr:rowOff>
    </xdr:from>
    <xdr:to>
      <xdr:col>4</xdr:col>
      <xdr:colOff>538401</xdr:colOff>
      <xdr:row>60</xdr:row>
      <xdr:rowOff>387350</xdr:rowOff>
    </xdr:to>
    <xdr:sp macro="" textlink="">
      <xdr:nvSpPr>
        <xdr:cNvPr id="13876" name="Rechthoek: afgeronde hoeken 13875">
          <a:extLst>
            <a:ext uri="{FF2B5EF4-FFF2-40B4-BE49-F238E27FC236}">
              <a16:creationId xmlns:a16="http://schemas.microsoft.com/office/drawing/2014/main" id="{7A5DC45F-164E-A88F-8D89-27518AED2B62}"/>
            </a:ext>
          </a:extLst>
        </xdr:cNvPr>
        <xdr:cNvSpPr/>
      </xdr:nvSpPr>
      <xdr:spPr>
        <a:xfrm>
          <a:off x="3943731" y="24015700"/>
          <a:ext cx="357045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J60, Elément introductif en santé publique
09:04-09:14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61</xdr:row>
      <xdr:rowOff>12700</xdr:rowOff>
    </xdr:from>
    <xdr:to>
      <xdr:col>2</xdr:col>
      <xdr:colOff>255032</xdr:colOff>
      <xdr:row>61</xdr:row>
      <xdr:rowOff>387350</xdr:rowOff>
    </xdr:to>
    <xdr:sp macro="" textlink="">
      <xdr:nvSpPr>
        <xdr:cNvPr id="13877" name="Rechthoek: afgeronde hoeken 13876">
          <a:extLst>
            <a:ext uri="{FF2B5EF4-FFF2-40B4-BE49-F238E27FC236}">
              <a16:creationId xmlns:a16="http://schemas.microsoft.com/office/drawing/2014/main" id="{A4B9DFCF-3DA6-B908-8BAD-0D8B5550F98A}"/>
            </a:ext>
          </a:extLst>
        </xdr:cNvPr>
        <xdr:cNvSpPr/>
      </xdr:nvSpPr>
      <xdr:spPr>
        <a:xfrm>
          <a:off x="1495425" y="24415750"/>
          <a:ext cx="255032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J60, Membre inférieur 3
08:00-08:06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255032</xdr:colOff>
      <xdr:row>61</xdr:row>
      <xdr:rowOff>12700</xdr:rowOff>
    </xdr:from>
    <xdr:to>
      <xdr:col>2</xdr:col>
      <xdr:colOff>617744</xdr:colOff>
      <xdr:row>61</xdr:row>
      <xdr:rowOff>387350</xdr:rowOff>
    </xdr:to>
    <xdr:sp macro="" textlink="">
      <xdr:nvSpPr>
        <xdr:cNvPr id="13878" name="Rechthoek: afgeronde hoeken 13877">
          <a:extLst>
            <a:ext uri="{FF2B5EF4-FFF2-40B4-BE49-F238E27FC236}">
              <a16:creationId xmlns:a16="http://schemas.microsoft.com/office/drawing/2014/main" id="{547CFE55-5442-F985-9299-5B26680316E2}"/>
            </a:ext>
          </a:extLst>
        </xdr:cNvPr>
        <xdr:cNvSpPr/>
      </xdr:nvSpPr>
      <xdr:spPr>
        <a:xfrm>
          <a:off x="1750457" y="24415750"/>
          <a:ext cx="362712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J60, Outils mathématique 
08:06-08:16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617744</xdr:colOff>
      <xdr:row>61</xdr:row>
      <xdr:rowOff>12700</xdr:rowOff>
    </xdr:from>
    <xdr:to>
      <xdr:col>2</xdr:col>
      <xdr:colOff>1110806</xdr:colOff>
      <xdr:row>61</xdr:row>
      <xdr:rowOff>387350</xdr:rowOff>
    </xdr:to>
    <xdr:sp macro="" textlink="">
      <xdr:nvSpPr>
        <xdr:cNvPr id="13879" name="Rechthoek: afgeronde hoeken 13878">
          <a:extLst>
            <a:ext uri="{FF2B5EF4-FFF2-40B4-BE49-F238E27FC236}">
              <a16:creationId xmlns:a16="http://schemas.microsoft.com/office/drawing/2014/main" id="{DFB86914-2133-A4ED-A761-8276F04D9F42}"/>
            </a:ext>
          </a:extLst>
        </xdr:cNvPr>
        <xdr:cNvSpPr/>
      </xdr:nvSpPr>
      <xdr:spPr>
        <a:xfrm>
          <a:off x="2113169" y="24415750"/>
          <a:ext cx="493062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J60, Mutations 
08:16-08:29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1110805</xdr:colOff>
      <xdr:row>61</xdr:row>
      <xdr:rowOff>12700</xdr:rowOff>
    </xdr:from>
    <xdr:to>
      <xdr:col>3</xdr:col>
      <xdr:colOff>498729</xdr:colOff>
      <xdr:row>61</xdr:row>
      <xdr:rowOff>387350</xdr:rowOff>
    </xdr:to>
    <xdr:sp macro="" textlink="">
      <xdr:nvSpPr>
        <xdr:cNvPr id="13880" name="Rechthoek: afgeronde hoeken 13879">
          <a:extLst>
            <a:ext uri="{FF2B5EF4-FFF2-40B4-BE49-F238E27FC236}">
              <a16:creationId xmlns:a16="http://schemas.microsoft.com/office/drawing/2014/main" id="{2A6B658E-7F90-3AC1-2584-571BF2C960AE}"/>
            </a:ext>
          </a:extLst>
        </xdr:cNvPr>
        <xdr:cNvSpPr/>
      </xdr:nvSpPr>
      <xdr:spPr>
        <a:xfrm>
          <a:off x="2606230" y="24415750"/>
          <a:ext cx="521399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J60, La composition des membranes cellulaire
08:29-08:43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62</xdr:row>
      <xdr:rowOff>12700</xdr:rowOff>
    </xdr:from>
    <xdr:to>
      <xdr:col>2</xdr:col>
      <xdr:colOff>544068</xdr:colOff>
      <xdr:row>62</xdr:row>
      <xdr:rowOff>387350</xdr:rowOff>
    </xdr:to>
    <xdr:sp macro="" textlink="">
      <xdr:nvSpPr>
        <xdr:cNvPr id="13881" name="Rechthoek: afgeronde hoeken 13880">
          <a:extLst>
            <a:ext uri="{FF2B5EF4-FFF2-40B4-BE49-F238E27FC236}">
              <a16:creationId xmlns:a16="http://schemas.microsoft.com/office/drawing/2014/main" id="{00A90A57-F6EF-D9E5-E85B-991B4C5C5CFB}"/>
            </a:ext>
          </a:extLst>
        </xdr:cNvPr>
        <xdr:cNvSpPr/>
      </xdr:nvSpPr>
      <xdr:spPr>
        <a:xfrm>
          <a:off x="1495425" y="24815800"/>
          <a:ext cx="544068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J60, La discipline anthropologique 
08:00-08:14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544068</xdr:colOff>
      <xdr:row>62</xdr:row>
      <xdr:rowOff>12700</xdr:rowOff>
    </xdr:from>
    <xdr:to>
      <xdr:col>3</xdr:col>
      <xdr:colOff>51006</xdr:colOff>
      <xdr:row>62</xdr:row>
      <xdr:rowOff>387350</xdr:rowOff>
    </xdr:to>
    <xdr:sp macro="" textlink="">
      <xdr:nvSpPr>
        <xdr:cNvPr id="13882" name="Rechthoek: afgeronde hoeken 13881">
          <a:extLst>
            <a:ext uri="{FF2B5EF4-FFF2-40B4-BE49-F238E27FC236}">
              <a16:creationId xmlns:a16="http://schemas.microsoft.com/office/drawing/2014/main" id="{71ECDF28-E751-4CD3-B8E1-4C161942A656}"/>
            </a:ext>
          </a:extLst>
        </xdr:cNvPr>
        <xdr:cNvSpPr/>
      </xdr:nvSpPr>
      <xdr:spPr>
        <a:xfrm>
          <a:off x="2039493" y="24815800"/>
          <a:ext cx="640413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J60, intro: tissus
08:14-08:31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63</xdr:row>
      <xdr:rowOff>12700</xdr:rowOff>
    </xdr:from>
    <xdr:to>
      <xdr:col>2</xdr:col>
      <xdr:colOff>204026</xdr:colOff>
      <xdr:row>63</xdr:row>
      <xdr:rowOff>387350</xdr:rowOff>
    </xdr:to>
    <xdr:sp macro="" textlink="">
      <xdr:nvSpPr>
        <xdr:cNvPr id="13883" name="Rechthoek: afgeronde hoeken 13882">
          <a:extLst>
            <a:ext uri="{FF2B5EF4-FFF2-40B4-BE49-F238E27FC236}">
              <a16:creationId xmlns:a16="http://schemas.microsoft.com/office/drawing/2014/main" id="{16E5BD63-BEF5-B6C3-6C60-D3240A922378}"/>
            </a:ext>
          </a:extLst>
        </xdr:cNvPr>
        <xdr:cNvSpPr/>
      </xdr:nvSpPr>
      <xdr:spPr>
        <a:xfrm>
          <a:off x="1495425" y="25215850"/>
          <a:ext cx="204026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J60, Représentations sociales du handicap 
08:00-08:05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204026</xdr:colOff>
      <xdr:row>63</xdr:row>
      <xdr:rowOff>12700</xdr:rowOff>
    </xdr:from>
    <xdr:to>
      <xdr:col>2</xdr:col>
      <xdr:colOff>459058</xdr:colOff>
      <xdr:row>63</xdr:row>
      <xdr:rowOff>387350</xdr:rowOff>
    </xdr:to>
    <xdr:sp macro="" textlink="">
      <xdr:nvSpPr>
        <xdr:cNvPr id="13884" name="Rechthoek: afgeronde hoeken 13883">
          <a:extLst>
            <a:ext uri="{FF2B5EF4-FFF2-40B4-BE49-F238E27FC236}">
              <a16:creationId xmlns:a16="http://schemas.microsoft.com/office/drawing/2014/main" id="{BBD575F8-A60D-5F1F-A086-15DE34F92514}"/>
            </a:ext>
          </a:extLst>
        </xdr:cNvPr>
        <xdr:cNvSpPr/>
      </xdr:nvSpPr>
      <xdr:spPr>
        <a:xfrm>
          <a:off x="1699451" y="25215850"/>
          <a:ext cx="255032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J60, intro : généralités
08:05-08:12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459057</xdr:colOff>
      <xdr:row>63</xdr:row>
      <xdr:rowOff>12700</xdr:rowOff>
    </xdr:from>
    <xdr:to>
      <xdr:col>2</xdr:col>
      <xdr:colOff>731091</xdr:colOff>
      <xdr:row>63</xdr:row>
      <xdr:rowOff>387350</xdr:rowOff>
    </xdr:to>
    <xdr:sp macro="" textlink="">
      <xdr:nvSpPr>
        <xdr:cNvPr id="13885" name="Rechthoek: afgeronde hoeken 13884">
          <a:extLst>
            <a:ext uri="{FF2B5EF4-FFF2-40B4-BE49-F238E27FC236}">
              <a16:creationId xmlns:a16="http://schemas.microsoft.com/office/drawing/2014/main" id="{4BC9BED9-8371-51A8-111F-C78B6517C481}"/>
            </a:ext>
          </a:extLst>
        </xdr:cNvPr>
        <xdr:cNvSpPr/>
      </xdr:nvSpPr>
      <xdr:spPr>
        <a:xfrm>
          <a:off x="1954482" y="25215850"/>
          <a:ext cx="272034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J60, Division cellulaire
08:12-08:19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731091</xdr:colOff>
      <xdr:row>63</xdr:row>
      <xdr:rowOff>12700</xdr:rowOff>
    </xdr:from>
    <xdr:to>
      <xdr:col>2</xdr:col>
      <xdr:colOff>1008792</xdr:colOff>
      <xdr:row>63</xdr:row>
      <xdr:rowOff>387350</xdr:rowOff>
    </xdr:to>
    <xdr:sp macro="" textlink="">
      <xdr:nvSpPr>
        <xdr:cNvPr id="13886" name="Rechthoek: afgeronde hoeken 13885">
          <a:extLst>
            <a:ext uri="{FF2B5EF4-FFF2-40B4-BE49-F238E27FC236}">
              <a16:creationId xmlns:a16="http://schemas.microsoft.com/office/drawing/2014/main" id="{9C0E452F-F9A7-F113-451F-FD86DF512189}"/>
            </a:ext>
          </a:extLst>
        </xdr:cNvPr>
        <xdr:cNvSpPr/>
      </xdr:nvSpPr>
      <xdr:spPr>
        <a:xfrm>
          <a:off x="2226516" y="25215850"/>
          <a:ext cx="277701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J60, Transcription et régulation 
08:19-08:26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1008793</xdr:colOff>
      <xdr:row>63</xdr:row>
      <xdr:rowOff>12700</xdr:rowOff>
    </xdr:from>
    <xdr:to>
      <xdr:col>3</xdr:col>
      <xdr:colOff>215360</xdr:colOff>
      <xdr:row>63</xdr:row>
      <xdr:rowOff>387350</xdr:rowOff>
    </xdr:to>
    <xdr:sp macro="" textlink="">
      <xdr:nvSpPr>
        <xdr:cNvPr id="13887" name="Rechthoek: afgeronde hoeken 13886">
          <a:extLst>
            <a:ext uri="{FF2B5EF4-FFF2-40B4-BE49-F238E27FC236}">
              <a16:creationId xmlns:a16="http://schemas.microsoft.com/office/drawing/2014/main" id="{798D30EC-1E89-C2C8-0979-D6EFE84815C5}"/>
            </a:ext>
          </a:extLst>
        </xdr:cNvPr>
        <xdr:cNvSpPr/>
      </xdr:nvSpPr>
      <xdr:spPr>
        <a:xfrm>
          <a:off x="2504218" y="25215850"/>
          <a:ext cx="340042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J60, Membre inférieur 2 
08:26-08:35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64</xdr:row>
      <xdr:rowOff>12700</xdr:rowOff>
    </xdr:from>
    <xdr:to>
      <xdr:col>2</xdr:col>
      <xdr:colOff>510064</xdr:colOff>
      <xdr:row>64</xdr:row>
      <xdr:rowOff>387350</xdr:rowOff>
    </xdr:to>
    <xdr:sp macro="" textlink="">
      <xdr:nvSpPr>
        <xdr:cNvPr id="13888" name="Rechthoek: afgeronde hoeken 13887">
          <a:extLst>
            <a:ext uri="{FF2B5EF4-FFF2-40B4-BE49-F238E27FC236}">
              <a16:creationId xmlns:a16="http://schemas.microsoft.com/office/drawing/2014/main" id="{2263C584-464D-4991-23C2-310DD7A3B768}"/>
            </a:ext>
          </a:extLst>
        </xdr:cNvPr>
        <xdr:cNvSpPr/>
      </xdr:nvSpPr>
      <xdr:spPr>
        <a:xfrm>
          <a:off x="1495425" y="25615900"/>
          <a:ext cx="510064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J60, États  de la matière et leur caractérisation 
08:00-08:13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510064</xdr:colOff>
      <xdr:row>64</xdr:row>
      <xdr:rowOff>12700</xdr:rowOff>
    </xdr:from>
    <xdr:to>
      <xdr:col>3</xdr:col>
      <xdr:colOff>11335</xdr:colOff>
      <xdr:row>64</xdr:row>
      <xdr:rowOff>387350</xdr:rowOff>
    </xdr:to>
    <xdr:sp macro="" textlink="">
      <xdr:nvSpPr>
        <xdr:cNvPr id="13889" name="Rechthoek: afgeronde hoeken 13888">
          <a:extLst>
            <a:ext uri="{FF2B5EF4-FFF2-40B4-BE49-F238E27FC236}">
              <a16:creationId xmlns:a16="http://schemas.microsoft.com/office/drawing/2014/main" id="{E464E135-5A5D-DA3E-3E7B-EC234616FB1E}"/>
            </a:ext>
          </a:extLst>
        </xdr:cNvPr>
        <xdr:cNvSpPr/>
      </xdr:nvSpPr>
      <xdr:spPr>
        <a:xfrm>
          <a:off x="2005489" y="25615900"/>
          <a:ext cx="634746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J60, Interaction rayonnement-Matière 
08:13-08:30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11335</xdr:colOff>
      <xdr:row>64</xdr:row>
      <xdr:rowOff>12700</xdr:rowOff>
    </xdr:from>
    <xdr:to>
      <xdr:col>3</xdr:col>
      <xdr:colOff>651748</xdr:colOff>
      <xdr:row>64</xdr:row>
      <xdr:rowOff>387350</xdr:rowOff>
    </xdr:to>
    <xdr:sp macro="" textlink="">
      <xdr:nvSpPr>
        <xdr:cNvPr id="13890" name="Rechthoek: afgeronde hoeken 13889">
          <a:extLst>
            <a:ext uri="{FF2B5EF4-FFF2-40B4-BE49-F238E27FC236}">
              <a16:creationId xmlns:a16="http://schemas.microsoft.com/office/drawing/2014/main" id="{F949EFC3-10A8-AF61-D30D-E912FFF28788}"/>
            </a:ext>
          </a:extLst>
        </xdr:cNvPr>
        <xdr:cNvSpPr/>
      </xdr:nvSpPr>
      <xdr:spPr>
        <a:xfrm>
          <a:off x="2640235" y="25615900"/>
          <a:ext cx="640413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J60, essai thérapeutique 
08:30-08:47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651748</xdr:colOff>
      <xdr:row>64</xdr:row>
      <xdr:rowOff>12700</xdr:rowOff>
    </xdr:from>
    <xdr:to>
      <xdr:col>4</xdr:col>
      <xdr:colOff>198358</xdr:colOff>
      <xdr:row>64</xdr:row>
      <xdr:rowOff>387350</xdr:rowOff>
    </xdr:to>
    <xdr:sp macro="" textlink="">
      <xdr:nvSpPr>
        <xdr:cNvPr id="13891" name="Rechthoek: afgeronde hoeken 13890">
          <a:extLst>
            <a:ext uri="{FF2B5EF4-FFF2-40B4-BE49-F238E27FC236}">
              <a16:creationId xmlns:a16="http://schemas.microsoft.com/office/drawing/2014/main" id="{8F27194F-ADCC-D182-B5AE-FF714976D88E}"/>
            </a:ext>
          </a:extLst>
        </xdr:cNvPr>
        <xdr:cNvSpPr/>
      </xdr:nvSpPr>
      <xdr:spPr>
        <a:xfrm>
          <a:off x="3280648" y="25615900"/>
          <a:ext cx="680085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J60, Les très basses fréquences du spectre électromagnétique 
08:47-09:05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4</xdr:col>
      <xdr:colOff>198358</xdr:colOff>
      <xdr:row>64</xdr:row>
      <xdr:rowOff>12700</xdr:rowOff>
    </xdr:from>
    <xdr:to>
      <xdr:col>4</xdr:col>
      <xdr:colOff>374047</xdr:colOff>
      <xdr:row>64</xdr:row>
      <xdr:rowOff>387350</xdr:rowOff>
    </xdr:to>
    <xdr:sp macro="" textlink="">
      <xdr:nvSpPr>
        <xdr:cNvPr id="13892" name="Rechthoek: afgeronde hoeken 13891">
          <a:extLst>
            <a:ext uri="{FF2B5EF4-FFF2-40B4-BE49-F238E27FC236}">
              <a16:creationId xmlns:a16="http://schemas.microsoft.com/office/drawing/2014/main" id="{33BB2AB0-37CB-2E68-679B-4CF7793DCF3F}"/>
            </a:ext>
          </a:extLst>
        </xdr:cNvPr>
        <xdr:cNvSpPr/>
      </xdr:nvSpPr>
      <xdr:spPr>
        <a:xfrm>
          <a:off x="3960733" y="25615900"/>
          <a:ext cx="175689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J60, Acides Aminés- peptides 
09:05-09:09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4</xdr:col>
      <xdr:colOff>374047</xdr:colOff>
      <xdr:row>64</xdr:row>
      <xdr:rowOff>12700</xdr:rowOff>
    </xdr:from>
    <xdr:to>
      <xdr:col>4</xdr:col>
      <xdr:colOff>600742</xdr:colOff>
      <xdr:row>64</xdr:row>
      <xdr:rowOff>387350</xdr:rowOff>
    </xdr:to>
    <xdr:sp macro="" textlink="">
      <xdr:nvSpPr>
        <xdr:cNvPr id="13893" name="Rechthoek: afgeronde hoeken 13892">
          <a:extLst>
            <a:ext uri="{FF2B5EF4-FFF2-40B4-BE49-F238E27FC236}">
              <a16:creationId xmlns:a16="http://schemas.microsoft.com/office/drawing/2014/main" id="{E1B623E5-901C-6939-2CD0-48A158525B63}"/>
            </a:ext>
          </a:extLst>
        </xdr:cNvPr>
        <xdr:cNvSpPr/>
      </xdr:nvSpPr>
      <xdr:spPr>
        <a:xfrm>
          <a:off x="4136422" y="25615900"/>
          <a:ext cx="226695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J60, Intervention rééducation part-2
09:09-09:15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4</xdr:col>
      <xdr:colOff>600742</xdr:colOff>
      <xdr:row>64</xdr:row>
      <xdr:rowOff>12700</xdr:rowOff>
    </xdr:from>
    <xdr:to>
      <xdr:col>4</xdr:col>
      <xdr:colOff>940784</xdr:colOff>
      <xdr:row>64</xdr:row>
      <xdr:rowOff>387350</xdr:rowOff>
    </xdr:to>
    <xdr:sp macro="" textlink="">
      <xdr:nvSpPr>
        <xdr:cNvPr id="13894" name="Rechthoek: afgeronde hoeken 13893">
          <a:extLst>
            <a:ext uri="{FF2B5EF4-FFF2-40B4-BE49-F238E27FC236}">
              <a16:creationId xmlns:a16="http://schemas.microsoft.com/office/drawing/2014/main" id="{055F544B-0837-2C99-B3E1-62A131EA31A5}"/>
            </a:ext>
          </a:extLst>
        </xdr:cNvPr>
        <xdr:cNvSpPr/>
      </xdr:nvSpPr>
      <xdr:spPr>
        <a:xfrm>
          <a:off x="4363117" y="25615900"/>
          <a:ext cx="340042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J60, Du chromosome à l'ADN
09:15-09:24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4</xdr:col>
      <xdr:colOff>940784</xdr:colOff>
      <xdr:row>64</xdr:row>
      <xdr:rowOff>12700</xdr:rowOff>
    </xdr:from>
    <xdr:to>
      <xdr:col>5</xdr:col>
      <xdr:colOff>221027</xdr:colOff>
      <xdr:row>64</xdr:row>
      <xdr:rowOff>387350</xdr:rowOff>
    </xdr:to>
    <xdr:sp macro="" textlink="">
      <xdr:nvSpPr>
        <xdr:cNvPr id="13895" name="Rechthoek: afgeronde hoeken 13894">
          <a:extLst>
            <a:ext uri="{FF2B5EF4-FFF2-40B4-BE49-F238E27FC236}">
              <a16:creationId xmlns:a16="http://schemas.microsoft.com/office/drawing/2014/main" id="{147C4FA0-4689-EF7F-2177-5966D601393D}"/>
            </a:ext>
          </a:extLst>
        </xdr:cNvPr>
        <xdr:cNvSpPr/>
      </xdr:nvSpPr>
      <xdr:spPr>
        <a:xfrm>
          <a:off x="4703159" y="25615900"/>
          <a:ext cx="413718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J60, corrélation et régression linéaire
09:24-09:35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221028</xdr:colOff>
      <xdr:row>64</xdr:row>
      <xdr:rowOff>12700</xdr:rowOff>
    </xdr:from>
    <xdr:to>
      <xdr:col>5</xdr:col>
      <xdr:colOff>685753</xdr:colOff>
      <xdr:row>64</xdr:row>
      <xdr:rowOff>387350</xdr:rowOff>
    </xdr:to>
    <xdr:sp macro="" textlink="">
      <xdr:nvSpPr>
        <xdr:cNvPr id="13896" name="Rechthoek: afgeronde hoeken 13895">
          <a:extLst>
            <a:ext uri="{FF2B5EF4-FFF2-40B4-BE49-F238E27FC236}">
              <a16:creationId xmlns:a16="http://schemas.microsoft.com/office/drawing/2014/main" id="{7EB22DBC-4231-F58F-DC8F-0620EB00CD7D}"/>
            </a:ext>
          </a:extLst>
        </xdr:cNvPr>
        <xdr:cNvSpPr/>
      </xdr:nvSpPr>
      <xdr:spPr>
        <a:xfrm>
          <a:off x="5116878" y="25615900"/>
          <a:ext cx="464725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J60, Signalisation intracellulaire part 1
09:35-09:48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685752</xdr:colOff>
      <xdr:row>64</xdr:row>
      <xdr:rowOff>12700</xdr:rowOff>
    </xdr:from>
    <xdr:to>
      <xdr:col>6</xdr:col>
      <xdr:colOff>113347</xdr:colOff>
      <xdr:row>64</xdr:row>
      <xdr:rowOff>387350</xdr:rowOff>
    </xdr:to>
    <xdr:sp macro="" textlink="">
      <xdr:nvSpPr>
        <xdr:cNvPr id="13897" name="Rechthoek: afgeronde hoeken 13896">
          <a:extLst>
            <a:ext uri="{FF2B5EF4-FFF2-40B4-BE49-F238E27FC236}">
              <a16:creationId xmlns:a16="http://schemas.microsoft.com/office/drawing/2014/main" id="{E1AF6E9F-824A-E45A-3527-5AE02151F874}"/>
            </a:ext>
          </a:extLst>
        </xdr:cNvPr>
        <xdr:cNvSpPr/>
      </xdr:nvSpPr>
      <xdr:spPr>
        <a:xfrm>
          <a:off x="5581602" y="25615900"/>
          <a:ext cx="561070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J60, Régulation et rôle du rein 
09:48-10:03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6</xdr:col>
      <xdr:colOff>113347</xdr:colOff>
      <xdr:row>64</xdr:row>
      <xdr:rowOff>12700</xdr:rowOff>
    </xdr:from>
    <xdr:to>
      <xdr:col>6</xdr:col>
      <xdr:colOff>719756</xdr:colOff>
      <xdr:row>64</xdr:row>
      <xdr:rowOff>387350</xdr:rowOff>
    </xdr:to>
    <xdr:sp macro="" textlink="">
      <xdr:nvSpPr>
        <xdr:cNvPr id="13898" name="Rechthoek: afgeronde hoeken 13897">
          <a:extLst>
            <a:ext uri="{FF2B5EF4-FFF2-40B4-BE49-F238E27FC236}">
              <a16:creationId xmlns:a16="http://schemas.microsoft.com/office/drawing/2014/main" id="{10520F5C-EB65-1068-F707-FF16F4D9C172}"/>
            </a:ext>
          </a:extLst>
        </xdr:cNvPr>
        <xdr:cNvSpPr/>
      </xdr:nvSpPr>
      <xdr:spPr>
        <a:xfrm>
          <a:off x="6142672" y="25615900"/>
          <a:ext cx="606409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J60, Liaisons chimique et interactions moléculaires
10:03-10:19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6</xdr:col>
      <xdr:colOff>719757</xdr:colOff>
      <xdr:row>64</xdr:row>
      <xdr:rowOff>12700</xdr:rowOff>
    </xdr:from>
    <xdr:to>
      <xdr:col>7</xdr:col>
      <xdr:colOff>209693</xdr:colOff>
      <xdr:row>64</xdr:row>
      <xdr:rowOff>387350</xdr:rowOff>
    </xdr:to>
    <xdr:sp macro="" textlink="">
      <xdr:nvSpPr>
        <xdr:cNvPr id="13899" name="Rechthoek: afgeronde hoeken 13898">
          <a:extLst>
            <a:ext uri="{FF2B5EF4-FFF2-40B4-BE49-F238E27FC236}">
              <a16:creationId xmlns:a16="http://schemas.microsoft.com/office/drawing/2014/main" id="{52BC07F2-33DC-A749-C634-0F33B3CE5ADB}"/>
            </a:ext>
          </a:extLst>
        </xdr:cNvPr>
        <xdr:cNvSpPr/>
      </xdr:nvSpPr>
      <xdr:spPr>
        <a:xfrm>
          <a:off x="6749082" y="25615900"/>
          <a:ext cx="623411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J60, Physiologie et compartiments liquidiens 
10:19-10:35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65</xdr:row>
      <xdr:rowOff>12700</xdr:rowOff>
    </xdr:from>
    <xdr:to>
      <xdr:col>2</xdr:col>
      <xdr:colOff>181356</xdr:colOff>
      <xdr:row>65</xdr:row>
      <xdr:rowOff>387350</xdr:rowOff>
    </xdr:to>
    <xdr:sp macro="" textlink="">
      <xdr:nvSpPr>
        <xdr:cNvPr id="13900" name="Rechthoek: afgeronde hoeken 13899">
          <a:extLst>
            <a:ext uri="{FF2B5EF4-FFF2-40B4-BE49-F238E27FC236}">
              <a16:creationId xmlns:a16="http://schemas.microsoft.com/office/drawing/2014/main" id="{97731C38-945D-D524-519A-76A947334263}"/>
            </a:ext>
          </a:extLst>
        </xdr:cNvPr>
        <xdr:cNvSpPr/>
      </xdr:nvSpPr>
      <xdr:spPr>
        <a:xfrm>
          <a:off x="1495425" y="26015950"/>
          <a:ext cx="181356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J60, psychologie générale 
08:00-08:04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181356</xdr:colOff>
      <xdr:row>65</xdr:row>
      <xdr:rowOff>12700</xdr:rowOff>
    </xdr:from>
    <xdr:to>
      <xdr:col>2</xdr:col>
      <xdr:colOff>498729</xdr:colOff>
      <xdr:row>65</xdr:row>
      <xdr:rowOff>387350</xdr:rowOff>
    </xdr:to>
    <xdr:sp macro="" textlink="">
      <xdr:nvSpPr>
        <xdr:cNvPr id="13901" name="Rechthoek: afgeronde hoeken 13900">
          <a:extLst>
            <a:ext uri="{FF2B5EF4-FFF2-40B4-BE49-F238E27FC236}">
              <a16:creationId xmlns:a16="http://schemas.microsoft.com/office/drawing/2014/main" id="{25DABC99-8309-320D-4F32-AB6714692B38}"/>
            </a:ext>
          </a:extLst>
        </xdr:cNvPr>
        <xdr:cNvSpPr/>
      </xdr:nvSpPr>
      <xdr:spPr>
        <a:xfrm>
          <a:off x="1676781" y="26015950"/>
          <a:ext cx="317373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J60, schéma d'étude 
08:04-08:13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498729</xdr:colOff>
      <xdr:row>65</xdr:row>
      <xdr:rowOff>12700</xdr:rowOff>
    </xdr:from>
    <xdr:to>
      <xdr:col>2</xdr:col>
      <xdr:colOff>816102</xdr:colOff>
      <xdr:row>65</xdr:row>
      <xdr:rowOff>387350</xdr:rowOff>
    </xdr:to>
    <xdr:sp macro="" textlink="">
      <xdr:nvSpPr>
        <xdr:cNvPr id="13902" name="Rechthoek: afgeronde hoeken 13901">
          <a:extLst>
            <a:ext uri="{FF2B5EF4-FFF2-40B4-BE49-F238E27FC236}">
              <a16:creationId xmlns:a16="http://schemas.microsoft.com/office/drawing/2014/main" id="{C9D883C4-2C91-9F7E-577C-B6373D7133B0}"/>
            </a:ext>
          </a:extLst>
        </xdr:cNvPr>
        <xdr:cNvSpPr/>
      </xdr:nvSpPr>
      <xdr:spPr>
        <a:xfrm>
          <a:off x="1994154" y="26015950"/>
          <a:ext cx="317373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J60, Les alcools- les amines
08:13-08:21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816102</xdr:colOff>
      <xdr:row>65</xdr:row>
      <xdr:rowOff>12700</xdr:rowOff>
    </xdr:from>
    <xdr:to>
      <xdr:col>3</xdr:col>
      <xdr:colOff>260699</xdr:colOff>
      <xdr:row>65</xdr:row>
      <xdr:rowOff>387350</xdr:rowOff>
    </xdr:to>
    <xdr:sp macro="" textlink="">
      <xdr:nvSpPr>
        <xdr:cNvPr id="13903" name="Rechthoek: afgeronde hoeken 13902">
          <a:extLst>
            <a:ext uri="{FF2B5EF4-FFF2-40B4-BE49-F238E27FC236}">
              <a16:creationId xmlns:a16="http://schemas.microsoft.com/office/drawing/2014/main" id="{F5684B71-7727-4CC0-59F1-F1CF384A2654}"/>
            </a:ext>
          </a:extLst>
        </xdr:cNvPr>
        <xdr:cNvSpPr/>
      </xdr:nvSpPr>
      <xdr:spPr>
        <a:xfrm>
          <a:off x="2311527" y="26015950"/>
          <a:ext cx="578072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J60, Introduction épidémiologie et stats
08:21-08:36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260699</xdr:colOff>
      <xdr:row>65</xdr:row>
      <xdr:rowOff>12700</xdr:rowOff>
    </xdr:from>
    <xdr:to>
      <xdr:col>3</xdr:col>
      <xdr:colOff>850106</xdr:colOff>
      <xdr:row>65</xdr:row>
      <xdr:rowOff>387350</xdr:rowOff>
    </xdr:to>
    <xdr:sp macro="" textlink="">
      <xdr:nvSpPr>
        <xdr:cNvPr id="13904" name="Rechthoek: afgeronde hoeken 13903">
          <a:extLst>
            <a:ext uri="{FF2B5EF4-FFF2-40B4-BE49-F238E27FC236}">
              <a16:creationId xmlns:a16="http://schemas.microsoft.com/office/drawing/2014/main" id="{B8C503ED-C830-B141-46F9-80B6BF8E8607}"/>
            </a:ext>
          </a:extLst>
        </xdr:cNvPr>
        <xdr:cNvSpPr/>
      </xdr:nvSpPr>
      <xdr:spPr>
        <a:xfrm>
          <a:off x="2889599" y="26015950"/>
          <a:ext cx="589407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J60, Intervention rééducation part-5
08:36-08:52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66</xdr:row>
      <xdr:rowOff>12700</xdr:rowOff>
    </xdr:from>
    <xdr:to>
      <xdr:col>2</xdr:col>
      <xdr:colOff>187023</xdr:colOff>
      <xdr:row>66</xdr:row>
      <xdr:rowOff>387350</xdr:rowOff>
    </xdr:to>
    <xdr:sp macro="" textlink="">
      <xdr:nvSpPr>
        <xdr:cNvPr id="13905" name="Rechthoek: afgeronde hoeken 13904">
          <a:extLst>
            <a:ext uri="{FF2B5EF4-FFF2-40B4-BE49-F238E27FC236}">
              <a16:creationId xmlns:a16="http://schemas.microsoft.com/office/drawing/2014/main" id="{9144C878-0D13-FE6A-DB62-5A5C44FB2012}"/>
            </a:ext>
          </a:extLst>
        </xdr:cNvPr>
        <xdr:cNvSpPr/>
      </xdr:nvSpPr>
      <xdr:spPr>
        <a:xfrm>
          <a:off x="1495425" y="26416000"/>
          <a:ext cx="187023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J60, Transport intracellulaire et trafic vésiculaire 
08:00-08:04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187023</xdr:colOff>
      <xdr:row>66</xdr:row>
      <xdr:rowOff>12700</xdr:rowOff>
    </xdr:from>
    <xdr:to>
      <xdr:col>2</xdr:col>
      <xdr:colOff>810434</xdr:colOff>
      <xdr:row>66</xdr:row>
      <xdr:rowOff>387350</xdr:rowOff>
    </xdr:to>
    <xdr:sp macro="" textlink="">
      <xdr:nvSpPr>
        <xdr:cNvPr id="13906" name="Rechthoek: afgeronde hoeken 13905">
          <a:extLst>
            <a:ext uri="{FF2B5EF4-FFF2-40B4-BE49-F238E27FC236}">
              <a16:creationId xmlns:a16="http://schemas.microsoft.com/office/drawing/2014/main" id="{B4336DE3-B752-EDF2-C6EF-3929C0B71B0E}"/>
            </a:ext>
          </a:extLst>
        </xdr:cNvPr>
        <xdr:cNvSpPr/>
      </xdr:nvSpPr>
      <xdr:spPr>
        <a:xfrm>
          <a:off x="1682448" y="26416000"/>
          <a:ext cx="623411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J60, Membre inférieur 1
08:04-08:21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810435</xdr:colOff>
      <xdr:row>66</xdr:row>
      <xdr:rowOff>12700</xdr:rowOff>
    </xdr:from>
    <xdr:to>
      <xdr:col>3</xdr:col>
      <xdr:colOff>311706</xdr:colOff>
      <xdr:row>66</xdr:row>
      <xdr:rowOff>387350</xdr:rowOff>
    </xdr:to>
    <xdr:sp macro="" textlink="">
      <xdr:nvSpPr>
        <xdr:cNvPr id="13907" name="Rechthoek: afgeronde hoeken 13906">
          <a:extLst>
            <a:ext uri="{FF2B5EF4-FFF2-40B4-BE49-F238E27FC236}">
              <a16:creationId xmlns:a16="http://schemas.microsoft.com/office/drawing/2014/main" id="{5F5E22D4-1166-C9EC-0357-33396A54D3EE}"/>
            </a:ext>
          </a:extLst>
        </xdr:cNvPr>
        <xdr:cNvSpPr/>
      </xdr:nvSpPr>
      <xdr:spPr>
        <a:xfrm>
          <a:off x="2305860" y="26416000"/>
          <a:ext cx="634746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J60, intro: région, fascias et appareil 
08:21-08:38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67</xdr:row>
      <xdr:rowOff>12700</xdr:rowOff>
    </xdr:from>
    <xdr:to>
      <xdr:col>2</xdr:col>
      <xdr:colOff>328708</xdr:colOff>
      <xdr:row>67</xdr:row>
      <xdr:rowOff>387350</xdr:rowOff>
    </xdr:to>
    <xdr:sp macro="" textlink="">
      <xdr:nvSpPr>
        <xdr:cNvPr id="13908" name="Rechthoek: afgeronde hoeken 13907">
          <a:extLst>
            <a:ext uri="{FF2B5EF4-FFF2-40B4-BE49-F238E27FC236}">
              <a16:creationId xmlns:a16="http://schemas.microsoft.com/office/drawing/2014/main" id="{49BDB55B-8FD8-AC48-0CF2-DF2210F3A236}"/>
            </a:ext>
          </a:extLst>
        </xdr:cNvPr>
        <xdr:cNvSpPr/>
      </xdr:nvSpPr>
      <xdr:spPr>
        <a:xfrm>
          <a:off x="1495425" y="26816050"/>
          <a:ext cx="328708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J60, CI du fonctionnement, du handicap et de la santé 
08:00-08:08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328708</xdr:colOff>
      <xdr:row>67</xdr:row>
      <xdr:rowOff>12700</xdr:rowOff>
    </xdr:from>
    <xdr:to>
      <xdr:col>2</xdr:col>
      <xdr:colOff>770763</xdr:colOff>
      <xdr:row>67</xdr:row>
      <xdr:rowOff>387350</xdr:rowOff>
    </xdr:to>
    <xdr:sp macro="" textlink="">
      <xdr:nvSpPr>
        <xdr:cNvPr id="13909" name="Rechthoek: afgeronde hoeken 13908">
          <a:extLst>
            <a:ext uri="{FF2B5EF4-FFF2-40B4-BE49-F238E27FC236}">
              <a16:creationId xmlns:a16="http://schemas.microsoft.com/office/drawing/2014/main" id="{24A3F389-EE3D-6037-5EA4-D5956078C655}"/>
            </a:ext>
          </a:extLst>
        </xdr:cNvPr>
        <xdr:cNvSpPr/>
      </xdr:nvSpPr>
      <xdr:spPr>
        <a:xfrm>
          <a:off x="1824133" y="26816050"/>
          <a:ext cx="442055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J60, Jonction neuro-musculaire
08:08-08:20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770763</xdr:colOff>
      <xdr:row>67</xdr:row>
      <xdr:rowOff>12700</xdr:rowOff>
    </xdr:from>
    <xdr:to>
      <xdr:col>3</xdr:col>
      <xdr:colOff>102013</xdr:colOff>
      <xdr:row>67</xdr:row>
      <xdr:rowOff>387350</xdr:rowOff>
    </xdr:to>
    <xdr:sp macro="" textlink="">
      <xdr:nvSpPr>
        <xdr:cNvPr id="13910" name="Rechthoek: afgeronde hoeken 13909">
          <a:extLst>
            <a:ext uri="{FF2B5EF4-FFF2-40B4-BE49-F238E27FC236}">
              <a16:creationId xmlns:a16="http://schemas.microsoft.com/office/drawing/2014/main" id="{C4730595-0ED1-6B48-1547-8A02DDC6C14E}"/>
            </a:ext>
          </a:extLst>
        </xdr:cNvPr>
        <xdr:cNvSpPr/>
      </xdr:nvSpPr>
      <xdr:spPr>
        <a:xfrm>
          <a:off x="2266188" y="26816050"/>
          <a:ext cx="464725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J60, Culture, corps et santé
08:20-08:32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102013</xdr:colOff>
      <xdr:row>67</xdr:row>
      <xdr:rowOff>12700</xdr:rowOff>
    </xdr:from>
    <xdr:to>
      <xdr:col>3</xdr:col>
      <xdr:colOff>680085</xdr:colOff>
      <xdr:row>67</xdr:row>
      <xdr:rowOff>387350</xdr:rowOff>
    </xdr:to>
    <xdr:sp macro="" textlink="">
      <xdr:nvSpPr>
        <xdr:cNvPr id="13911" name="Rechthoek: afgeronde hoeken 13910">
          <a:extLst>
            <a:ext uri="{FF2B5EF4-FFF2-40B4-BE49-F238E27FC236}">
              <a16:creationId xmlns:a16="http://schemas.microsoft.com/office/drawing/2014/main" id="{F1851201-CE7B-7BA3-B5DC-F0DB2647780E}"/>
            </a:ext>
          </a:extLst>
        </xdr:cNvPr>
        <xdr:cNvSpPr/>
      </xdr:nvSpPr>
      <xdr:spPr>
        <a:xfrm>
          <a:off x="2730913" y="26816050"/>
          <a:ext cx="578072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J60, Les acides aminés- les oses 
08:32-08:48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68</xdr:row>
      <xdr:rowOff>12700</xdr:rowOff>
    </xdr:from>
    <xdr:to>
      <xdr:col>2</xdr:col>
      <xdr:colOff>226695</xdr:colOff>
      <xdr:row>68</xdr:row>
      <xdr:rowOff>387350</xdr:rowOff>
    </xdr:to>
    <xdr:sp macro="" textlink="">
      <xdr:nvSpPr>
        <xdr:cNvPr id="13912" name="Rechthoek: afgeronde hoeken 13911">
          <a:extLst>
            <a:ext uri="{FF2B5EF4-FFF2-40B4-BE49-F238E27FC236}">
              <a16:creationId xmlns:a16="http://schemas.microsoft.com/office/drawing/2014/main" id="{B53406F6-F003-63E6-02FE-EE87BC331589}"/>
            </a:ext>
          </a:extLst>
        </xdr:cNvPr>
        <xdr:cNvSpPr/>
      </xdr:nvSpPr>
      <xdr:spPr>
        <a:xfrm>
          <a:off x="1495425" y="27216100"/>
          <a:ext cx="226695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J60, Structure des glucides 
08:00-08:06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226695</xdr:colOff>
      <xdr:row>68</xdr:row>
      <xdr:rowOff>12700</xdr:rowOff>
    </xdr:from>
    <xdr:to>
      <xdr:col>2</xdr:col>
      <xdr:colOff>566737</xdr:colOff>
      <xdr:row>68</xdr:row>
      <xdr:rowOff>387350</xdr:rowOff>
    </xdr:to>
    <xdr:sp macro="" textlink="">
      <xdr:nvSpPr>
        <xdr:cNvPr id="13913" name="Rechthoek: afgeronde hoeken 13912">
          <a:extLst>
            <a:ext uri="{FF2B5EF4-FFF2-40B4-BE49-F238E27FC236}">
              <a16:creationId xmlns:a16="http://schemas.microsoft.com/office/drawing/2014/main" id="{90915611-8D65-8B75-4BBE-495F2498C290}"/>
            </a:ext>
          </a:extLst>
        </xdr:cNvPr>
        <xdr:cNvSpPr/>
      </xdr:nvSpPr>
      <xdr:spPr>
        <a:xfrm>
          <a:off x="1722120" y="27216100"/>
          <a:ext cx="340042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J60, Cytosquellette
08:06-08:15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566738</xdr:colOff>
      <xdr:row>68</xdr:row>
      <xdr:rowOff>12700</xdr:rowOff>
    </xdr:from>
    <xdr:to>
      <xdr:col>2</xdr:col>
      <xdr:colOff>957787</xdr:colOff>
      <xdr:row>68</xdr:row>
      <xdr:rowOff>387350</xdr:rowOff>
    </xdr:to>
    <xdr:sp macro="" textlink="">
      <xdr:nvSpPr>
        <xdr:cNvPr id="13914" name="Rechthoek: afgeronde hoeken 13913">
          <a:extLst>
            <a:ext uri="{FF2B5EF4-FFF2-40B4-BE49-F238E27FC236}">
              <a16:creationId xmlns:a16="http://schemas.microsoft.com/office/drawing/2014/main" id="{228C53DE-ECF1-4186-1F3A-F0EEA0CC3BC7}"/>
            </a:ext>
          </a:extLst>
        </xdr:cNvPr>
        <xdr:cNvSpPr/>
      </xdr:nvSpPr>
      <xdr:spPr>
        <a:xfrm>
          <a:off x="2062163" y="27216100"/>
          <a:ext cx="391049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J60, Membre supérieur 3
08:15-08:25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957786</xdr:colOff>
      <xdr:row>68</xdr:row>
      <xdr:rowOff>12700</xdr:rowOff>
    </xdr:from>
    <xdr:to>
      <xdr:col>3</xdr:col>
      <xdr:colOff>379714</xdr:colOff>
      <xdr:row>68</xdr:row>
      <xdr:rowOff>387350</xdr:rowOff>
    </xdr:to>
    <xdr:sp macro="" textlink="">
      <xdr:nvSpPr>
        <xdr:cNvPr id="13915" name="Rechthoek: afgeronde hoeken 13914">
          <a:extLst>
            <a:ext uri="{FF2B5EF4-FFF2-40B4-BE49-F238E27FC236}">
              <a16:creationId xmlns:a16="http://schemas.microsoft.com/office/drawing/2014/main" id="{C7B48DAE-8ADF-795B-F6C0-4B48F801AB14}"/>
            </a:ext>
          </a:extLst>
        </xdr:cNvPr>
        <xdr:cNvSpPr/>
      </xdr:nvSpPr>
      <xdr:spPr>
        <a:xfrm>
          <a:off x="2453211" y="27216100"/>
          <a:ext cx="555403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J60, Dos
08:25-08:40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379714</xdr:colOff>
      <xdr:row>68</xdr:row>
      <xdr:rowOff>12700</xdr:rowOff>
    </xdr:from>
    <xdr:to>
      <xdr:col>3</xdr:col>
      <xdr:colOff>946452</xdr:colOff>
      <xdr:row>68</xdr:row>
      <xdr:rowOff>387350</xdr:rowOff>
    </xdr:to>
    <xdr:sp macro="" textlink="">
      <xdr:nvSpPr>
        <xdr:cNvPr id="13916" name="Rechthoek: afgeronde hoeken 13915">
          <a:extLst>
            <a:ext uri="{FF2B5EF4-FFF2-40B4-BE49-F238E27FC236}">
              <a16:creationId xmlns:a16="http://schemas.microsoft.com/office/drawing/2014/main" id="{712C6769-8113-8522-F43C-CB600672BE9D}"/>
            </a:ext>
          </a:extLst>
        </xdr:cNvPr>
        <xdr:cNvSpPr/>
      </xdr:nvSpPr>
      <xdr:spPr>
        <a:xfrm>
          <a:off x="3008614" y="27216100"/>
          <a:ext cx="566738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J60, Le domaine de l'optique 
08:40-08:55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946452</xdr:colOff>
      <xdr:row>68</xdr:row>
      <xdr:rowOff>12700</xdr:rowOff>
    </xdr:from>
    <xdr:to>
      <xdr:col>4</xdr:col>
      <xdr:colOff>379715</xdr:colOff>
      <xdr:row>68</xdr:row>
      <xdr:rowOff>387350</xdr:rowOff>
    </xdr:to>
    <xdr:sp macro="" textlink="">
      <xdr:nvSpPr>
        <xdr:cNvPr id="13917" name="Rechthoek: afgeronde hoeken 13916">
          <a:extLst>
            <a:ext uri="{FF2B5EF4-FFF2-40B4-BE49-F238E27FC236}">
              <a16:creationId xmlns:a16="http://schemas.microsoft.com/office/drawing/2014/main" id="{F41DA8EB-686F-1C48-742F-48EE942F5D82}"/>
            </a:ext>
          </a:extLst>
        </xdr:cNvPr>
        <xdr:cNvSpPr/>
      </xdr:nvSpPr>
      <xdr:spPr>
        <a:xfrm>
          <a:off x="3575352" y="27216100"/>
          <a:ext cx="566738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J60, Rayons X et gamma-Rayonnement particulaire
08:55-09:10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4</xdr:col>
      <xdr:colOff>379714</xdr:colOff>
      <xdr:row>68</xdr:row>
      <xdr:rowOff>12700</xdr:rowOff>
    </xdr:from>
    <xdr:to>
      <xdr:col>4</xdr:col>
      <xdr:colOff>946452</xdr:colOff>
      <xdr:row>68</xdr:row>
      <xdr:rowOff>387350</xdr:rowOff>
    </xdr:to>
    <xdr:sp macro="" textlink="">
      <xdr:nvSpPr>
        <xdr:cNvPr id="13918" name="Rechthoek: afgeronde hoeken 13917">
          <a:extLst>
            <a:ext uri="{FF2B5EF4-FFF2-40B4-BE49-F238E27FC236}">
              <a16:creationId xmlns:a16="http://schemas.microsoft.com/office/drawing/2014/main" id="{49232B13-9DEF-337B-F4A2-37358AEF5E0D}"/>
            </a:ext>
          </a:extLst>
        </xdr:cNvPr>
        <xdr:cNvSpPr/>
      </xdr:nvSpPr>
      <xdr:spPr>
        <a:xfrm>
          <a:off x="4142089" y="27216100"/>
          <a:ext cx="566738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J60, Tête
09:10-09:25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4</xdr:col>
      <xdr:colOff>946452</xdr:colOff>
      <xdr:row>68</xdr:row>
      <xdr:rowOff>12700</xdr:rowOff>
    </xdr:from>
    <xdr:to>
      <xdr:col>5</xdr:col>
      <xdr:colOff>5668</xdr:colOff>
      <xdr:row>68</xdr:row>
      <xdr:rowOff>387350</xdr:rowOff>
    </xdr:to>
    <xdr:sp macro="" textlink="">
      <xdr:nvSpPr>
        <xdr:cNvPr id="13919" name="Rechthoek: afgeronde hoeken 13918">
          <a:extLst>
            <a:ext uri="{FF2B5EF4-FFF2-40B4-BE49-F238E27FC236}">
              <a16:creationId xmlns:a16="http://schemas.microsoft.com/office/drawing/2014/main" id="{AEB3B309-B195-A29D-8233-4553328CBB1F}"/>
            </a:ext>
          </a:extLst>
        </xdr:cNvPr>
        <xdr:cNvSpPr/>
      </xdr:nvSpPr>
      <xdr:spPr>
        <a:xfrm>
          <a:off x="4708827" y="27216100"/>
          <a:ext cx="192691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J60, Membre supérieur 1
09:25-09:30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5667</xdr:colOff>
      <xdr:row>68</xdr:row>
      <xdr:rowOff>12700</xdr:rowOff>
    </xdr:from>
    <xdr:to>
      <xdr:col>5</xdr:col>
      <xdr:colOff>209693</xdr:colOff>
      <xdr:row>68</xdr:row>
      <xdr:rowOff>387350</xdr:rowOff>
    </xdr:to>
    <xdr:sp macro="" textlink="">
      <xdr:nvSpPr>
        <xdr:cNvPr id="13920" name="Rechthoek: afgeronde hoeken 13919">
          <a:extLst>
            <a:ext uri="{FF2B5EF4-FFF2-40B4-BE49-F238E27FC236}">
              <a16:creationId xmlns:a16="http://schemas.microsoft.com/office/drawing/2014/main" id="{0C16B207-8024-6537-6837-FA37EEC25356}"/>
            </a:ext>
          </a:extLst>
        </xdr:cNvPr>
        <xdr:cNvSpPr/>
      </xdr:nvSpPr>
      <xdr:spPr>
        <a:xfrm>
          <a:off x="4901517" y="27216100"/>
          <a:ext cx="204026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J60, pH et équilibre acido basique d'une solution
09:30-09:35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209693</xdr:colOff>
      <xdr:row>68</xdr:row>
      <xdr:rowOff>12700</xdr:rowOff>
    </xdr:from>
    <xdr:to>
      <xdr:col>5</xdr:col>
      <xdr:colOff>606409</xdr:colOff>
      <xdr:row>68</xdr:row>
      <xdr:rowOff>387350</xdr:rowOff>
    </xdr:to>
    <xdr:sp macro="" textlink="">
      <xdr:nvSpPr>
        <xdr:cNvPr id="13921" name="Rechthoek: afgeronde hoeken 13920">
          <a:extLst>
            <a:ext uri="{FF2B5EF4-FFF2-40B4-BE49-F238E27FC236}">
              <a16:creationId xmlns:a16="http://schemas.microsoft.com/office/drawing/2014/main" id="{ADE46232-AD53-6BA5-4671-8DA91FF34E34}"/>
            </a:ext>
          </a:extLst>
        </xdr:cNvPr>
        <xdr:cNvSpPr/>
      </xdr:nvSpPr>
      <xdr:spPr>
        <a:xfrm>
          <a:off x="5105543" y="27216100"/>
          <a:ext cx="396716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J60, système nerveux autonome 
09:35-09:46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606409</xdr:colOff>
      <xdr:row>68</xdr:row>
      <xdr:rowOff>12700</xdr:rowOff>
    </xdr:from>
    <xdr:to>
      <xdr:col>5</xdr:col>
      <xdr:colOff>1037130</xdr:colOff>
      <xdr:row>68</xdr:row>
      <xdr:rowOff>387350</xdr:rowOff>
    </xdr:to>
    <xdr:sp macro="" textlink="">
      <xdr:nvSpPr>
        <xdr:cNvPr id="13922" name="Rechthoek: afgeronde hoeken 13921">
          <a:extLst>
            <a:ext uri="{FF2B5EF4-FFF2-40B4-BE49-F238E27FC236}">
              <a16:creationId xmlns:a16="http://schemas.microsoft.com/office/drawing/2014/main" id="{F1CD1220-9279-698A-40F6-B0F4B783C998}"/>
            </a:ext>
          </a:extLst>
        </xdr:cNvPr>
        <xdr:cNvSpPr/>
      </xdr:nvSpPr>
      <xdr:spPr>
        <a:xfrm>
          <a:off x="5502259" y="27216100"/>
          <a:ext cx="430721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J60, Maladies, itinéraire thérapeutique
09:46-09:57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5</xdr:col>
      <xdr:colOff>1037130</xdr:colOff>
      <xdr:row>68</xdr:row>
      <xdr:rowOff>12700</xdr:rowOff>
    </xdr:from>
    <xdr:to>
      <xdr:col>6</xdr:col>
      <xdr:colOff>402384</xdr:colOff>
      <xdr:row>68</xdr:row>
      <xdr:rowOff>387350</xdr:rowOff>
    </xdr:to>
    <xdr:sp macro="" textlink="">
      <xdr:nvSpPr>
        <xdr:cNvPr id="13923" name="Rechthoek: afgeronde hoeken 13922">
          <a:extLst>
            <a:ext uri="{FF2B5EF4-FFF2-40B4-BE49-F238E27FC236}">
              <a16:creationId xmlns:a16="http://schemas.microsoft.com/office/drawing/2014/main" id="{5C54BE00-7FF2-F865-81CA-F47FF6BAEE1C}"/>
            </a:ext>
          </a:extLst>
        </xdr:cNvPr>
        <xdr:cNvSpPr/>
      </xdr:nvSpPr>
      <xdr:spPr>
        <a:xfrm>
          <a:off x="5932980" y="27216100"/>
          <a:ext cx="498729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J60, Nomenclature chimique- Isomérie 
09:57-10:10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69</xdr:row>
      <xdr:rowOff>12700</xdr:rowOff>
    </xdr:from>
    <xdr:to>
      <xdr:col>2</xdr:col>
      <xdr:colOff>447723</xdr:colOff>
      <xdr:row>69</xdr:row>
      <xdr:rowOff>387350</xdr:rowOff>
    </xdr:to>
    <xdr:sp macro="" textlink="">
      <xdr:nvSpPr>
        <xdr:cNvPr id="13924" name="Rechthoek: afgeronde hoeken 13923">
          <a:extLst>
            <a:ext uri="{FF2B5EF4-FFF2-40B4-BE49-F238E27FC236}">
              <a16:creationId xmlns:a16="http://schemas.microsoft.com/office/drawing/2014/main" id="{D93BB546-7C7D-A1DC-EFCC-585B479876BD}"/>
            </a:ext>
          </a:extLst>
        </xdr:cNvPr>
        <xdr:cNvSpPr/>
      </xdr:nvSpPr>
      <xdr:spPr>
        <a:xfrm>
          <a:off x="1495425" y="27616150"/>
          <a:ext cx="447723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J60, Appareil locomoteur 1
08:00-08:11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447723</xdr:colOff>
      <xdr:row>69</xdr:row>
      <xdr:rowOff>12700</xdr:rowOff>
    </xdr:from>
    <xdr:to>
      <xdr:col>2</xdr:col>
      <xdr:colOff>1059799</xdr:colOff>
      <xdr:row>69</xdr:row>
      <xdr:rowOff>387350</xdr:rowOff>
    </xdr:to>
    <xdr:sp macro="" textlink="">
      <xdr:nvSpPr>
        <xdr:cNvPr id="13925" name="Rechthoek: afgeronde hoeken 13924">
          <a:extLst>
            <a:ext uri="{FF2B5EF4-FFF2-40B4-BE49-F238E27FC236}">
              <a16:creationId xmlns:a16="http://schemas.microsoft.com/office/drawing/2014/main" id="{656B8B17-44A4-EB10-5D85-053143716629}"/>
            </a:ext>
          </a:extLst>
        </xdr:cNvPr>
        <xdr:cNvSpPr/>
      </xdr:nvSpPr>
      <xdr:spPr>
        <a:xfrm>
          <a:off x="1943148" y="27616150"/>
          <a:ext cx="612076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J60, Réplication de l'ADN
08:11-08:28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70</xdr:row>
      <xdr:rowOff>12700</xdr:rowOff>
    </xdr:from>
    <xdr:to>
      <xdr:col>2</xdr:col>
      <xdr:colOff>334375</xdr:colOff>
      <xdr:row>70</xdr:row>
      <xdr:rowOff>387350</xdr:rowOff>
    </xdr:to>
    <xdr:sp macro="" textlink="">
      <xdr:nvSpPr>
        <xdr:cNvPr id="13926" name="Rechthoek: afgeronde hoeken 13925">
          <a:extLst>
            <a:ext uri="{FF2B5EF4-FFF2-40B4-BE49-F238E27FC236}">
              <a16:creationId xmlns:a16="http://schemas.microsoft.com/office/drawing/2014/main" id="{2187F3E3-5BC4-2205-63CB-5896F62A69E4}"/>
            </a:ext>
          </a:extLst>
        </xdr:cNvPr>
        <xdr:cNvSpPr/>
      </xdr:nvSpPr>
      <xdr:spPr>
        <a:xfrm>
          <a:off x="1495425" y="28016200"/>
          <a:ext cx="334375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J60, Sociologie de la profession médicale
08:00-08:08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334375</xdr:colOff>
      <xdr:row>70</xdr:row>
      <xdr:rowOff>12700</xdr:rowOff>
    </xdr:from>
    <xdr:to>
      <xdr:col>2</xdr:col>
      <xdr:colOff>980456</xdr:colOff>
      <xdr:row>70</xdr:row>
      <xdr:rowOff>387350</xdr:rowOff>
    </xdr:to>
    <xdr:sp macro="" textlink="">
      <xdr:nvSpPr>
        <xdr:cNvPr id="13927" name="Rechthoek: afgeronde hoeken 13926">
          <a:extLst>
            <a:ext uri="{FF2B5EF4-FFF2-40B4-BE49-F238E27FC236}">
              <a16:creationId xmlns:a16="http://schemas.microsoft.com/office/drawing/2014/main" id="{9B46C8C9-8706-2D69-27D8-9F0978CC46D7}"/>
            </a:ext>
          </a:extLst>
        </xdr:cNvPr>
        <xdr:cNvSpPr/>
      </xdr:nvSpPr>
      <xdr:spPr>
        <a:xfrm>
          <a:off x="1829800" y="28016200"/>
          <a:ext cx="646081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J60, Structure et role des nucléotides
08:08-08:25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980456</xdr:colOff>
      <xdr:row>70</xdr:row>
      <xdr:rowOff>12700</xdr:rowOff>
    </xdr:from>
    <xdr:to>
      <xdr:col>3</xdr:col>
      <xdr:colOff>515731</xdr:colOff>
      <xdr:row>70</xdr:row>
      <xdr:rowOff>387350</xdr:rowOff>
    </xdr:to>
    <xdr:sp macro="" textlink="">
      <xdr:nvSpPr>
        <xdr:cNvPr id="13928" name="Rechthoek: afgeronde hoeken 13927">
          <a:extLst>
            <a:ext uri="{FF2B5EF4-FFF2-40B4-BE49-F238E27FC236}">
              <a16:creationId xmlns:a16="http://schemas.microsoft.com/office/drawing/2014/main" id="{23E64E7A-7344-6A5F-B38F-1E16B584F22F}"/>
            </a:ext>
          </a:extLst>
        </xdr:cNvPr>
        <xdr:cNvSpPr/>
      </xdr:nvSpPr>
      <xdr:spPr>
        <a:xfrm>
          <a:off x="2475881" y="28016200"/>
          <a:ext cx="668750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J60, évolution des conceptions relatives au stress
08:25-08:43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71</xdr:row>
      <xdr:rowOff>12700</xdr:rowOff>
    </xdr:from>
    <xdr:to>
      <xdr:col>2</xdr:col>
      <xdr:colOff>283369</xdr:colOff>
      <xdr:row>71</xdr:row>
      <xdr:rowOff>387350</xdr:rowOff>
    </xdr:to>
    <xdr:sp macro="" textlink="">
      <xdr:nvSpPr>
        <xdr:cNvPr id="13929" name="Rechthoek: afgeronde hoeken 13928">
          <a:extLst>
            <a:ext uri="{FF2B5EF4-FFF2-40B4-BE49-F238E27FC236}">
              <a16:creationId xmlns:a16="http://schemas.microsoft.com/office/drawing/2014/main" id="{BABC6A2E-4CC7-698F-2527-414EB379902B}"/>
            </a:ext>
          </a:extLst>
        </xdr:cNvPr>
        <xdr:cNvSpPr/>
      </xdr:nvSpPr>
      <xdr:spPr>
        <a:xfrm>
          <a:off x="1495425" y="28416250"/>
          <a:ext cx="283369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J60, Appareil locomoteur 3
08:00-08:07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283369</xdr:colOff>
      <xdr:row>71</xdr:row>
      <xdr:rowOff>12700</xdr:rowOff>
    </xdr:from>
    <xdr:to>
      <xdr:col>2</xdr:col>
      <xdr:colOff>623411</xdr:colOff>
      <xdr:row>71</xdr:row>
      <xdr:rowOff>387350</xdr:rowOff>
    </xdr:to>
    <xdr:sp macro="" textlink="">
      <xdr:nvSpPr>
        <xdr:cNvPr id="13930" name="Rechthoek: afgeronde hoeken 13929">
          <a:extLst>
            <a:ext uri="{FF2B5EF4-FFF2-40B4-BE49-F238E27FC236}">
              <a16:creationId xmlns:a16="http://schemas.microsoft.com/office/drawing/2014/main" id="{FD361A34-F777-DA83-DA0F-8875F1591AA6}"/>
            </a:ext>
          </a:extLst>
        </xdr:cNvPr>
        <xdr:cNvSpPr/>
      </xdr:nvSpPr>
      <xdr:spPr>
        <a:xfrm>
          <a:off x="1778794" y="28416250"/>
          <a:ext cx="340042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J60, tests stats et méthodologie de choix de test 
08:07-08:16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623411</xdr:colOff>
      <xdr:row>71</xdr:row>
      <xdr:rowOff>12700</xdr:rowOff>
    </xdr:from>
    <xdr:to>
      <xdr:col>2</xdr:col>
      <xdr:colOff>1127807</xdr:colOff>
      <xdr:row>71</xdr:row>
      <xdr:rowOff>387350</xdr:rowOff>
    </xdr:to>
    <xdr:sp macro="" textlink="">
      <xdr:nvSpPr>
        <xdr:cNvPr id="13931" name="Rechthoek: afgeronde hoeken 13930">
          <a:extLst>
            <a:ext uri="{FF2B5EF4-FFF2-40B4-BE49-F238E27FC236}">
              <a16:creationId xmlns:a16="http://schemas.microsoft.com/office/drawing/2014/main" id="{021A02F6-745B-9364-D644-08C347D43B86}"/>
            </a:ext>
          </a:extLst>
        </xdr:cNvPr>
        <xdr:cNvSpPr/>
      </xdr:nvSpPr>
      <xdr:spPr>
        <a:xfrm>
          <a:off x="2118836" y="28416250"/>
          <a:ext cx="504396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J60, Signalisation intracellulaire part 2
08:16-08:29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1127808</xdr:colOff>
      <xdr:row>71</xdr:row>
      <xdr:rowOff>12700</xdr:rowOff>
    </xdr:from>
    <xdr:to>
      <xdr:col>3</xdr:col>
      <xdr:colOff>572405</xdr:colOff>
      <xdr:row>71</xdr:row>
      <xdr:rowOff>387350</xdr:rowOff>
    </xdr:to>
    <xdr:sp macro="" textlink="">
      <xdr:nvSpPr>
        <xdr:cNvPr id="13932" name="Rechthoek: afgeronde hoeken 13931">
          <a:extLst>
            <a:ext uri="{FF2B5EF4-FFF2-40B4-BE49-F238E27FC236}">
              <a16:creationId xmlns:a16="http://schemas.microsoft.com/office/drawing/2014/main" id="{A2747710-2DD2-CA6A-9391-E5768253FB27}"/>
            </a:ext>
          </a:extLst>
        </xdr:cNvPr>
        <xdr:cNvSpPr/>
      </xdr:nvSpPr>
      <xdr:spPr>
        <a:xfrm>
          <a:off x="2623233" y="28416250"/>
          <a:ext cx="578072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J60, Membre supérieur 2 
08:29-08:45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572405</xdr:colOff>
      <xdr:row>71</xdr:row>
      <xdr:rowOff>12700</xdr:rowOff>
    </xdr:from>
    <xdr:to>
      <xdr:col>3</xdr:col>
      <xdr:colOff>1003126</xdr:colOff>
      <xdr:row>71</xdr:row>
      <xdr:rowOff>387350</xdr:rowOff>
    </xdr:to>
    <xdr:sp macro="" textlink="">
      <xdr:nvSpPr>
        <xdr:cNvPr id="13933" name="Rechthoek: afgeronde hoeken 13932">
          <a:extLst>
            <a:ext uri="{FF2B5EF4-FFF2-40B4-BE49-F238E27FC236}">
              <a16:creationId xmlns:a16="http://schemas.microsoft.com/office/drawing/2014/main" id="{14376649-267F-E3EE-5602-9CE189F4C337}"/>
            </a:ext>
          </a:extLst>
        </xdr:cNvPr>
        <xdr:cNvSpPr/>
      </xdr:nvSpPr>
      <xdr:spPr>
        <a:xfrm>
          <a:off x="3201305" y="28416250"/>
          <a:ext cx="430721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J60, Appareil locomoteur 2
08:45-08:56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1003125</xdr:colOff>
      <xdr:row>71</xdr:row>
      <xdr:rowOff>12700</xdr:rowOff>
    </xdr:from>
    <xdr:to>
      <xdr:col>4</xdr:col>
      <xdr:colOff>544068</xdr:colOff>
      <xdr:row>71</xdr:row>
      <xdr:rowOff>387350</xdr:rowOff>
    </xdr:to>
    <xdr:sp macro="" textlink="">
      <xdr:nvSpPr>
        <xdr:cNvPr id="13934" name="Rechthoek: afgeronde hoeken 13933">
          <a:extLst>
            <a:ext uri="{FF2B5EF4-FFF2-40B4-BE49-F238E27FC236}">
              <a16:creationId xmlns:a16="http://schemas.microsoft.com/office/drawing/2014/main" id="{C57D1606-6AEF-1F07-CB6E-E8365DE7188C}"/>
            </a:ext>
          </a:extLst>
        </xdr:cNvPr>
        <xdr:cNvSpPr/>
      </xdr:nvSpPr>
      <xdr:spPr>
        <a:xfrm>
          <a:off x="3632025" y="28416250"/>
          <a:ext cx="674418" cy="374650"/>
        </a:xfrm>
        <a:prstGeom prst="roundRect">
          <a:avLst/>
        </a:prstGeom>
        <a:solidFill>
          <a:srgbClr val="FFFF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UE4, J60, Méthode d'évaluation du stress objectif 
08:56-09:14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72</xdr:row>
      <xdr:rowOff>12700</xdr:rowOff>
    </xdr:from>
    <xdr:to>
      <xdr:col>2</xdr:col>
      <xdr:colOff>351377</xdr:colOff>
      <xdr:row>72</xdr:row>
      <xdr:rowOff>387350</xdr:rowOff>
    </xdr:to>
    <xdr:sp macro="" textlink="">
      <xdr:nvSpPr>
        <xdr:cNvPr id="13935" name="Rechthoek: afgeronde hoeken 13934">
          <a:extLst>
            <a:ext uri="{FF2B5EF4-FFF2-40B4-BE49-F238E27FC236}">
              <a16:creationId xmlns:a16="http://schemas.microsoft.com/office/drawing/2014/main" id="{0AB5DA6E-A56F-AE59-8968-58A1F5B80DB9}"/>
            </a:ext>
          </a:extLst>
        </xdr:cNvPr>
        <xdr:cNvSpPr/>
      </xdr:nvSpPr>
      <xdr:spPr>
        <a:xfrm>
          <a:off x="1495425" y="28816300"/>
          <a:ext cx="351377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J60, stats descriptives
08:00-08:09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351377</xdr:colOff>
      <xdr:row>72</xdr:row>
      <xdr:rowOff>12700</xdr:rowOff>
    </xdr:from>
    <xdr:to>
      <xdr:col>2</xdr:col>
      <xdr:colOff>702754</xdr:colOff>
      <xdr:row>72</xdr:row>
      <xdr:rowOff>387350</xdr:rowOff>
    </xdr:to>
    <xdr:sp macro="" textlink="">
      <xdr:nvSpPr>
        <xdr:cNvPr id="13936" name="Rechthoek: afgeronde hoeken 13935">
          <a:extLst>
            <a:ext uri="{FF2B5EF4-FFF2-40B4-BE49-F238E27FC236}">
              <a16:creationId xmlns:a16="http://schemas.microsoft.com/office/drawing/2014/main" id="{9D2EEEDB-170B-BFB4-BA16-F4C589F12A50}"/>
            </a:ext>
          </a:extLst>
        </xdr:cNvPr>
        <xdr:cNvSpPr/>
      </xdr:nvSpPr>
      <xdr:spPr>
        <a:xfrm>
          <a:off x="1846802" y="28816300"/>
          <a:ext cx="351377" cy="374650"/>
        </a:xfrm>
        <a:prstGeom prst="roundRect">
          <a:avLst/>
        </a:prstGeom>
        <a:solidFill>
          <a:srgbClr val="CCF7F5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UE10, J60, Cou
08:09-08:18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702755</xdr:colOff>
      <xdr:row>72</xdr:row>
      <xdr:rowOff>12700</xdr:rowOff>
    </xdr:from>
    <xdr:to>
      <xdr:col>3</xdr:col>
      <xdr:colOff>170022</xdr:colOff>
      <xdr:row>72</xdr:row>
      <xdr:rowOff>387350</xdr:rowOff>
    </xdr:to>
    <xdr:sp macro="" textlink="">
      <xdr:nvSpPr>
        <xdr:cNvPr id="13937" name="Rechthoek: afgeronde hoeken 13936">
          <a:extLst>
            <a:ext uri="{FF2B5EF4-FFF2-40B4-BE49-F238E27FC236}">
              <a16:creationId xmlns:a16="http://schemas.microsoft.com/office/drawing/2014/main" id="{4F8DD7D7-BF6A-3ADC-82DF-926A2B171F19}"/>
            </a:ext>
          </a:extLst>
        </xdr:cNvPr>
        <xdr:cNvSpPr/>
      </xdr:nvSpPr>
      <xdr:spPr>
        <a:xfrm>
          <a:off x="2198180" y="28816300"/>
          <a:ext cx="600742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J60, Synthèse et dégradation des protéines
08:18-08:34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73</xdr:row>
      <xdr:rowOff>12700</xdr:rowOff>
    </xdr:from>
    <xdr:to>
      <xdr:col>2</xdr:col>
      <xdr:colOff>402384</xdr:colOff>
      <xdr:row>73</xdr:row>
      <xdr:rowOff>387350</xdr:rowOff>
    </xdr:to>
    <xdr:sp macro="" textlink="">
      <xdr:nvSpPr>
        <xdr:cNvPr id="13938" name="Rechthoek: afgeronde hoeken 13937">
          <a:extLst>
            <a:ext uri="{FF2B5EF4-FFF2-40B4-BE49-F238E27FC236}">
              <a16:creationId xmlns:a16="http://schemas.microsoft.com/office/drawing/2014/main" id="{E23C3853-92FB-CABE-0365-17A9B9C8212E}"/>
            </a:ext>
          </a:extLst>
        </xdr:cNvPr>
        <xdr:cNvSpPr/>
      </xdr:nvSpPr>
      <xdr:spPr>
        <a:xfrm>
          <a:off x="1495425" y="29216350"/>
          <a:ext cx="402384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J60, Prévention-Alla 
08:00-08:10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402384</xdr:colOff>
      <xdr:row>73</xdr:row>
      <xdr:rowOff>12700</xdr:rowOff>
    </xdr:from>
    <xdr:to>
      <xdr:col>2</xdr:col>
      <xdr:colOff>804768</xdr:colOff>
      <xdr:row>73</xdr:row>
      <xdr:rowOff>387350</xdr:rowOff>
    </xdr:to>
    <xdr:sp macro="" textlink="">
      <xdr:nvSpPr>
        <xdr:cNvPr id="13939" name="Rechthoek: afgeronde hoeken 13938">
          <a:extLst>
            <a:ext uri="{FF2B5EF4-FFF2-40B4-BE49-F238E27FC236}">
              <a16:creationId xmlns:a16="http://schemas.microsoft.com/office/drawing/2014/main" id="{21EB2FF7-08EA-AE2B-54A6-3502CC21877D}"/>
            </a:ext>
          </a:extLst>
        </xdr:cNvPr>
        <xdr:cNvSpPr/>
      </xdr:nvSpPr>
      <xdr:spPr>
        <a:xfrm>
          <a:off x="1897809" y="29216350"/>
          <a:ext cx="402384" cy="374650"/>
        </a:xfrm>
        <a:prstGeom prst="roundRect">
          <a:avLst/>
        </a:prstGeom>
        <a:solidFill>
          <a:srgbClr val="C7B8D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UE8, J60, Transports membranaires
08:10-08:21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74</xdr:row>
      <xdr:rowOff>12700</xdr:rowOff>
    </xdr:from>
    <xdr:to>
      <xdr:col>2</xdr:col>
      <xdr:colOff>204026</xdr:colOff>
      <xdr:row>74</xdr:row>
      <xdr:rowOff>387350</xdr:rowOff>
    </xdr:to>
    <xdr:sp macro="" textlink="">
      <xdr:nvSpPr>
        <xdr:cNvPr id="13940" name="Rechthoek: afgeronde hoeken 13939">
          <a:extLst>
            <a:ext uri="{FF2B5EF4-FFF2-40B4-BE49-F238E27FC236}">
              <a16:creationId xmlns:a16="http://schemas.microsoft.com/office/drawing/2014/main" id="{983D69D1-0C76-9E16-61A7-8BAB535FB054}"/>
            </a:ext>
          </a:extLst>
        </xdr:cNvPr>
        <xdr:cNvSpPr/>
      </xdr:nvSpPr>
      <xdr:spPr>
        <a:xfrm>
          <a:off x="1495425" y="29616400"/>
          <a:ext cx="204026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J60, Détection des rayonnements 
08:00-08:05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204026</xdr:colOff>
      <xdr:row>74</xdr:row>
      <xdr:rowOff>12700</xdr:rowOff>
    </xdr:from>
    <xdr:to>
      <xdr:col>2</xdr:col>
      <xdr:colOff>578073</xdr:colOff>
      <xdr:row>74</xdr:row>
      <xdr:rowOff>387350</xdr:rowOff>
    </xdr:to>
    <xdr:sp macro="" textlink="">
      <xdr:nvSpPr>
        <xdr:cNvPr id="13941" name="Rechthoek: afgeronde hoeken 13940">
          <a:extLst>
            <a:ext uri="{FF2B5EF4-FFF2-40B4-BE49-F238E27FC236}">
              <a16:creationId xmlns:a16="http://schemas.microsoft.com/office/drawing/2014/main" id="{8BA10498-E6E4-E27A-D87E-04B7F816A7AD}"/>
            </a:ext>
          </a:extLst>
        </xdr:cNvPr>
        <xdr:cNvSpPr/>
      </xdr:nvSpPr>
      <xdr:spPr>
        <a:xfrm>
          <a:off x="1699451" y="29616400"/>
          <a:ext cx="374047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J60, Atomes
08:05-08:15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578072</xdr:colOff>
      <xdr:row>74</xdr:row>
      <xdr:rowOff>12700</xdr:rowOff>
    </xdr:from>
    <xdr:to>
      <xdr:col>2</xdr:col>
      <xdr:colOff>1054132</xdr:colOff>
      <xdr:row>74</xdr:row>
      <xdr:rowOff>387350</xdr:rowOff>
    </xdr:to>
    <xdr:sp macro="" textlink="">
      <xdr:nvSpPr>
        <xdr:cNvPr id="13942" name="Rechthoek: afgeronde hoeken 13941">
          <a:extLst>
            <a:ext uri="{FF2B5EF4-FFF2-40B4-BE49-F238E27FC236}">
              <a16:creationId xmlns:a16="http://schemas.microsoft.com/office/drawing/2014/main" id="{5353B7FA-A9DF-8AB0-61AE-EAAA195ECB4D}"/>
            </a:ext>
          </a:extLst>
        </xdr:cNvPr>
        <xdr:cNvSpPr/>
      </xdr:nvSpPr>
      <xdr:spPr>
        <a:xfrm>
          <a:off x="2073497" y="29616400"/>
          <a:ext cx="476060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J60, Cellules souches
08:15-08:27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1054132</xdr:colOff>
      <xdr:row>74</xdr:row>
      <xdr:rowOff>12700</xdr:rowOff>
    </xdr:from>
    <xdr:to>
      <xdr:col>3</xdr:col>
      <xdr:colOff>493062</xdr:colOff>
      <xdr:row>74</xdr:row>
      <xdr:rowOff>387350</xdr:rowOff>
    </xdr:to>
    <xdr:sp macro="" textlink="">
      <xdr:nvSpPr>
        <xdr:cNvPr id="13943" name="Rechthoek: afgeronde hoeken 13942">
          <a:extLst>
            <a:ext uri="{FF2B5EF4-FFF2-40B4-BE49-F238E27FC236}">
              <a16:creationId xmlns:a16="http://schemas.microsoft.com/office/drawing/2014/main" id="{A027D71D-43F2-A962-0846-F4C8EA46A60C}"/>
            </a:ext>
          </a:extLst>
        </xdr:cNvPr>
        <xdr:cNvSpPr/>
      </xdr:nvSpPr>
      <xdr:spPr>
        <a:xfrm>
          <a:off x="2549557" y="29616400"/>
          <a:ext cx="572405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J60, Mouvement molécules de surface
08:27-08:43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3</xdr:col>
      <xdr:colOff>493062</xdr:colOff>
      <xdr:row>74</xdr:row>
      <xdr:rowOff>12700</xdr:rowOff>
    </xdr:from>
    <xdr:to>
      <xdr:col>3</xdr:col>
      <xdr:colOff>1110806</xdr:colOff>
      <xdr:row>74</xdr:row>
      <xdr:rowOff>387350</xdr:rowOff>
    </xdr:to>
    <xdr:sp macro="" textlink="">
      <xdr:nvSpPr>
        <xdr:cNvPr id="13944" name="Rechthoek: afgeronde hoeken 13943">
          <a:extLst>
            <a:ext uri="{FF2B5EF4-FFF2-40B4-BE49-F238E27FC236}">
              <a16:creationId xmlns:a16="http://schemas.microsoft.com/office/drawing/2014/main" id="{63E56237-5FE3-DD07-1C92-2DEBD98F7524}"/>
            </a:ext>
          </a:extLst>
        </xdr:cNvPr>
        <xdr:cNvSpPr/>
      </xdr:nvSpPr>
      <xdr:spPr>
        <a:xfrm>
          <a:off x="3121962" y="29616400"/>
          <a:ext cx="617744" cy="374650"/>
        </a:xfrm>
        <a:prstGeom prst="roundRect">
          <a:avLst/>
        </a:prstGeom>
        <a:solidFill>
          <a:srgbClr val="00B0F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UE6, J60, Molécules du vivant
08:43-08:59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75</xdr:row>
      <xdr:rowOff>12700</xdr:rowOff>
    </xdr:from>
    <xdr:to>
      <xdr:col>2</xdr:col>
      <xdr:colOff>226695</xdr:colOff>
      <xdr:row>75</xdr:row>
      <xdr:rowOff>387350</xdr:rowOff>
    </xdr:to>
    <xdr:sp macro="" textlink="">
      <xdr:nvSpPr>
        <xdr:cNvPr id="13945" name="Rechthoek: afgeronde hoeken 13944">
          <a:extLst>
            <a:ext uri="{FF2B5EF4-FFF2-40B4-BE49-F238E27FC236}">
              <a16:creationId xmlns:a16="http://schemas.microsoft.com/office/drawing/2014/main" id="{168D158D-C5DC-D32B-409F-681CDAD2E134}"/>
            </a:ext>
          </a:extLst>
        </xdr:cNvPr>
        <xdr:cNvSpPr/>
      </xdr:nvSpPr>
      <xdr:spPr>
        <a:xfrm>
          <a:off x="1495425" y="30016450"/>
          <a:ext cx="226695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J60, évaluation des procédures diagnostiques
08:00-08:06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226695</xdr:colOff>
      <xdr:row>75</xdr:row>
      <xdr:rowOff>12700</xdr:rowOff>
    </xdr:from>
    <xdr:to>
      <xdr:col>2</xdr:col>
      <xdr:colOff>685752</xdr:colOff>
      <xdr:row>75</xdr:row>
      <xdr:rowOff>387350</xdr:rowOff>
    </xdr:to>
    <xdr:sp macro="" textlink="">
      <xdr:nvSpPr>
        <xdr:cNvPr id="13946" name="Rechthoek: afgeronde hoeken 13945">
          <a:extLst>
            <a:ext uri="{FF2B5EF4-FFF2-40B4-BE49-F238E27FC236}">
              <a16:creationId xmlns:a16="http://schemas.microsoft.com/office/drawing/2014/main" id="{8AD97A17-487A-8FDC-914F-2E78C2307FF5}"/>
            </a:ext>
          </a:extLst>
        </xdr:cNvPr>
        <xdr:cNvSpPr/>
      </xdr:nvSpPr>
      <xdr:spPr>
        <a:xfrm>
          <a:off x="1722120" y="30016450"/>
          <a:ext cx="459057" cy="374650"/>
        </a:xfrm>
        <a:prstGeom prst="roundRect">
          <a:avLst/>
        </a:prstGeom>
        <a:solidFill>
          <a:srgbClr val="F88793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UE7, J60, Réparation de l'ADN
08:06-08:18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685752</xdr:colOff>
      <xdr:row>75</xdr:row>
      <xdr:rowOff>12700</xdr:rowOff>
    </xdr:from>
    <xdr:to>
      <xdr:col>2</xdr:col>
      <xdr:colOff>1059799</xdr:colOff>
      <xdr:row>75</xdr:row>
      <xdr:rowOff>387350</xdr:rowOff>
    </xdr:to>
    <xdr:sp macro="" textlink="">
      <xdr:nvSpPr>
        <xdr:cNvPr id="13947" name="Rechthoek: afgeronde hoeken 13946">
          <a:extLst>
            <a:ext uri="{FF2B5EF4-FFF2-40B4-BE49-F238E27FC236}">
              <a16:creationId xmlns:a16="http://schemas.microsoft.com/office/drawing/2014/main" id="{ED082548-00E2-5138-39FF-794B81207226}"/>
            </a:ext>
          </a:extLst>
        </xdr:cNvPr>
        <xdr:cNvSpPr/>
      </xdr:nvSpPr>
      <xdr:spPr>
        <a:xfrm>
          <a:off x="2181177" y="30016450"/>
          <a:ext cx="374047" cy="374650"/>
        </a:xfrm>
        <a:prstGeom prst="roundRect">
          <a:avLst/>
        </a:prstGeom>
        <a:solidFill>
          <a:srgbClr val="92D05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UE5, J60, Probabiltés
08:18-08:28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1059799</xdr:colOff>
      <xdr:row>75</xdr:row>
      <xdr:rowOff>12700</xdr:rowOff>
    </xdr:from>
    <xdr:to>
      <xdr:col>3</xdr:col>
      <xdr:colOff>549735</xdr:colOff>
      <xdr:row>75</xdr:row>
      <xdr:rowOff>387350</xdr:rowOff>
    </xdr:to>
    <xdr:sp macro="" textlink="">
      <xdr:nvSpPr>
        <xdr:cNvPr id="13948" name="Rechthoek: afgeronde hoeken 13947">
          <a:extLst>
            <a:ext uri="{FF2B5EF4-FFF2-40B4-BE49-F238E27FC236}">
              <a16:creationId xmlns:a16="http://schemas.microsoft.com/office/drawing/2014/main" id="{0184AD18-4E7A-BB66-824B-7C2E719AB5E5}"/>
            </a:ext>
          </a:extLst>
        </xdr:cNvPr>
        <xdr:cNvSpPr/>
      </xdr:nvSpPr>
      <xdr:spPr>
        <a:xfrm>
          <a:off x="2555224" y="30016450"/>
          <a:ext cx="623411" cy="374650"/>
        </a:xfrm>
        <a:prstGeom prst="roundRect">
          <a:avLst/>
        </a:prstGeom>
        <a:solidFill>
          <a:srgbClr val="FFC000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UE9, J60, Métrologie 
08:28-08:44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0</xdr:colOff>
      <xdr:row>76</xdr:row>
      <xdr:rowOff>12700</xdr:rowOff>
    </xdr:from>
    <xdr:to>
      <xdr:col>2</xdr:col>
      <xdr:colOff>459057</xdr:colOff>
      <xdr:row>76</xdr:row>
      <xdr:rowOff>387350</xdr:rowOff>
    </xdr:to>
    <xdr:sp macro="" textlink="">
      <xdr:nvSpPr>
        <xdr:cNvPr id="13949" name="Rechthoek: afgeronde hoeken 13948">
          <a:extLst>
            <a:ext uri="{FF2B5EF4-FFF2-40B4-BE49-F238E27FC236}">
              <a16:creationId xmlns:a16="http://schemas.microsoft.com/office/drawing/2014/main" id="{BA36FFD4-4243-7EC0-6220-08EBE0C7B92C}"/>
            </a:ext>
          </a:extLst>
        </xdr:cNvPr>
        <xdr:cNvSpPr/>
      </xdr:nvSpPr>
      <xdr:spPr>
        <a:xfrm>
          <a:off x="1495425" y="30416500"/>
          <a:ext cx="459057" cy="374650"/>
        </a:xfrm>
        <a:prstGeom prst="roundRect">
          <a:avLst/>
        </a:prstGeom>
        <a:solidFill>
          <a:srgbClr val="F7C168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UE14, J60, Dérivés carbonyles
08:00-08:12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  <xdr:twoCellAnchor>
    <xdr:from>
      <xdr:col>2</xdr:col>
      <xdr:colOff>459057</xdr:colOff>
      <xdr:row>76</xdr:row>
      <xdr:rowOff>12700</xdr:rowOff>
    </xdr:from>
    <xdr:to>
      <xdr:col>2</xdr:col>
      <xdr:colOff>1071133</xdr:colOff>
      <xdr:row>76</xdr:row>
      <xdr:rowOff>387350</xdr:rowOff>
    </xdr:to>
    <xdr:sp macro="" textlink="">
      <xdr:nvSpPr>
        <xdr:cNvPr id="13950" name="Rechthoek: afgeronde hoeken 13949">
          <a:extLst>
            <a:ext uri="{FF2B5EF4-FFF2-40B4-BE49-F238E27FC236}">
              <a16:creationId xmlns:a16="http://schemas.microsoft.com/office/drawing/2014/main" id="{C8376DCA-308A-05BE-FA5E-F4DFE25C6A6F}"/>
            </a:ext>
          </a:extLst>
        </xdr:cNvPr>
        <xdr:cNvSpPr/>
      </xdr:nvSpPr>
      <xdr:spPr>
        <a:xfrm>
          <a:off x="1954482" y="30416500"/>
          <a:ext cx="612076" cy="374650"/>
        </a:xfrm>
        <a:prstGeom prst="roundRect">
          <a:avLst/>
        </a:prstGeom>
        <a:solidFill>
          <a:srgbClr val="1EBBB6">
            <a:alpha val="8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>
              <a:solidFill>
                <a:srgbClr val="FF0A0A"/>
              </a:solidFill>
            </a:rPr>
            <a:t>UE 22, J60, Enjeux éthiques 
08:12-08:28</a:t>
          </a:r>
          <a:endParaRPr lang="nl-BE" sz="500" b="1">
            <a:solidFill>
              <a:srgbClr val="FF0A0A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9525</xdr:colOff>
          <xdr:row>1</xdr:row>
          <xdr:rowOff>323850</xdr:rowOff>
        </xdr:to>
        <xdr:sp macro="" textlink="">
          <xdr:nvSpPr>
            <xdr:cNvPr id="3073" name="Compteur Semaine" descr="Bouton Compteur. Modifie le nombre de semaines civiles dans la cellule C4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76200</xdr:colOff>
      <xdr:row>3</xdr:row>
      <xdr:rowOff>76199</xdr:rowOff>
    </xdr:from>
    <xdr:to>
      <xdr:col>1</xdr:col>
      <xdr:colOff>471532</xdr:colOff>
      <xdr:row>4</xdr:row>
      <xdr:rowOff>3174</xdr:rowOff>
    </xdr:to>
    <xdr:grpSp>
      <xdr:nvGrpSpPr>
        <xdr:cNvPr id="3" name="Icône Vue hebdomadaire" descr="&quot;&quot;" title="Icône Loup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>
          <a:grpSpLocks noChangeAspect="1"/>
        </xdr:cNvGrpSpPr>
      </xdr:nvGrpSpPr>
      <xdr:grpSpPr bwMode="auto">
        <a:xfrm>
          <a:off x="276225" y="723899"/>
          <a:ext cx="395332" cy="412750"/>
          <a:chOff x="318" y="23"/>
          <a:chExt cx="29" cy="29"/>
        </a:xfrm>
      </xdr:grpSpPr>
      <xdr:sp macro="" textlink="">
        <xdr:nvSpPr>
          <xdr:cNvPr id="4" name="Rectangle 4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18" y="2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" name="Forme libre 5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>
            <a:spLocks/>
          </xdr:cNvSpPr>
        </xdr:nvSpPr>
        <xdr:spPr bwMode="auto">
          <a:xfrm>
            <a:off x="318" y="23"/>
            <a:ext cx="29" cy="29"/>
          </a:xfrm>
          <a:custGeom>
            <a:avLst/>
            <a:gdLst>
              <a:gd name="T0" fmla="*/ 2053 w 3281"/>
              <a:gd name="T1" fmla="*/ 3 h 3281"/>
              <a:gd name="T2" fmla="*/ 2228 w 3281"/>
              <a:gd name="T3" fmla="*/ 27 h 3281"/>
              <a:gd name="T4" fmla="*/ 2395 w 3281"/>
              <a:gd name="T5" fmla="*/ 73 h 3281"/>
              <a:gd name="T6" fmla="*/ 2554 w 3281"/>
              <a:gd name="T7" fmla="*/ 140 h 3281"/>
              <a:gd name="T8" fmla="*/ 2700 w 3281"/>
              <a:gd name="T9" fmla="*/ 225 h 3281"/>
              <a:gd name="T10" fmla="*/ 2833 w 3281"/>
              <a:gd name="T11" fmla="*/ 329 h 3281"/>
              <a:gd name="T12" fmla="*/ 2952 w 3281"/>
              <a:gd name="T13" fmla="*/ 448 h 3281"/>
              <a:gd name="T14" fmla="*/ 3056 w 3281"/>
              <a:gd name="T15" fmla="*/ 581 h 3281"/>
              <a:gd name="T16" fmla="*/ 3141 w 3281"/>
              <a:gd name="T17" fmla="*/ 728 h 3281"/>
              <a:gd name="T18" fmla="*/ 3208 w 3281"/>
              <a:gd name="T19" fmla="*/ 886 h 3281"/>
              <a:gd name="T20" fmla="*/ 3254 w 3281"/>
              <a:gd name="T21" fmla="*/ 1053 h 3281"/>
              <a:gd name="T22" fmla="*/ 3277 w 3281"/>
              <a:gd name="T23" fmla="*/ 1228 h 3281"/>
              <a:gd name="T24" fmla="*/ 3277 w 3281"/>
              <a:gd name="T25" fmla="*/ 1409 h 3281"/>
              <a:gd name="T26" fmla="*/ 3254 w 3281"/>
              <a:gd name="T27" fmla="*/ 1584 h 3281"/>
              <a:gd name="T28" fmla="*/ 3208 w 3281"/>
              <a:gd name="T29" fmla="*/ 1751 h 3281"/>
              <a:gd name="T30" fmla="*/ 3141 w 3281"/>
              <a:gd name="T31" fmla="*/ 1909 h 3281"/>
              <a:gd name="T32" fmla="*/ 3056 w 3281"/>
              <a:gd name="T33" fmla="*/ 2055 h 3281"/>
              <a:gd name="T34" fmla="*/ 2952 w 3281"/>
              <a:gd name="T35" fmla="*/ 2189 h 3281"/>
              <a:gd name="T36" fmla="*/ 2833 w 3281"/>
              <a:gd name="T37" fmla="*/ 2308 h 3281"/>
              <a:gd name="T38" fmla="*/ 2700 w 3281"/>
              <a:gd name="T39" fmla="*/ 2411 h 3281"/>
              <a:gd name="T40" fmla="*/ 2554 w 3281"/>
              <a:gd name="T41" fmla="*/ 2497 h 3281"/>
              <a:gd name="T42" fmla="*/ 2395 w 3281"/>
              <a:gd name="T43" fmla="*/ 2564 h 3281"/>
              <a:gd name="T44" fmla="*/ 2228 w 3281"/>
              <a:gd name="T45" fmla="*/ 2610 h 3281"/>
              <a:gd name="T46" fmla="*/ 2053 w 3281"/>
              <a:gd name="T47" fmla="*/ 2633 h 3281"/>
              <a:gd name="T48" fmla="*/ 1875 w 3281"/>
              <a:gd name="T49" fmla="*/ 2634 h 3281"/>
              <a:gd name="T50" fmla="*/ 1704 w 3281"/>
              <a:gd name="T51" fmla="*/ 2611 h 3281"/>
              <a:gd name="T52" fmla="*/ 1542 w 3281"/>
              <a:gd name="T53" fmla="*/ 2567 h 3281"/>
              <a:gd name="T54" fmla="*/ 1389 w 3281"/>
              <a:gd name="T55" fmla="*/ 2504 h 3281"/>
              <a:gd name="T56" fmla="*/ 1245 w 3281"/>
              <a:gd name="T57" fmla="*/ 2422 h 3281"/>
              <a:gd name="T58" fmla="*/ 271 w 3281"/>
              <a:gd name="T59" fmla="*/ 3281 h 3281"/>
              <a:gd name="T60" fmla="*/ 906 w 3281"/>
              <a:gd name="T61" fmla="*/ 2104 h 3281"/>
              <a:gd name="T62" fmla="*/ 816 w 3281"/>
              <a:gd name="T63" fmla="*/ 1966 h 3281"/>
              <a:gd name="T64" fmla="*/ 743 w 3281"/>
              <a:gd name="T65" fmla="*/ 1817 h 3281"/>
              <a:gd name="T66" fmla="*/ 689 w 3281"/>
              <a:gd name="T67" fmla="*/ 1659 h 3281"/>
              <a:gd name="T68" fmla="*/ 656 w 3281"/>
              <a:gd name="T69" fmla="*/ 1492 h 3281"/>
              <a:gd name="T70" fmla="*/ 645 w 3281"/>
              <a:gd name="T71" fmla="*/ 1318 h 3281"/>
              <a:gd name="T72" fmla="*/ 657 w 3281"/>
              <a:gd name="T73" fmla="*/ 1139 h 3281"/>
              <a:gd name="T74" fmla="*/ 692 w 3281"/>
              <a:gd name="T75" fmla="*/ 968 h 3281"/>
              <a:gd name="T76" fmla="*/ 748 w 3281"/>
              <a:gd name="T77" fmla="*/ 806 h 3281"/>
              <a:gd name="T78" fmla="*/ 824 w 3281"/>
              <a:gd name="T79" fmla="*/ 653 h 3281"/>
              <a:gd name="T80" fmla="*/ 920 w 3281"/>
              <a:gd name="T81" fmla="*/ 513 h 3281"/>
              <a:gd name="T82" fmla="*/ 1031 w 3281"/>
              <a:gd name="T83" fmla="*/ 387 h 3281"/>
              <a:gd name="T84" fmla="*/ 1157 w 3281"/>
              <a:gd name="T85" fmla="*/ 276 h 3281"/>
              <a:gd name="T86" fmla="*/ 1297 w 3281"/>
              <a:gd name="T87" fmla="*/ 180 h 3281"/>
              <a:gd name="T88" fmla="*/ 1450 w 3281"/>
              <a:gd name="T89" fmla="*/ 104 h 3281"/>
              <a:gd name="T90" fmla="*/ 1612 w 3281"/>
              <a:gd name="T91" fmla="*/ 47 h 3281"/>
              <a:gd name="T92" fmla="*/ 1784 w 3281"/>
              <a:gd name="T93" fmla="*/ 12 h 3281"/>
              <a:gd name="T94" fmla="*/ 1963 w 3281"/>
              <a:gd name="T95" fmla="*/ 0 h 3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281" h="3281">
                <a:moveTo>
                  <a:pt x="1963" y="0"/>
                </a:moveTo>
                <a:lnTo>
                  <a:pt x="2053" y="3"/>
                </a:lnTo>
                <a:lnTo>
                  <a:pt x="2142" y="12"/>
                </a:lnTo>
                <a:lnTo>
                  <a:pt x="2228" y="27"/>
                </a:lnTo>
                <a:lnTo>
                  <a:pt x="2313" y="47"/>
                </a:lnTo>
                <a:lnTo>
                  <a:pt x="2395" y="73"/>
                </a:lnTo>
                <a:lnTo>
                  <a:pt x="2475" y="104"/>
                </a:lnTo>
                <a:lnTo>
                  <a:pt x="2554" y="140"/>
                </a:lnTo>
                <a:lnTo>
                  <a:pt x="2628" y="180"/>
                </a:lnTo>
                <a:lnTo>
                  <a:pt x="2700" y="225"/>
                </a:lnTo>
                <a:lnTo>
                  <a:pt x="2768" y="276"/>
                </a:lnTo>
                <a:lnTo>
                  <a:pt x="2833" y="329"/>
                </a:lnTo>
                <a:lnTo>
                  <a:pt x="2894" y="387"/>
                </a:lnTo>
                <a:lnTo>
                  <a:pt x="2952" y="448"/>
                </a:lnTo>
                <a:lnTo>
                  <a:pt x="3005" y="513"/>
                </a:lnTo>
                <a:lnTo>
                  <a:pt x="3056" y="581"/>
                </a:lnTo>
                <a:lnTo>
                  <a:pt x="3101" y="653"/>
                </a:lnTo>
                <a:lnTo>
                  <a:pt x="3141" y="728"/>
                </a:lnTo>
                <a:lnTo>
                  <a:pt x="3177" y="806"/>
                </a:lnTo>
                <a:lnTo>
                  <a:pt x="3208" y="886"/>
                </a:lnTo>
                <a:lnTo>
                  <a:pt x="3234" y="968"/>
                </a:lnTo>
                <a:lnTo>
                  <a:pt x="3254" y="1053"/>
                </a:lnTo>
                <a:lnTo>
                  <a:pt x="3269" y="1139"/>
                </a:lnTo>
                <a:lnTo>
                  <a:pt x="3277" y="1228"/>
                </a:lnTo>
                <a:lnTo>
                  <a:pt x="3281" y="1318"/>
                </a:lnTo>
                <a:lnTo>
                  <a:pt x="3277" y="1409"/>
                </a:lnTo>
                <a:lnTo>
                  <a:pt x="3269" y="1497"/>
                </a:lnTo>
                <a:lnTo>
                  <a:pt x="3254" y="1584"/>
                </a:lnTo>
                <a:lnTo>
                  <a:pt x="3234" y="1669"/>
                </a:lnTo>
                <a:lnTo>
                  <a:pt x="3208" y="1751"/>
                </a:lnTo>
                <a:lnTo>
                  <a:pt x="3177" y="1831"/>
                </a:lnTo>
                <a:lnTo>
                  <a:pt x="3141" y="1909"/>
                </a:lnTo>
                <a:lnTo>
                  <a:pt x="3101" y="1984"/>
                </a:lnTo>
                <a:lnTo>
                  <a:pt x="3056" y="2055"/>
                </a:lnTo>
                <a:lnTo>
                  <a:pt x="3005" y="2124"/>
                </a:lnTo>
                <a:lnTo>
                  <a:pt x="2952" y="2189"/>
                </a:lnTo>
                <a:lnTo>
                  <a:pt x="2894" y="2250"/>
                </a:lnTo>
                <a:lnTo>
                  <a:pt x="2833" y="2308"/>
                </a:lnTo>
                <a:lnTo>
                  <a:pt x="2768" y="2361"/>
                </a:lnTo>
                <a:lnTo>
                  <a:pt x="2700" y="2411"/>
                </a:lnTo>
                <a:lnTo>
                  <a:pt x="2628" y="2457"/>
                </a:lnTo>
                <a:lnTo>
                  <a:pt x="2554" y="2497"/>
                </a:lnTo>
                <a:lnTo>
                  <a:pt x="2475" y="2533"/>
                </a:lnTo>
                <a:lnTo>
                  <a:pt x="2395" y="2564"/>
                </a:lnTo>
                <a:lnTo>
                  <a:pt x="2313" y="2589"/>
                </a:lnTo>
                <a:lnTo>
                  <a:pt x="2228" y="2610"/>
                </a:lnTo>
                <a:lnTo>
                  <a:pt x="2142" y="2624"/>
                </a:lnTo>
                <a:lnTo>
                  <a:pt x="2053" y="2633"/>
                </a:lnTo>
                <a:lnTo>
                  <a:pt x="1963" y="2636"/>
                </a:lnTo>
                <a:lnTo>
                  <a:pt x="1875" y="2634"/>
                </a:lnTo>
                <a:lnTo>
                  <a:pt x="1789" y="2625"/>
                </a:lnTo>
                <a:lnTo>
                  <a:pt x="1704" y="2611"/>
                </a:lnTo>
                <a:lnTo>
                  <a:pt x="1622" y="2592"/>
                </a:lnTo>
                <a:lnTo>
                  <a:pt x="1542" y="2567"/>
                </a:lnTo>
                <a:lnTo>
                  <a:pt x="1464" y="2538"/>
                </a:lnTo>
                <a:lnTo>
                  <a:pt x="1389" y="2504"/>
                </a:lnTo>
                <a:lnTo>
                  <a:pt x="1315" y="2465"/>
                </a:lnTo>
                <a:lnTo>
                  <a:pt x="1245" y="2422"/>
                </a:lnTo>
                <a:lnTo>
                  <a:pt x="1177" y="2375"/>
                </a:lnTo>
                <a:lnTo>
                  <a:pt x="271" y="3281"/>
                </a:lnTo>
                <a:lnTo>
                  <a:pt x="0" y="3010"/>
                </a:lnTo>
                <a:lnTo>
                  <a:pt x="906" y="2104"/>
                </a:lnTo>
                <a:lnTo>
                  <a:pt x="859" y="2036"/>
                </a:lnTo>
                <a:lnTo>
                  <a:pt x="816" y="1966"/>
                </a:lnTo>
                <a:lnTo>
                  <a:pt x="777" y="1892"/>
                </a:lnTo>
                <a:lnTo>
                  <a:pt x="743" y="1817"/>
                </a:lnTo>
                <a:lnTo>
                  <a:pt x="714" y="1739"/>
                </a:lnTo>
                <a:lnTo>
                  <a:pt x="689" y="1659"/>
                </a:lnTo>
                <a:lnTo>
                  <a:pt x="670" y="1576"/>
                </a:lnTo>
                <a:lnTo>
                  <a:pt x="656" y="1492"/>
                </a:lnTo>
                <a:lnTo>
                  <a:pt x="648" y="1406"/>
                </a:lnTo>
                <a:lnTo>
                  <a:pt x="645" y="1318"/>
                </a:lnTo>
                <a:lnTo>
                  <a:pt x="648" y="1228"/>
                </a:lnTo>
                <a:lnTo>
                  <a:pt x="657" y="1139"/>
                </a:lnTo>
                <a:lnTo>
                  <a:pt x="671" y="1053"/>
                </a:lnTo>
                <a:lnTo>
                  <a:pt x="692" y="968"/>
                </a:lnTo>
                <a:lnTo>
                  <a:pt x="717" y="886"/>
                </a:lnTo>
                <a:lnTo>
                  <a:pt x="748" y="806"/>
                </a:lnTo>
                <a:lnTo>
                  <a:pt x="784" y="728"/>
                </a:lnTo>
                <a:lnTo>
                  <a:pt x="824" y="653"/>
                </a:lnTo>
                <a:lnTo>
                  <a:pt x="870" y="581"/>
                </a:lnTo>
                <a:lnTo>
                  <a:pt x="920" y="513"/>
                </a:lnTo>
                <a:lnTo>
                  <a:pt x="973" y="448"/>
                </a:lnTo>
                <a:lnTo>
                  <a:pt x="1031" y="387"/>
                </a:lnTo>
                <a:lnTo>
                  <a:pt x="1092" y="329"/>
                </a:lnTo>
                <a:lnTo>
                  <a:pt x="1157" y="276"/>
                </a:lnTo>
                <a:lnTo>
                  <a:pt x="1226" y="225"/>
                </a:lnTo>
                <a:lnTo>
                  <a:pt x="1297" y="180"/>
                </a:lnTo>
                <a:lnTo>
                  <a:pt x="1372" y="140"/>
                </a:lnTo>
                <a:lnTo>
                  <a:pt x="1450" y="104"/>
                </a:lnTo>
                <a:lnTo>
                  <a:pt x="1530" y="73"/>
                </a:lnTo>
                <a:lnTo>
                  <a:pt x="1612" y="47"/>
                </a:lnTo>
                <a:lnTo>
                  <a:pt x="1697" y="27"/>
                </a:lnTo>
                <a:lnTo>
                  <a:pt x="1784" y="12"/>
                </a:lnTo>
                <a:lnTo>
                  <a:pt x="1872" y="3"/>
                </a:lnTo>
                <a:lnTo>
                  <a:pt x="1963" y="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0">
            <a:solidFill>
              <a:srgbClr val="BFFF95"/>
            </a:solidFill>
            <a:prstDash val="solid"/>
            <a:round/>
            <a:headEnd/>
            <a:tailEnd/>
          </a:ln>
        </xdr:spPr>
      </xdr:sp>
      <xdr:sp macro="" textlink="">
        <xdr:nvSpPr>
          <xdr:cNvPr id="6" name="Forme libre 6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>
            <a:spLocks/>
          </xdr:cNvSpPr>
        </xdr:nvSpPr>
        <xdr:spPr bwMode="auto">
          <a:xfrm>
            <a:off x="326" y="26"/>
            <a:ext cx="18" cy="18"/>
          </a:xfrm>
          <a:custGeom>
            <a:avLst/>
            <a:gdLst>
              <a:gd name="T0" fmla="*/ 1102 w 2043"/>
              <a:gd name="T1" fmla="*/ 3 h 2043"/>
              <a:gd name="T2" fmla="*/ 1256 w 2043"/>
              <a:gd name="T3" fmla="*/ 27 h 2043"/>
              <a:gd name="T4" fmla="*/ 1402 w 2043"/>
              <a:gd name="T5" fmla="*/ 73 h 2043"/>
              <a:gd name="T6" fmla="*/ 1537 w 2043"/>
              <a:gd name="T7" fmla="*/ 139 h 2043"/>
              <a:gd name="T8" fmla="*/ 1661 w 2043"/>
              <a:gd name="T9" fmla="*/ 224 h 2043"/>
              <a:gd name="T10" fmla="*/ 1770 w 2043"/>
              <a:gd name="T11" fmla="*/ 326 h 2043"/>
              <a:gd name="T12" fmla="*/ 1863 w 2043"/>
              <a:gd name="T13" fmla="*/ 442 h 2043"/>
              <a:gd name="T14" fmla="*/ 1939 w 2043"/>
              <a:gd name="T15" fmla="*/ 573 h 2043"/>
              <a:gd name="T16" fmla="*/ 1995 w 2043"/>
              <a:gd name="T17" fmla="*/ 713 h 2043"/>
              <a:gd name="T18" fmla="*/ 2031 w 2043"/>
              <a:gd name="T19" fmla="*/ 863 h 2043"/>
              <a:gd name="T20" fmla="*/ 2043 w 2043"/>
              <a:gd name="T21" fmla="*/ 1021 h 2043"/>
              <a:gd name="T22" fmla="*/ 2031 w 2043"/>
              <a:gd name="T23" fmla="*/ 1180 h 2043"/>
              <a:gd name="T24" fmla="*/ 1995 w 2043"/>
              <a:gd name="T25" fmla="*/ 1330 h 2043"/>
              <a:gd name="T26" fmla="*/ 1939 w 2043"/>
              <a:gd name="T27" fmla="*/ 1470 h 2043"/>
              <a:gd name="T28" fmla="*/ 1863 w 2043"/>
              <a:gd name="T29" fmla="*/ 1600 h 2043"/>
              <a:gd name="T30" fmla="*/ 1770 w 2043"/>
              <a:gd name="T31" fmla="*/ 1717 h 2043"/>
              <a:gd name="T32" fmla="*/ 1661 w 2043"/>
              <a:gd name="T33" fmla="*/ 1819 h 2043"/>
              <a:gd name="T34" fmla="*/ 1537 w 2043"/>
              <a:gd name="T35" fmla="*/ 1903 h 2043"/>
              <a:gd name="T36" fmla="*/ 1402 w 2043"/>
              <a:gd name="T37" fmla="*/ 1970 h 2043"/>
              <a:gd name="T38" fmla="*/ 1256 w 2043"/>
              <a:gd name="T39" fmla="*/ 2016 h 2043"/>
              <a:gd name="T40" fmla="*/ 1102 w 2043"/>
              <a:gd name="T41" fmla="*/ 2040 h 2043"/>
              <a:gd name="T42" fmla="*/ 941 w 2043"/>
              <a:gd name="T43" fmla="*/ 2040 h 2043"/>
              <a:gd name="T44" fmla="*/ 787 w 2043"/>
              <a:gd name="T45" fmla="*/ 2016 h 2043"/>
              <a:gd name="T46" fmla="*/ 642 w 2043"/>
              <a:gd name="T47" fmla="*/ 1970 h 2043"/>
              <a:gd name="T48" fmla="*/ 506 w 2043"/>
              <a:gd name="T49" fmla="*/ 1903 h 2043"/>
              <a:gd name="T50" fmla="*/ 382 w 2043"/>
              <a:gd name="T51" fmla="*/ 1819 h 2043"/>
              <a:gd name="T52" fmla="*/ 273 w 2043"/>
              <a:gd name="T53" fmla="*/ 1717 h 2043"/>
              <a:gd name="T54" fmla="*/ 180 w 2043"/>
              <a:gd name="T55" fmla="*/ 1600 h 2043"/>
              <a:gd name="T56" fmla="*/ 104 w 2043"/>
              <a:gd name="T57" fmla="*/ 1470 h 2043"/>
              <a:gd name="T58" fmla="*/ 47 w 2043"/>
              <a:gd name="T59" fmla="*/ 1330 h 2043"/>
              <a:gd name="T60" fmla="*/ 12 w 2043"/>
              <a:gd name="T61" fmla="*/ 1180 h 2043"/>
              <a:gd name="T62" fmla="*/ 0 w 2043"/>
              <a:gd name="T63" fmla="*/ 1021 h 2043"/>
              <a:gd name="T64" fmla="*/ 12 w 2043"/>
              <a:gd name="T65" fmla="*/ 863 h 2043"/>
              <a:gd name="T66" fmla="*/ 47 w 2043"/>
              <a:gd name="T67" fmla="*/ 713 h 2043"/>
              <a:gd name="T68" fmla="*/ 104 w 2043"/>
              <a:gd name="T69" fmla="*/ 573 h 2043"/>
              <a:gd name="T70" fmla="*/ 180 w 2043"/>
              <a:gd name="T71" fmla="*/ 442 h 2043"/>
              <a:gd name="T72" fmla="*/ 273 w 2043"/>
              <a:gd name="T73" fmla="*/ 326 h 2043"/>
              <a:gd name="T74" fmla="*/ 382 w 2043"/>
              <a:gd name="T75" fmla="*/ 224 h 2043"/>
              <a:gd name="T76" fmla="*/ 506 w 2043"/>
              <a:gd name="T77" fmla="*/ 139 h 2043"/>
              <a:gd name="T78" fmla="*/ 642 w 2043"/>
              <a:gd name="T79" fmla="*/ 73 h 2043"/>
              <a:gd name="T80" fmla="*/ 787 w 2043"/>
              <a:gd name="T81" fmla="*/ 27 h 2043"/>
              <a:gd name="T82" fmla="*/ 941 w 2043"/>
              <a:gd name="T83" fmla="*/ 3 h 20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2043" h="2043">
                <a:moveTo>
                  <a:pt x="1022" y="0"/>
                </a:moveTo>
                <a:lnTo>
                  <a:pt x="1102" y="3"/>
                </a:lnTo>
                <a:lnTo>
                  <a:pt x="1180" y="12"/>
                </a:lnTo>
                <a:lnTo>
                  <a:pt x="1256" y="27"/>
                </a:lnTo>
                <a:lnTo>
                  <a:pt x="1330" y="48"/>
                </a:lnTo>
                <a:lnTo>
                  <a:pt x="1402" y="73"/>
                </a:lnTo>
                <a:lnTo>
                  <a:pt x="1471" y="104"/>
                </a:lnTo>
                <a:lnTo>
                  <a:pt x="1537" y="139"/>
                </a:lnTo>
                <a:lnTo>
                  <a:pt x="1601" y="180"/>
                </a:lnTo>
                <a:lnTo>
                  <a:pt x="1661" y="224"/>
                </a:lnTo>
                <a:lnTo>
                  <a:pt x="1717" y="273"/>
                </a:lnTo>
                <a:lnTo>
                  <a:pt x="1770" y="326"/>
                </a:lnTo>
                <a:lnTo>
                  <a:pt x="1819" y="382"/>
                </a:lnTo>
                <a:lnTo>
                  <a:pt x="1863" y="442"/>
                </a:lnTo>
                <a:lnTo>
                  <a:pt x="1904" y="506"/>
                </a:lnTo>
                <a:lnTo>
                  <a:pt x="1939" y="573"/>
                </a:lnTo>
                <a:lnTo>
                  <a:pt x="1970" y="642"/>
                </a:lnTo>
                <a:lnTo>
                  <a:pt x="1995" y="713"/>
                </a:lnTo>
                <a:lnTo>
                  <a:pt x="2016" y="787"/>
                </a:lnTo>
                <a:lnTo>
                  <a:pt x="2031" y="863"/>
                </a:lnTo>
                <a:lnTo>
                  <a:pt x="2040" y="941"/>
                </a:lnTo>
                <a:lnTo>
                  <a:pt x="2043" y="1021"/>
                </a:lnTo>
                <a:lnTo>
                  <a:pt x="2040" y="1102"/>
                </a:lnTo>
                <a:lnTo>
                  <a:pt x="2031" y="1180"/>
                </a:lnTo>
                <a:lnTo>
                  <a:pt x="2016" y="1256"/>
                </a:lnTo>
                <a:lnTo>
                  <a:pt x="1995" y="1330"/>
                </a:lnTo>
                <a:lnTo>
                  <a:pt x="1970" y="1401"/>
                </a:lnTo>
                <a:lnTo>
                  <a:pt x="1939" y="1470"/>
                </a:lnTo>
                <a:lnTo>
                  <a:pt x="1904" y="1537"/>
                </a:lnTo>
                <a:lnTo>
                  <a:pt x="1863" y="1600"/>
                </a:lnTo>
                <a:lnTo>
                  <a:pt x="1819" y="1661"/>
                </a:lnTo>
                <a:lnTo>
                  <a:pt x="1770" y="1717"/>
                </a:lnTo>
                <a:lnTo>
                  <a:pt x="1717" y="1770"/>
                </a:lnTo>
                <a:lnTo>
                  <a:pt x="1661" y="1819"/>
                </a:lnTo>
                <a:lnTo>
                  <a:pt x="1601" y="1863"/>
                </a:lnTo>
                <a:lnTo>
                  <a:pt x="1537" y="1903"/>
                </a:lnTo>
                <a:lnTo>
                  <a:pt x="1471" y="1939"/>
                </a:lnTo>
                <a:lnTo>
                  <a:pt x="1402" y="1970"/>
                </a:lnTo>
                <a:lnTo>
                  <a:pt x="1330" y="1995"/>
                </a:lnTo>
                <a:lnTo>
                  <a:pt x="1256" y="2016"/>
                </a:lnTo>
                <a:lnTo>
                  <a:pt x="1180" y="2031"/>
                </a:lnTo>
                <a:lnTo>
                  <a:pt x="1102" y="2040"/>
                </a:lnTo>
                <a:lnTo>
                  <a:pt x="1022" y="2043"/>
                </a:lnTo>
                <a:lnTo>
                  <a:pt x="941" y="2040"/>
                </a:lnTo>
                <a:lnTo>
                  <a:pt x="863" y="2031"/>
                </a:lnTo>
                <a:lnTo>
                  <a:pt x="787" y="2016"/>
                </a:lnTo>
                <a:lnTo>
                  <a:pt x="713" y="1995"/>
                </a:lnTo>
                <a:lnTo>
                  <a:pt x="642" y="1970"/>
                </a:lnTo>
                <a:lnTo>
                  <a:pt x="573" y="1939"/>
                </a:lnTo>
                <a:lnTo>
                  <a:pt x="506" y="1903"/>
                </a:lnTo>
                <a:lnTo>
                  <a:pt x="443" y="1863"/>
                </a:lnTo>
                <a:lnTo>
                  <a:pt x="382" y="1819"/>
                </a:lnTo>
                <a:lnTo>
                  <a:pt x="326" y="1770"/>
                </a:lnTo>
                <a:lnTo>
                  <a:pt x="273" y="1717"/>
                </a:lnTo>
                <a:lnTo>
                  <a:pt x="224" y="1661"/>
                </a:lnTo>
                <a:lnTo>
                  <a:pt x="180" y="1600"/>
                </a:lnTo>
                <a:lnTo>
                  <a:pt x="139" y="1537"/>
                </a:lnTo>
                <a:lnTo>
                  <a:pt x="104" y="1470"/>
                </a:lnTo>
                <a:lnTo>
                  <a:pt x="73" y="1401"/>
                </a:lnTo>
                <a:lnTo>
                  <a:pt x="47" y="1330"/>
                </a:lnTo>
                <a:lnTo>
                  <a:pt x="27" y="1256"/>
                </a:lnTo>
                <a:lnTo>
                  <a:pt x="12" y="1180"/>
                </a:lnTo>
                <a:lnTo>
                  <a:pt x="3" y="1102"/>
                </a:lnTo>
                <a:lnTo>
                  <a:pt x="0" y="1021"/>
                </a:lnTo>
                <a:lnTo>
                  <a:pt x="3" y="941"/>
                </a:lnTo>
                <a:lnTo>
                  <a:pt x="12" y="863"/>
                </a:lnTo>
                <a:lnTo>
                  <a:pt x="27" y="787"/>
                </a:lnTo>
                <a:lnTo>
                  <a:pt x="47" y="713"/>
                </a:lnTo>
                <a:lnTo>
                  <a:pt x="73" y="642"/>
                </a:lnTo>
                <a:lnTo>
                  <a:pt x="104" y="573"/>
                </a:lnTo>
                <a:lnTo>
                  <a:pt x="139" y="506"/>
                </a:lnTo>
                <a:lnTo>
                  <a:pt x="180" y="442"/>
                </a:lnTo>
                <a:lnTo>
                  <a:pt x="224" y="382"/>
                </a:lnTo>
                <a:lnTo>
                  <a:pt x="273" y="326"/>
                </a:lnTo>
                <a:lnTo>
                  <a:pt x="326" y="273"/>
                </a:lnTo>
                <a:lnTo>
                  <a:pt x="382" y="224"/>
                </a:lnTo>
                <a:lnTo>
                  <a:pt x="443" y="180"/>
                </a:lnTo>
                <a:lnTo>
                  <a:pt x="506" y="139"/>
                </a:lnTo>
                <a:lnTo>
                  <a:pt x="573" y="104"/>
                </a:lnTo>
                <a:lnTo>
                  <a:pt x="642" y="73"/>
                </a:lnTo>
                <a:lnTo>
                  <a:pt x="713" y="48"/>
                </a:lnTo>
                <a:lnTo>
                  <a:pt x="787" y="27"/>
                </a:lnTo>
                <a:lnTo>
                  <a:pt x="863" y="12"/>
                </a:lnTo>
                <a:lnTo>
                  <a:pt x="941" y="3"/>
                </a:lnTo>
                <a:lnTo>
                  <a:pt x="1022" y="0"/>
                </a:lnTo>
                <a:close/>
              </a:path>
            </a:pathLst>
          </a:custGeom>
          <a:solidFill>
            <a:schemeClr val="bg1"/>
          </a:solidFill>
          <a:ln w="0">
            <a:solidFill>
              <a:srgbClr val="FFFFFF"/>
            </a:solidFill>
            <a:prstDash val="solid"/>
            <a:round/>
            <a:headEnd/>
            <a:tailEnd/>
          </a:ln>
        </xdr:spPr>
      </xdr:sp>
      <xdr:sp macro="" textlink="">
        <xdr:nvSpPr>
          <xdr:cNvPr id="7" name="Forme libre 7">
            <a:extLst>
              <a:ext uri="{FF2B5EF4-FFF2-40B4-BE49-F238E27FC236}">
                <a16:creationId xmlns:a16="http://schemas.microsoft.com/office/drawing/2014/main" id="{00000000-0008-0000-0100-000007000000}"/>
              </a:ext>
            </a:extLst>
          </xdr:cNvPr>
          <xdr:cNvSpPr>
            <a:spLocks/>
          </xdr:cNvSpPr>
        </xdr:nvSpPr>
        <xdr:spPr bwMode="auto">
          <a:xfrm>
            <a:off x="329" y="32"/>
            <a:ext cx="4" cy="12"/>
          </a:xfrm>
          <a:custGeom>
            <a:avLst/>
            <a:gdLst>
              <a:gd name="T0" fmla="*/ 321 w 482"/>
              <a:gd name="T1" fmla="*/ 0 h 1315"/>
              <a:gd name="T2" fmla="*/ 482 w 482"/>
              <a:gd name="T3" fmla="*/ 0 h 1315"/>
              <a:gd name="T4" fmla="*/ 482 w 482"/>
              <a:gd name="T5" fmla="*/ 1315 h 1315"/>
              <a:gd name="T6" fmla="*/ 414 w 482"/>
              <a:gd name="T7" fmla="*/ 1298 h 1315"/>
              <a:gd name="T8" fmla="*/ 347 w 482"/>
              <a:gd name="T9" fmla="*/ 1277 h 1315"/>
              <a:gd name="T10" fmla="*/ 282 w 482"/>
              <a:gd name="T11" fmla="*/ 1251 h 1315"/>
              <a:gd name="T12" fmla="*/ 282 w 482"/>
              <a:gd name="T13" fmla="*/ 360 h 1315"/>
              <a:gd name="T14" fmla="*/ 0 w 482"/>
              <a:gd name="T15" fmla="*/ 360 h 1315"/>
              <a:gd name="T16" fmla="*/ 0 w 482"/>
              <a:gd name="T17" fmla="*/ 217 h 1315"/>
              <a:gd name="T18" fmla="*/ 51 w 482"/>
              <a:gd name="T19" fmla="*/ 216 h 1315"/>
              <a:gd name="T20" fmla="*/ 97 w 482"/>
              <a:gd name="T21" fmla="*/ 212 h 1315"/>
              <a:gd name="T22" fmla="*/ 139 w 482"/>
              <a:gd name="T23" fmla="*/ 205 h 1315"/>
              <a:gd name="T24" fmla="*/ 176 w 482"/>
              <a:gd name="T25" fmla="*/ 197 h 1315"/>
              <a:gd name="T26" fmla="*/ 208 w 482"/>
              <a:gd name="T27" fmla="*/ 185 h 1315"/>
              <a:gd name="T28" fmla="*/ 236 w 482"/>
              <a:gd name="T29" fmla="*/ 172 h 1315"/>
              <a:gd name="T30" fmla="*/ 256 w 482"/>
              <a:gd name="T31" fmla="*/ 157 h 1315"/>
              <a:gd name="T32" fmla="*/ 273 w 482"/>
              <a:gd name="T33" fmla="*/ 139 h 1315"/>
              <a:gd name="T34" fmla="*/ 288 w 482"/>
              <a:gd name="T35" fmla="*/ 118 h 1315"/>
              <a:gd name="T36" fmla="*/ 300 w 482"/>
              <a:gd name="T37" fmla="*/ 93 h 1315"/>
              <a:gd name="T38" fmla="*/ 310 w 482"/>
              <a:gd name="T39" fmla="*/ 66 h 1315"/>
              <a:gd name="T40" fmla="*/ 317 w 482"/>
              <a:gd name="T41" fmla="*/ 34 h 1315"/>
              <a:gd name="T42" fmla="*/ 321 w 482"/>
              <a:gd name="T43" fmla="*/ 0 h 1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82" h="1315">
                <a:moveTo>
                  <a:pt x="321" y="0"/>
                </a:moveTo>
                <a:lnTo>
                  <a:pt x="482" y="0"/>
                </a:lnTo>
                <a:lnTo>
                  <a:pt x="482" y="1315"/>
                </a:lnTo>
                <a:lnTo>
                  <a:pt x="414" y="1298"/>
                </a:lnTo>
                <a:lnTo>
                  <a:pt x="347" y="1277"/>
                </a:lnTo>
                <a:lnTo>
                  <a:pt x="282" y="1251"/>
                </a:lnTo>
                <a:lnTo>
                  <a:pt x="282" y="360"/>
                </a:lnTo>
                <a:lnTo>
                  <a:pt x="0" y="360"/>
                </a:lnTo>
                <a:lnTo>
                  <a:pt x="0" y="217"/>
                </a:lnTo>
                <a:lnTo>
                  <a:pt x="51" y="216"/>
                </a:lnTo>
                <a:lnTo>
                  <a:pt x="97" y="212"/>
                </a:lnTo>
                <a:lnTo>
                  <a:pt x="139" y="205"/>
                </a:lnTo>
                <a:lnTo>
                  <a:pt x="176" y="197"/>
                </a:lnTo>
                <a:lnTo>
                  <a:pt x="208" y="185"/>
                </a:lnTo>
                <a:lnTo>
                  <a:pt x="236" y="172"/>
                </a:lnTo>
                <a:lnTo>
                  <a:pt x="256" y="157"/>
                </a:lnTo>
                <a:lnTo>
                  <a:pt x="273" y="139"/>
                </a:lnTo>
                <a:lnTo>
                  <a:pt x="288" y="118"/>
                </a:lnTo>
                <a:lnTo>
                  <a:pt x="300" y="93"/>
                </a:lnTo>
                <a:lnTo>
                  <a:pt x="310" y="66"/>
                </a:lnTo>
                <a:lnTo>
                  <a:pt x="317" y="34"/>
                </a:lnTo>
                <a:lnTo>
                  <a:pt x="321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8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SpPr>
            <a:spLocks noEditPoints="1"/>
          </xdr:cNvSpPr>
        </xdr:nvSpPr>
        <xdr:spPr bwMode="auto">
          <a:xfrm>
            <a:off x="337" y="32"/>
            <a:ext cx="7" cy="11"/>
          </a:xfrm>
          <a:custGeom>
            <a:avLst/>
            <a:gdLst>
              <a:gd name="T0" fmla="*/ 434 w 793"/>
              <a:gd name="T1" fmla="*/ 160 h 1332"/>
              <a:gd name="T2" fmla="*/ 344 w 793"/>
              <a:gd name="T3" fmla="*/ 196 h 1332"/>
              <a:gd name="T4" fmla="*/ 278 w 793"/>
              <a:gd name="T5" fmla="*/ 262 h 1332"/>
              <a:gd name="T6" fmla="*/ 248 w 793"/>
              <a:gd name="T7" fmla="*/ 350 h 1332"/>
              <a:gd name="T8" fmla="*/ 255 w 793"/>
              <a:gd name="T9" fmla="*/ 457 h 1332"/>
              <a:gd name="T10" fmla="*/ 304 w 793"/>
              <a:gd name="T11" fmla="*/ 542 h 1332"/>
              <a:gd name="T12" fmla="*/ 395 w 793"/>
              <a:gd name="T13" fmla="*/ 612 h 1332"/>
              <a:gd name="T14" fmla="*/ 462 w 793"/>
              <a:gd name="T15" fmla="*/ 646 h 1332"/>
              <a:gd name="T16" fmla="*/ 576 w 793"/>
              <a:gd name="T17" fmla="*/ 696 h 1332"/>
              <a:gd name="T18" fmla="*/ 690 w 793"/>
              <a:gd name="T19" fmla="*/ 639 h 1332"/>
              <a:gd name="T20" fmla="*/ 751 w 793"/>
              <a:gd name="T21" fmla="*/ 528 h 1332"/>
              <a:gd name="T22" fmla="*/ 769 w 793"/>
              <a:gd name="T23" fmla="*/ 398 h 1332"/>
              <a:gd name="T24" fmla="*/ 751 w 793"/>
              <a:gd name="T25" fmla="*/ 301 h 1332"/>
              <a:gd name="T26" fmla="*/ 699 w 793"/>
              <a:gd name="T27" fmla="*/ 223 h 1332"/>
              <a:gd name="T28" fmla="*/ 616 w 793"/>
              <a:gd name="T29" fmla="*/ 170 h 1332"/>
              <a:gd name="T30" fmla="*/ 505 w 793"/>
              <a:gd name="T31" fmla="*/ 153 h 1332"/>
              <a:gd name="T32" fmla="*/ 612 w 793"/>
              <a:gd name="T33" fmla="*/ 8 h 1332"/>
              <a:gd name="T34" fmla="*/ 749 w 793"/>
              <a:gd name="T35" fmla="*/ 50 h 1332"/>
              <a:gd name="T36" fmla="*/ 790 w 793"/>
              <a:gd name="T37" fmla="*/ 269 h 1332"/>
              <a:gd name="T38" fmla="*/ 781 w 793"/>
              <a:gd name="T39" fmla="*/ 500 h 1332"/>
              <a:gd name="T40" fmla="*/ 723 w 793"/>
              <a:gd name="T41" fmla="*/ 717 h 1332"/>
              <a:gd name="T42" fmla="*/ 621 w 793"/>
              <a:gd name="T43" fmla="*/ 912 h 1332"/>
              <a:gd name="T44" fmla="*/ 589 w 793"/>
              <a:gd name="T45" fmla="*/ 895 h 1332"/>
              <a:gd name="T46" fmla="*/ 480 w 793"/>
              <a:gd name="T47" fmla="*/ 850 h 1332"/>
              <a:gd name="T48" fmla="*/ 355 w 793"/>
              <a:gd name="T49" fmla="*/ 836 h 1332"/>
              <a:gd name="T50" fmla="*/ 275 w 793"/>
              <a:gd name="T51" fmla="*/ 920 h 1332"/>
              <a:gd name="T52" fmla="*/ 226 w 793"/>
              <a:gd name="T53" fmla="*/ 1025 h 1332"/>
              <a:gd name="T54" fmla="*/ 209 w 793"/>
              <a:gd name="T55" fmla="*/ 1145 h 1332"/>
              <a:gd name="T56" fmla="*/ 227 w 793"/>
              <a:gd name="T57" fmla="*/ 1259 h 1332"/>
              <a:gd name="T58" fmla="*/ 31 w 793"/>
              <a:gd name="T59" fmla="*/ 1332 h 1332"/>
              <a:gd name="T60" fmla="*/ 2 w 793"/>
              <a:gd name="T61" fmla="*/ 1205 h 1332"/>
              <a:gd name="T62" fmla="*/ 10 w 793"/>
              <a:gd name="T63" fmla="*/ 1063 h 1332"/>
              <a:gd name="T64" fmla="*/ 67 w 793"/>
              <a:gd name="T65" fmla="*/ 928 h 1332"/>
              <a:gd name="T66" fmla="*/ 149 w 793"/>
              <a:gd name="T67" fmla="*/ 833 h 1332"/>
              <a:gd name="T68" fmla="*/ 262 w 793"/>
              <a:gd name="T69" fmla="*/ 760 h 1332"/>
              <a:gd name="T70" fmla="*/ 180 w 793"/>
              <a:gd name="T71" fmla="*/ 698 h 1332"/>
              <a:gd name="T72" fmla="*/ 92 w 793"/>
              <a:gd name="T73" fmla="*/ 607 h 1332"/>
              <a:gd name="T74" fmla="*/ 46 w 793"/>
              <a:gd name="T75" fmla="*/ 498 h 1332"/>
              <a:gd name="T76" fmla="*/ 40 w 793"/>
              <a:gd name="T77" fmla="*/ 360 h 1332"/>
              <a:gd name="T78" fmla="*/ 80 w 793"/>
              <a:gd name="T79" fmla="*/ 227 h 1332"/>
              <a:gd name="T80" fmla="*/ 170 w 793"/>
              <a:gd name="T81" fmla="*/ 117 h 1332"/>
              <a:gd name="T82" fmla="*/ 297 w 793"/>
              <a:gd name="T83" fmla="*/ 38 h 1332"/>
              <a:gd name="T84" fmla="*/ 449 w 793"/>
              <a:gd name="T85" fmla="*/ 2 h 13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793" h="1332">
                <a:moveTo>
                  <a:pt x="505" y="153"/>
                </a:moveTo>
                <a:lnTo>
                  <a:pt x="468" y="155"/>
                </a:lnTo>
                <a:lnTo>
                  <a:pt x="434" y="160"/>
                </a:lnTo>
                <a:lnTo>
                  <a:pt x="402" y="169"/>
                </a:lnTo>
                <a:lnTo>
                  <a:pt x="372" y="181"/>
                </a:lnTo>
                <a:lnTo>
                  <a:pt x="344" y="196"/>
                </a:lnTo>
                <a:lnTo>
                  <a:pt x="319" y="216"/>
                </a:lnTo>
                <a:lnTo>
                  <a:pt x="297" y="238"/>
                </a:lnTo>
                <a:lnTo>
                  <a:pt x="278" y="262"/>
                </a:lnTo>
                <a:lnTo>
                  <a:pt x="264" y="289"/>
                </a:lnTo>
                <a:lnTo>
                  <a:pt x="254" y="318"/>
                </a:lnTo>
                <a:lnTo>
                  <a:pt x="248" y="350"/>
                </a:lnTo>
                <a:lnTo>
                  <a:pt x="246" y="385"/>
                </a:lnTo>
                <a:lnTo>
                  <a:pt x="248" y="422"/>
                </a:lnTo>
                <a:lnTo>
                  <a:pt x="255" y="457"/>
                </a:lnTo>
                <a:lnTo>
                  <a:pt x="266" y="488"/>
                </a:lnTo>
                <a:lnTo>
                  <a:pt x="283" y="516"/>
                </a:lnTo>
                <a:lnTo>
                  <a:pt x="304" y="542"/>
                </a:lnTo>
                <a:lnTo>
                  <a:pt x="330" y="566"/>
                </a:lnTo>
                <a:lnTo>
                  <a:pt x="360" y="590"/>
                </a:lnTo>
                <a:lnTo>
                  <a:pt x="395" y="612"/>
                </a:lnTo>
                <a:lnTo>
                  <a:pt x="413" y="621"/>
                </a:lnTo>
                <a:lnTo>
                  <a:pt x="435" y="633"/>
                </a:lnTo>
                <a:lnTo>
                  <a:pt x="462" y="646"/>
                </a:lnTo>
                <a:lnTo>
                  <a:pt x="493" y="661"/>
                </a:lnTo>
                <a:lnTo>
                  <a:pt x="536" y="680"/>
                </a:lnTo>
                <a:lnTo>
                  <a:pt x="576" y="696"/>
                </a:lnTo>
                <a:lnTo>
                  <a:pt x="613" y="709"/>
                </a:lnTo>
                <a:lnTo>
                  <a:pt x="655" y="674"/>
                </a:lnTo>
                <a:lnTo>
                  <a:pt x="690" y="639"/>
                </a:lnTo>
                <a:lnTo>
                  <a:pt x="717" y="603"/>
                </a:lnTo>
                <a:lnTo>
                  <a:pt x="737" y="566"/>
                </a:lnTo>
                <a:lnTo>
                  <a:pt x="751" y="528"/>
                </a:lnTo>
                <a:lnTo>
                  <a:pt x="761" y="487"/>
                </a:lnTo>
                <a:lnTo>
                  <a:pt x="767" y="444"/>
                </a:lnTo>
                <a:lnTo>
                  <a:pt x="769" y="398"/>
                </a:lnTo>
                <a:lnTo>
                  <a:pt x="767" y="363"/>
                </a:lnTo>
                <a:lnTo>
                  <a:pt x="761" y="331"/>
                </a:lnTo>
                <a:lnTo>
                  <a:pt x="751" y="301"/>
                </a:lnTo>
                <a:lnTo>
                  <a:pt x="738" y="273"/>
                </a:lnTo>
                <a:lnTo>
                  <a:pt x="720" y="247"/>
                </a:lnTo>
                <a:lnTo>
                  <a:pt x="699" y="223"/>
                </a:lnTo>
                <a:lnTo>
                  <a:pt x="674" y="202"/>
                </a:lnTo>
                <a:lnTo>
                  <a:pt x="646" y="184"/>
                </a:lnTo>
                <a:lnTo>
                  <a:pt x="616" y="170"/>
                </a:lnTo>
                <a:lnTo>
                  <a:pt x="582" y="161"/>
                </a:lnTo>
                <a:lnTo>
                  <a:pt x="545" y="155"/>
                </a:lnTo>
                <a:lnTo>
                  <a:pt x="505" y="153"/>
                </a:lnTo>
                <a:close/>
                <a:moveTo>
                  <a:pt x="506" y="0"/>
                </a:moveTo>
                <a:lnTo>
                  <a:pt x="561" y="2"/>
                </a:lnTo>
                <a:lnTo>
                  <a:pt x="612" y="8"/>
                </a:lnTo>
                <a:lnTo>
                  <a:pt x="661" y="18"/>
                </a:lnTo>
                <a:lnTo>
                  <a:pt x="706" y="33"/>
                </a:lnTo>
                <a:lnTo>
                  <a:pt x="749" y="50"/>
                </a:lnTo>
                <a:lnTo>
                  <a:pt x="768" y="121"/>
                </a:lnTo>
                <a:lnTo>
                  <a:pt x="781" y="194"/>
                </a:lnTo>
                <a:lnTo>
                  <a:pt x="790" y="269"/>
                </a:lnTo>
                <a:lnTo>
                  <a:pt x="793" y="345"/>
                </a:lnTo>
                <a:lnTo>
                  <a:pt x="790" y="424"/>
                </a:lnTo>
                <a:lnTo>
                  <a:pt x="781" y="500"/>
                </a:lnTo>
                <a:lnTo>
                  <a:pt x="767" y="574"/>
                </a:lnTo>
                <a:lnTo>
                  <a:pt x="748" y="647"/>
                </a:lnTo>
                <a:lnTo>
                  <a:pt x="723" y="717"/>
                </a:lnTo>
                <a:lnTo>
                  <a:pt x="694" y="785"/>
                </a:lnTo>
                <a:lnTo>
                  <a:pt x="660" y="850"/>
                </a:lnTo>
                <a:lnTo>
                  <a:pt x="621" y="912"/>
                </a:lnTo>
                <a:lnTo>
                  <a:pt x="618" y="910"/>
                </a:lnTo>
                <a:lnTo>
                  <a:pt x="616" y="909"/>
                </a:lnTo>
                <a:lnTo>
                  <a:pt x="589" y="895"/>
                </a:lnTo>
                <a:lnTo>
                  <a:pt x="558" y="881"/>
                </a:lnTo>
                <a:lnTo>
                  <a:pt x="521" y="866"/>
                </a:lnTo>
                <a:lnTo>
                  <a:pt x="480" y="850"/>
                </a:lnTo>
                <a:lnTo>
                  <a:pt x="436" y="832"/>
                </a:lnTo>
                <a:lnTo>
                  <a:pt x="388" y="812"/>
                </a:lnTo>
                <a:lnTo>
                  <a:pt x="355" y="836"/>
                </a:lnTo>
                <a:lnTo>
                  <a:pt x="326" y="862"/>
                </a:lnTo>
                <a:lnTo>
                  <a:pt x="299" y="890"/>
                </a:lnTo>
                <a:lnTo>
                  <a:pt x="275" y="920"/>
                </a:lnTo>
                <a:lnTo>
                  <a:pt x="255" y="954"/>
                </a:lnTo>
                <a:lnTo>
                  <a:pt x="239" y="988"/>
                </a:lnTo>
                <a:lnTo>
                  <a:pt x="226" y="1025"/>
                </a:lnTo>
                <a:lnTo>
                  <a:pt x="217" y="1063"/>
                </a:lnTo>
                <a:lnTo>
                  <a:pt x="211" y="1103"/>
                </a:lnTo>
                <a:lnTo>
                  <a:pt x="209" y="1145"/>
                </a:lnTo>
                <a:lnTo>
                  <a:pt x="211" y="1185"/>
                </a:lnTo>
                <a:lnTo>
                  <a:pt x="217" y="1223"/>
                </a:lnTo>
                <a:lnTo>
                  <a:pt x="227" y="1259"/>
                </a:lnTo>
                <a:lnTo>
                  <a:pt x="163" y="1288"/>
                </a:lnTo>
                <a:lnTo>
                  <a:pt x="98" y="1312"/>
                </a:lnTo>
                <a:lnTo>
                  <a:pt x="31" y="1332"/>
                </a:lnTo>
                <a:lnTo>
                  <a:pt x="17" y="1291"/>
                </a:lnTo>
                <a:lnTo>
                  <a:pt x="8" y="1249"/>
                </a:lnTo>
                <a:lnTo>
                  <a:pt x="2" y="1205"/>
                </a:lnTo>
                <a:lnTo>
                  <a:pt x="0" y="1161"/>
                </a:lnTo>
                <a:lnTo>
                  <a:pt x="2" y="1111"/>
                </a:lnTo>
                <a:lnTo>
                  <a:pt x="10" y="1063"/>
                </a:lnTo>
                <a:lnTo>
                  <a:pt x="24" y="1017"/>
                </a:lnTo>
                <a:lnTo>
                  <a:pt x="43" y="972"/>
                </a:lnTo>
                <a:lnTo>
                  <a:pt x="67" y="928"/>
                </a:lnTo>
                <a:lnTo>
                  <a:pt x="91" y="894"/>
                </a:lnTo>
                <a:lnTo>
                  <a:pt x="118" y="862"/>
                </a:lnTo>
                <a:lnTo>
                  <a:pt x="149" y="833"/>
                </a:lnTo>
                <a:lnTo>
                  <a:pt x="184" y="806"/>
                </a:lnTo>
                <a:lnTo>
                  <a:pt x="221" y="782"/>
                </a:lnTo>
                <a:lnTo>
                  <a:pt x="262" y="760"/>
                </a:lnTo>
                <a:lnTo>
                  <a:pt x="262" y="753"/>
                </a:lnTo>
                <a:lnTo>
                  <a:pt x="219" y="726"/>
                </a:lnTo>
                <a:lnTo>
                  <a:pt x="180" y="698"/>
                </a:lnTo>
                <a:lnTo>
                  <a:pt x="146" y="669"/>
                </a:lnTo>
                <a:lnTo>
                  <a:pt x="117" y="639"/>
                </a:lnTo>
                <a:lnTo>
                  <a:pt x="92" y="607"/>
                </a:lnTo>
                <a:lnTo>
                  <a:pt x="73" y="574"/>
                </a:lnTo>
                <a:lnTo>
                  <a:pt x="57" y="538"/>
                </a:lnTo>
                <a:lnTo>
                  <a:pt x="46" y="498"/>
                </a:lnTo>
                <a:lnTo>
                  <a:pt x="39" y="455"/>
                </a:lnTo>
                <a:lnTo>
                  <a:pt x="37" y="409"/>
                </a:lnTo>
                <a:lnTo>
                  <a:pt x="40" y="360"/>
                </a:lnTo>
                <a:lnTo>
                  <a:pt x="48" y="313"/>
                </a:lnTo>
                <a:lnTo>
                  <a:pt x="62" y="269"/>
                </a:lnTo>
                <a:lnTo>
                  <a:pt x="80" y="227"/>
                </a:lnTo>
                <a:lnTo>
                  <a:pt x="105" y="188"/>
                </a:lnTo>
                <a:lnTo>
                  <a:pt x="134" y="151"/>
                </a:lnTo>
                <a:lnTo>
                  <a:pt x="170" y="117"/>
                </a:lnTo>
                <a:lnTo>
                  <a:pt x="209" y="86"/>
                </a:lnTo>
                <a:lnTo>
                  <a:pt x="251" y="59"/>
                </a:lnTo>
                <a:lnTo>
                  <a:pt x="297" y="38"/>
                </a:lnTo>
                <a:lnTo>
                  <a:pt x="345" y="21"/>
                </a:lnTo>
                <a:lnTo>
                  <a:pt x="396" y="9"/>
                </a:lnTo>
                <a:lnTo>
                  <a:pt x="449" y="2"/>
                </a:lnTo>
                <a:lnTo>
                  <a:pt x="506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9525</xdr:colOff>
          <xdr:row>1</xdr:row>
          <xdr:rowOff>323850</xdr:rowOff>
        </xdr:to>
        <xdr:sp macro="" textlink="">
          <xdr:nvSpPr>
            <xdr:cNvPr id="4097" name="Compteur Année" descr="Bouton Compteur. Modifie l’année civile dans la cellule C2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1247775</xdr:colOff>
          <xdr:row>1</xdr:row>
          <xdr:rowOff>19050</xdr:rowOff>
        </xdr:from>
        <xdr:to>
          <xdr:col>4</xdr:col>
          <xdr:colOff>19050</xdr:colOff>
          <xdr:row>1</xdr:row>
          <xdr:rowOff>323850</xdr:rowOff>
        </xdr:to>
        <xdr:sp macro="" textlink="">
          <xdr:nvSpPr>
            <xdr:cNvPr id="4098" name="Compteur Mois" descr="Bouton Compteur. Modifie le mois civil dans la cellule E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95250</xdr:colOff>
      <xdr:row>3</xdr:row>
      <xdr:rowOff>64558</xdr:rowOff>
    </xdr:from>
    <xdr:to>
      <xdr:col>2</xdr:col>
      <xdr:colOff>409222</xdr:colOff>
      <xdr:row>3</xdr:row>
      <xdr:rowOff>425368</xdr:rowOff>
    </xdr:to>
    <xdr:grpSp>
      <xdr:nvGrpSpPr>
        <xdr:cNvPr id="4" name="Icône Vue mensuelle" descr="&quot;&quot;" title="Icône Calendrier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pSpPr>
          <a:grpSpLocks noChangeAspect="1"/>
        </xdr:cNvGrpSpPr>
      </xdr:nvGrpSpPr>
      <xdr:grpSpPr bwMode="auto">
        <a:xfrm>
          <a:off x="582083" y="710141"/>
          <a:ext cx="313972" cy="360810"/>
          <a:chOff x="26" y="86"/>
          <a:chExt cx="36" cy="39"/>
        </a:xfrm>
      </xdr:grpSpPr>
      <xdr:sp macro="" textlink="">
        <xdr:nvSpPr>
          <xdr:cNvPr id="5" name="Rectangle 6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26" y="86"/>
            <a:ext cx="36" cy="3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" name="Forme libre 7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SpPr>
            <a:spLocks/>
          </xdr:cNvSpPr>
        </xdr:nvSpPr>
        <xdr:spPr bwMode="auto">
          <a:xfrm>
            <a:off x="26" y="95"/>
            <a:ext cx="36" cy="30"/>
          </a:xfrm>
          <a:custGeom>
            <a:avLst/>
            <a:gdLst>
              <a:gd name="T0" fmla="*/ 0 w 3024"/>
              <a:gd name="T1" fmla="*/ 0 h 2562"/>
              <a:gd name="T2" fmla="*/ 3024 w 3024"/>
              <a:gd name="T3" fmla="*/ 0 h 2562"/>
              <a:gd name="T4" fmla="*/ 3024 w 3024"/>
              <a:gd name="T5" fmla="*/ 1959 h 2562"/>
              <a:gd name="T6" fmla="*/ 2419 w 3024"/>
              <a:gd name="T7" fmla="*/ 2562 h 2562"/>
              <a:gd name="T8" fmla="*/ 0 w 3024"/>
              <a:gd name="T9" fmla="*/ 2562 h 2562"/>
              <a:gd name="T10" fmla="*/ 0 w 3024"/>
              <a:gd name="T11" fmla="*/ 0 h 25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024" h="2562">
                <a:moveTo>
                  <a:pt x="0" y="0"/>
                </a:moveTo>
                <a:lnTo>
                  <a:pt x="3024" y="0"/>
                </a:lnTo>
                <a:lnTo>
                  <a:pt x="3024" y="1959"/>
                </a:lnTo>
                <a:lnTo>
                  <a:pt x="2419" y="2562"/>
                </a:lnTo>
                <a:lnTo>
                  <a:pt x="0" y="2562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7" name="Forme libre 8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SpPr>
            <a:spLocks/>
          </xdr:cNvSpPr>
        </xdr:nvSpPr>
        <xdr:spPr bwMode="auto">
          <a:xfrm>
            <a:off x="55" y="118"/>
            <a:ext cx="7" cy="7"/>
          </a:xfrm>
          <a:custGeom>
            <a:avLst/>
            <a:gdLst>
              <a:gd name="T0" fmla="*/ 0 w 605"/>
              <a:gd name="T1" fmla="*/ 0 h 609"/>
              <a:gd name="T2" fmla="*/ 605 w 605"/>
              <a:gd name="T3" fmla="*/ 0 h 609"/>
              <a:gd name="T4" fmla="*/ 0 w 605"/>
              <a:gd name="T5" fmla="*/ 609 h 609"/>
              <a:gd name="T6" fmla="*/ 0 w 605"/>
              <a:gd name="T7" fmla="*/ 0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05" h="609">
                <a:moveTo>
                  <a:pt x="0" y="0"/>
                </a:moveTo>
                <a:lnTo>
                  <a:pt x="605" y="0"/>
                </a:lnTo>
                <a:lnTo>
                  <a:pt x="0" y="609"/>
                </a:lnTo>
                <a:lnTo>
                  <a:pt x="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9">
            <a:extLst>
              <a:ext uri="{FF2B5EF4-FFF2-40B4-BE49-F238E27FC236}">
                <a16:creationId xmlns:a16="http://schemas.microsoft.com/office/drawing/2014/main" id="{00000000-0008-0000-0200-000008000000}"/>
              </a:ext>
            </a:extLst>
          </xdr:cNvPr>
          <xdr:cNvSpPr>
            <a:spLocks/>
          </xdr:cNvSpPr>
        </xdr:nvSpPr>
        <xdr:spPr bwMode="auto">
          <a:xfrm>
            <a:off x="26" y="88"/>
            <a:ext cx="36" cy="8"/>
          </a:xfrm>
          <a:custGeom>
            <a:avLst/>
            <a:gdLst>
              <a:gd name="T0" fmla="*/ 151 w 3024"/>
              <a:gd name="T1" fmla="*/ 0 h 671"/>
              <a:gd name="T2" fmla="*/ 2873 w 3024"/>
              <a:gd name="T3" fmla="*/ 0 h 671"/>
              <a:gd name="T4" fmla="*/ 2903 w 3024"/>
              <a:gd name="T5" fmla="*/ 3 h 671"/>
              <a:gd name="T6" fmla="*/ 2931 w 3024"/>
              <a:gd name="T7" fmla="*/ 12 h 671"/>
              <a:gd name="T8" fmla="*/ 2957 w 3024"/>
              <a:gd name="T9" fmla="*/ 26 h 671"/>
              <a:gd name="T10" fmla="*/ 2980 w 3024"/>
              <a:gd name="T11" fmla="*/ 44 h 671"/>
              <a:gd name="T12" fmla="*/ 2998 w 3024"/>
              <a:gd name="T13" fmla="*/ 66 h 671"/>
              <a:gd name="T14" fmla="*/ 3012 w 3024"/>
              <a:gd name="T15" fmla="*/ 92 h 671"/>
              <a:gd name="T16" fmla="*/ 3021 w 3024"/>
              <a:gd name="T17" fmla="*/ 120 h 671"/>
              <a:gd name="T18" fmla="*/ 3024 w 3024"/>
              <a:gd name="T19" fmla="*/ 150 h 671"/>
              <a:gd name="T20" fmla="*/ 3024 w 3024"/>
              <a:gd name="T21" fmla="*/ 671 h 671"/>
              <a:gd name="T22" fmla="*/ 0 w 3024"/>
              <a:gd name="T23" fmla="*/ 671 h 671"/>
              <a:gd name="T24" fmla="*/ 0 w 3024"/>
              <a:gd name="T25" fmla="*/ 150 h 671"/>
              <a:gd name="T26" fmla="*/ 3 w 3024"/>
              <a:gd name="T27" fmla="*/ 120 h 671"/>
              <a:gd name="T28" fmla="*/ 12 w 3024"/>
              <a:gd name="T29" fmla="*/ 92 h 671"/>
              <a:gd name="T30" fmla="*/ 26 w 3024"/>
              <a:gd name="T31" fmla="*/ 66 h 671"/>
              <a:gd name="T32" fmla="*/ 44 w 3024"/>
              <a:gd name="T33" fmla="*/ 44 h 671"/>
              <a:gd name="T34" fmla="*/ 67 w 3024"/>
              <a:gd name="T35" fmla="*/ 26 h 671"/>
              <a:gd name="T36" fmla="*/ 93 w 3024"/>
              <a:gd name="T37" fmla="*/ 12 h 671"/>
              <a:gd name="T38" fmla="*/ 121 w 3024"/>
              <a:gd name="T39" fmla="*/ 3 h 671"/>
              <a:gd name="T40" fmla="*/ 151 w 3024"/>
              <a:gd name="T41" fmla="*/ 0 h 6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</a:cxnLst>
            <a:rect l="0" t="0" r="r" b="b"/>
            <a:pathLst>
              <a:path w="3024" h="671">
                <a:moveTo>
                  <a:pt x="151" y="0"/>
                </a:moveTo>
                <a:lnTo>
                  <a:pt x="2873" y="0"/>
                </a:lnTo>
                <a:lnTo>
                  <a:pt x="2903" y="3"/>
                </a:lnTo>
                <a:lnTo>
                  <a:pt x="2931" y="12"/>
                </a:lnTo>
                <a:lnTo>
                  <a:pt x="2957" y="26"/>
                </a:lnTo>
                <a:lnTo>
                  <a:pt x="2980" y="44"/>
                </a:lnTo>
                <a:lnTo>
                  <a:pt x="2998" y="66"/>
                </a:lnTo>
                <a:lnTo>
                  <a:pt x="3012" y="92"/>
                </a:lnTo>
                <a:lnTo>
                  <a:pt x="3021" y="120"/>
                </a:lnTo>
                <a:lnTo>
                  <a:pt x="3024" y="150"/>
                </a:lnTo>
                <a:lnTo>
                  <a:pt x="3024" y="671"/>
                </a:lnTo>
                <a:lnTo>
                  <a:pt x="0" y="671"/>
                </a:lnTo>
                <a:lnTo>
                  <a:pt x="0" y="150"/>
                </a:lnTo>
                <a:lnTo>
                  <a:pt x="3" y="120"/>
                </a:lnTo>
                <a:lnTo>
                  <a:pt x="12" y="92"/>
                </a:lnTo>
                <a:lnTo>
                  <a:pt x="26" y="66"/>
                </a:lnTo>
                <a:lnTo>
                  <a:pt x="44" y="44"/>
                </a:lnTo>
                <a:lnTo>
                  <a:pt x="67" y="26"/>
                </a:lnTo>
                <a:lnTo>
                  <a:pt x="93" y="12"/>
                </a:lnTo>
                <a:lnTo>
                  <a:pt x="121" y="3"/>
                </a:lnTo>
                <a:lnTo>
                  <a:pt x="151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5919.885044560186" createdVersion="8" refreshedVersion="8" minRefreshableVersion="3" recordCount="665" xr:uid="{0766A03C-85EB-4AD7-AA17-73060F5304D4}">
  <cacheSource type="worksheet">
    <worksheetSource name="Tabel3"/>
  </cacheSource>
  <cacheFields count="11">
    <cacheField name="UE" numFmtId="0">
      <sharedItems/>
    </cacheField>
    <cacheField name="Nom du cours2" numFmtId="0">
      <sharedItems/>
    </cacheField>
    <cacheField name="Type" numFmtId="0">
      <sharedItems/>
    </cacheField>
    <cacheField name="jour" numFmtId="170">
      <sharedItems containsSemiMixedTypes="0" containsNonDate="0" containsDate="1" containsString="0" minDate="2025-09-01T00:00:00" maxDate="2025-12-13T00:00:00" count="93">
        <d v="2025-09-01T00:00:00"/>
        <d v="2025-09-02T00:00:00"/>
        <d v="2025-09-03T00:00:00"/>
        <d v="2025-09-04T00:00:00"/>
        <d v="2025-09-05T00:00:00"/>
        <d v="2025-09-07T00:00:00"/>
        <d v="2025-09-08T00:00:00"/>
        <d v="2025-09-09T00:00:00"/>
        <d v="2025-09-10T00:00:00"/>
        <d v="2025-09-11T00:00:00"/>
        <d v="2025-09-12T00:00:00"/>
        <d v="2025-09-13T00:00:00"/>
        <d v="2025-09-14T00:00:00"/>
        <d v="2025-09-15T00:00:00"/>
        <d v="2025-09-16T00:00:00"/>
        <d v="2025-09-17T00:00:00"/>
        <d v="2025-09-18T00:00:00"/>
        <d v="2025-09-19T00:00:00"/>
        <d v="2025-09-20T00:00:00"/>
        <d v="2025-09-21T00:00:00"/>
        <d v="2025-09-22T00:00:00"/>
        <d v="2025-09-23T00:00:00"/>
        <d v="2025-09-24T00:00:00"/>
        <d v="2025-09-25T00:00:00"/>
        <d v="2025-09-26T00:00:00"/>
        <d v="2025-09-27T00:00:00"/>
        <d v="2025-09-28T00:00:00"/>
        <d v="2025-09-29T00:00:00"/>
        <d v="2025-09-30T00:00:00"/>
        <d v="2025-10-01T00:00:00"/>
        <d v="2025-10-02T00:00:00"/>
        <d v="2025-10-03T00:00:00"/>
        <d v="2025-10-04T00:00:00"/>
        <d v="2025-10-05T00:00:00"/>
        <d v="2025-10-06T00:00:00"/>
        <d v="2025-10-07T00:00:00"/>
        <d v="2025-10-08T00:00:00"/>
        <d v="2025-10-09T00:00:00"/>
        <d v="2025-10-10T00:00:00"/>
        <d v="2025-10-11T00:00:00"/>
        <d v="2025-10-12T00:00:00"/>
        <d v="2025-10-13T00:00:00"/>
        <d v="2025-10-14T00:00:00"/>
        <d v="2025-10-15T00:00:00"/>
        <d v="2025-10-16T00:00:00"/>
        <d v="2025-10-17T00:00:00"/>
        <d v="2025-10-18T00:00:00"/>
        <d v="2025-10-19T00:00:00"/>
        <d v="2025-10-20T00:00:00"/>
        <d v="2025-10-21T00:00:00"/>
        <d v="2025-10-22T00:00:00"/>
        <d v="2025-10-23T00:00:00"/>
        <d v="2025-10-24T00:00:00"/>
        <d v="2025-10-25T00:00:00"/>
        <d v="2025-10-29T00:00:00"/>
        <d v="2025-10-30T00:00:00"/>
        <d v="2025-10-31T00:00:00"/>
        <d v="2025-11-01T00:00:00"/>
        <d v="2025-11-02T00:00:00"/>
        <d v="2025-11-04T00:00:00"/>
        <d v="2025-11-05T00:00:00"/>
        <d v="2025-11-06T00:00:00"/>
        <d v="2025-11-07T00:00:00"/>
        <d v="2025-11-08T00:00:00"/>
        <d v="2025-11-09T00:00:00"/>
        <d v="2025-11-10T00:00:00"/>
        <d v="2025-11-11T00:00:00"/>
        <d v="2025-11-14T00:00:00"/>
        <d v="2025-11-15T00:00:00"/>
        <d v="2025-11-16T00:00:00"/>
        <d v="2025-11-17T00:00:00"/>
        <d v="2025-11-18T00:00:00"/>
        <d v="2025-11-21T00:00:00"/>
        <d v="2025-11-22T00:00:00"/>
        <d v="2025-11-23T00:00:00"/>
        <d v="2025-11-24T00:00:00"/>
        <d v="2025-11-28T00:00:00"/>
        <d v="2025-11-29T00:00:00"/>
        <d v="2025-11-30T00:00:00"/>
        <d v="2025-12-01T00:00:00"/>
        <d v="2025-12-02T00:00:00"/>
        <d v="2025-12-05T00:00:00"/>
        <d v="2025-12-06T00:00:00"/>
        <d v="2025-12-07T00:00:00"/>
        <d v="2025-12-08T00:00:00"/>
        <d v="2025-12-09T00:00:00"/>
        <d v="2025-09-06T00:00:00" u="1"/>
        <d v="2025-10-26T00:00:00" u="1"/>
        <d v="2025-10-28T00:00:00" u="1"/>
        <d v="2025-11-03T00:00:00" u="1"/>
        <d v="2025-11-12T00:00:00" u="1"/>
        <d v="2025-11-25T00:00:00" u="1"/>
        <d v="2025-12-12T00:00:00" u="1"/>
      </sharedItems>
    </cacheField>
    <cacheField name="duree" numFmtId="0">
      <sharedItems containsSemiMixedTypes="0" containsString="0" containsNumber="1" minValue="4.6499999999999995" maxValue="120"/>
    </cacheField>
    <cacheField name="delai" numFmtId="0">
      <sharedItems containsSemiMixedTypes="0" containsString="0" containsNumber="1" containsInteger="1" minValue="0" maxValue="30"/>
    </cacheField>
    <cacheField name="fin precedent" numFmtId="171">
      <sharedItems containsDate="1" containsMixedTypes="1" minDate="2025-09-01T08:32:00" maxDate="2025-11-05T09:45:27"/>
    </cacheField>
    <cacheField name="debut" numFmtId="171">
      <sharedItems containsSemiMixedTypes="0" containsNonDate="0" containsDate="1" containsString="0" minDate="2025-09-01T08:00:00" maxDate="2025-12-09T08:12:09"/>
    </cacheField>
    <cacheField name="fin" numFmtId="171">
      <sharedItems containsSemiMixedTypes="0" containsNonDate="0" containsDate="1" containsString="0" minDate="2025-09-01T08:32:00" maxDate="2025-12-09T08:28:21"/>
    </cacheField>
    <cacheField name="problème" numFmtId="169">
      <sharedItems containsSemiMixedTypes="0" containsString="0" containsNumber="1" containsInteger="1" minValue="0" maxValue="1"/>
    </cacheField>
    <cacheField name="trop tot" numFmtId="169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65">
  <r>
    <s v="UE 22"/>
    <s v="Répercussion sociétales et empowerment "/>
    <s v="J0"/>
    <x v="0"/>
    <n v="32"/>
    <n v="0"/>
    <s v="-"/>
    <d v="2025-09-01T08:00:00"/>
    <d v="2025-09-01T08:32:00"/>
    <n v="0"/>
    <n v="0"/>
  </r>
  <r>
    <s v="UE5"/>
    <s v="épidémiologie descriptive"/>
    <s v="J0"/>
    <x v="1"/>
    <n v="51"/>
    <n v="0"/>
    <s v="-"/>
    <d v="2025-09-02T08:00:00"/>
    <d v="2025-09-02T08:51:00"/>
    <n v="0"/>
    <n v="0"/>
  </r>
  <r>
    <s v="UE5"/>
    <s v="Économie du système de santé"/>
    <s v="J0"/>
    <x v="1"/>
    <n v="79"/>
    <n v="0"/>
    <s v="-"/>
    <d v="2025-09-02T08:51:00"/>
    <d v="2025-09-02T10:10:00"/>
    <n v="0"/>
    <n v="0"/>
  </r>
  <r>
    <s v="UE10"/>
    <s v="Abdomen et pelvis 1"/>
    <s v="J0"/>
    <x v="1"/>
    <n v="92"/>
    <n v="0"/>
    <s v="-"/>
    <d v="2025-09-02T10:10:00"/>
    <d v="2025-09-02T11:42:00"/>
    <n v="0"/>
    <n v="0"/>
  </r>
  <r>
    <s v="UE8"/>
    <s v="Synthèse tampons, Diagramme de Davenport"/>
    <s v="J0"/>
    <x v="1"/>
    <n v="113"/>
    <n v="0"/>
    <s v="-"/>
    <d v="2025-09-02T11:42:00"/>
    <d v="2025-09-02T13:35:00"/>
    <n v="0"/>
    <n v="0"/>
  </r>
  <r>
    <s v="UE 22"/>
    <s v="Répercussion sociétales et empowerment "/>
    <s v="J2"/>
    <x v="2"/>
    <n v="28.8"/>
    <n v="2"/>
    <d v="2025-09-01T08:32:00"/>
    <d v="2025-09-03T08:00:00"/>
    <d v="2025-09-03T08:28:48"/>
    <n v="0"/>
    <n v="0"/>
  </r>
  <r>
    <s v="UE8"/>
    <s v="Thermorégulation"/>
    <s v="J0"/>
    <x v="2"/>
    <n v="66"/>
    <n v="0"/>
    <s v="-"/>
    <d v="2025-09-03T08:28:48"/>
    <d v="2025-09-03T09:34:48"/>
    <n v="0"/>
    <n v="0"/>
  </r>
  <r>
    <s v="UE8"/>
    <s v="Potentiel électrochimique "/>
    <s v="J0"/>
    <x v="2"/>
    <n v="100"/>
    <n v="0"/>
    <s v="-"/>
    <d v="2025-09-03T09:34:48"/>
    <d v="2025-09-03T11:14:48"/>
    <n v="0"/>
    <n v="0"/>
  </r>
  <r>
    <s v="UE10"/>
    <s v="intro: mouvements"/>
    <s v="J0"/>
    <x v="2"/>
    <n v="105"/>
    <n v="0"/>
    <s v="-"/>
    <d v="2025-09-03T11:14:48"/>
    <d v="2025-09-03T12:59:48"/>
    <n v="0"/>
    <n v="0"/>
  </r>
  <r>
    <s v="UE5"/>
    <s v="épidémiologie descriptive"/>
    <s v="J2"/>
    <x v="3"/>
    <n v="45.9"/>
    <n v="2"/>
    <d v="2025-09-02T08:51:00"/>
    <d v="2025-09-04T08:00:00"/>
    <d v="2025-09-04T08:45:54"/>
    <n v="0"/>
    <n v="0"/>
  </r>
  <r>
    <s v="UE5"/>
    <s v="Économie du système de santé"/>
    <s v="J2"/>
    <x v="3"/>
    <n v="71.100000000000009"/>
    <n v="2"/>
    <d v="2025-09-02T08:51:00"/>
    <d v="2025-09-04T08:45:54"/>
    <d v="2025-09-04T09:57:00"/>
    <n v="0"/>
    <n v="0"/>
  </r>
  <r>
    <s v="UE10"/>
    <s v="Abdomen et pelvis 1"/>
    <s v="J2"/>
    <x v="3"/>
    <n v="82.8"/>
    <n v="2"/>
    <d v="2025-09-02T11:42:00"/>
    <d v="2025-09-04T09:57:00"/>
    <d v="2025-09-04T11:19:48"/>
    <n v="0"/>
    <n v="0"/>
  </r>
  <r>
    <s v="UE8"/>
    <s v="Synthèse tampons, Diagramme de Davenport"/>
    <s v="J2"/>
    <x v="3"/>
    <n v="101.7"/>
    <n v="2"/>
    <d v="2025-09-02T13:35:00"/>
    <d v="2025-09-04T11:19:48"/>
    <d v="2025-09-04T13:01:30"/>
    <n v="0"/>
    <n v="0"/>
  </r>
  <r>
    <s v="UE8"/>
    <s v="Thermorégulation"/>
    <s v="J2"/>
    <x v="4"/>
    <n v="59.4"/>
    <n v="2"/>
    <d v="2025-09-02T13:35:00"/>
    <d v="2025-09-05T08:00:00"/>
    <d v="2025-09-05T08:59:24"/>
    <n v="0"/>
    <n v="0"/>
  </r>
  <r>
    <s v="UE8"/>
    <s v="Potentiel électrochimique "/>
    <s v="J2"/>
    <x v="4"/>
    <n v="90"/>
    <n v="2"/>
    <d v="2025-09-02T13:35:00"/>
    <d v="2025-09-05T08:59:24"/>
    <d v="2025-09-05T10:29:24"/>
    <n v="0"/>
    <n v="0"/>
  </r>
  <r>
    <s v="UE10"/>
    <s v="intro: mouvements"/>
    <s v="J2"/>
    <x v="4"/>
    <n v="94.5"/>
    <n v="2"/>
    <d v="2025-09-02T11:42:00"/>
    <d v="2025-09-05T10:29:24"/>
    <d v="2025-09-05T12:03:54"/>
    <n v="0"/>
    <n v="0"/>
  </r>
  <r>
    <s v="UE 22"/>
    <s v="Intervention rééducation part-1 "/>
    <s v="J0"/>
    <x v="4"/>
    <n v="63"/>
    <n v="0"/>
    <s v="-"/>
    <d v="2025-09-05T12:03:54"/>
    <d v="2025-09-05T13:06:54"/>
    <n v="0"/>
    <n v="0"/>
  </r>
  <r>
    <s v="UE 22"/>
    <s v="Répercussion sociétales et empowerment "/>
    <s v="J6"/>
    <x v="5"/>
    <n v="24"/>
    <n v="4"/>
    <d v="2025-09-03T08:28:48"/>
    <d v="2025-09-08T08:00:00"/>
    <d v="2025-09-08T08:24:00"/>
    <n v="1"/>
    <n v="0"/>
  </r>
  <r>
    <s v="UE 22"/>
    <s v="Intervention rééducation part-1 "/>
    <s v="J2"/>
    <x v="5"/>
    <n v="56.7"/>
    <n v="2"/>
    <d v="2025-09-01T08:32:00"/>
    <d v="2025-09-08T08:24:00"/>
    <d v="2025-09-08T09:20:42"/>
    <n v="1"/>
    <n v="0"/>
  </r>
  <r>
    <s v="UE5"/>
    <s v="épidémiologie descriptive"/>
    <s v="J6"/>
    <x v="6"/>
    <n v="38.25"/>
    <n v="4"/>
    <d v="2025-09-04T08:45:54"/>
    <d v="2025-09-08T09:20:42"/>
    <d v="2025-09-08T09:58:57"/>
    <n v="0"/>
    <n v="0"/>
  </r>
  <r>
    <s v="UE5"/>
    <s v="Économie du système de santé"/>
    <s v="J6"/>
    <x v="6"/>
    <n v="59.25"/>
    <n v="4"/>
    <d v="2025-09-04T08:45:54"/>
    <d v="2025-09-08T09:58:57"/>
    <d v="2025-09-08T10:58:12"/>
    <n v="0"/>
    <n v="0"/>
  </r>
  <r>
    <s v="UE10"/>
    <s v="Abdomen et pelvis 1"/>
    <s v="J6"/>
    <x v="6"/>
    <n v="69"/>
    <n v="4"/>
    <d v="2025-09-04T11:19:48"/>
    <d v="2025-09-08T10:58:12"/>
    <d v="2025-09-08T12:07:12"/>
    <n v="0"/>
    <n v="0"/>
  </r>
  <r>
    <s v="UE8"/>
    <s v="Synthèse tampons, Diagramme de Davenport"/>
    <s v="J6"/>
    <x v="6"/>
    <n v="84.75"/>
    <n v="4"/>
    <d v="2025-09-04T13:01:30"/>
    <d v="2025-09-08T12:07:12"/>
    <d v="2025-09-08T13:31:57"/>
    <n v="0"/>
    <n v="0"/>
  </r>
  <r>
    <s v="UE 22"/>
    <s v="Législation handicap "/>
    <s v="J0"/>
    <x v="6"/>
    <n v="69"/>
    <n v="0"/>
    <s v="-"/>
    <d v="2025-09-08T13:31:57"/>
    <d v="2025-09-08T14:40:57"/>
    <n v="0"/>
    <n v="0"/>
  </r>
  <r>
    <s v="UE14"/>
    <s v="Dérivés d'acides carboxylique- AG "/>
    <s v="J0"/>
    <x v="6"/>
    <n v="78"/>
    <n v="0"/>
    <s v="-"/>
    <d v="2025-09-08T14:40:57"/>
    <d v="2025-09-08T15:58:57"/>
    <n v="0"/>
    <n v="0"/>
  </r>
  <r>
    <s v="UE 22"/>
    <s v="Intervention rééducation part-6"/>
    <s v="J0"/>
    <x v="6"/>
    <n v="83"/>
    <n v="0"/>
    <s v="-"/>
    <d v="2025-09-08T15:58:57"/>
    <d v="2025-09-08T17:21:57"/>
    <n v="0"/>
    <n v="0"/>
  </r>
  <r>
    <s v="UE10"/>
    <s v="Abdomen et pelvis 2 "/>
    <s v="J0"/>
    <x v="6"/>
    <n v="85"/>
    <n v="0"/>
    <s v="-"/>
    <d v="2025-09-08T17:21:57"/>
    <d v="2025-09-09T08:46:57"/>
    <n v="1"/>
    <n v="0"/>
  </r>
  <r>
    <s v="UE10"/>
    <s v="Thorax"/>
    <s v="J0"/>
    <x v="6"/>
    <n v="93"/>
    <n v="0"/>
    <s v="-"/>
    <d v="2025-09-09T08:46:57"/>
    <d v="2025-09-09T10:19:57"/>
    <n v="1"/>
    <n v="0"/>
  </r>
  <r>
    <s v="UE14"/>
    <s v="Propriétés électroniques des liaisons chimiques"/>
    <s v="J0"/>
    <x v="6"/>
    <n v="101"/>
    <n v="0"/>
    <s v="-"/>
    <d v="2025-09-09T10:19:57"/>
    <d v="2025-09-09T12:00:57"/>
    <n v="1"/>
    <n v="0"/>
  </r>
  <r>
    <s v="UE10"/>
    <s v="intro: référence et particularité"/>
    <s v="J0"/>
    <x v="6"/>
    <n v="106"/>
    <n v="0"/>
    <s v="-"/>
    <d v="2025-09-09T12:00:57"/>
    <d v="2025-09-09T13:46:57"/>
    <n v="1"/>
    <n v="0"/>
  </r>
  <r>
    <s v="UE8"/>
    <s v="Thermorégulation"/>
    <s v="J6"/>
    <x v="7"/>
    <n v="49.5"/>
    <n v="4"/>
    <d v="2025-09-04T13:01:30"/>
    <d v="2025-09-09T13:46:57"/>
    <d v="2025-09-09T14:36:27"/>
    <n v="0"/>
    <n v="0"/>
  </r>
  <r>
    <s v="UE8"/>
    <s v="Potentiel électrochimique "/>
    <s v="J6"/>
    <x v="7"/>
    <n v="75"/>
    <n v="4"/>
    <d v="2025-09-04T13:01:30"/>
    <d v="2025-09-09T14:36:27"/>
    <d v="2025-09-09T15:51:27"/>
    <n v="0"/>
    <n v="0"/>
  </r>
  <r>
    <s v="UE10"/>
    <s v="intro: mouvements"/>
    <s v="J6"/>
    <x v="7"/>
    <n v="78.75"/>
    <n v="4"/>
    <d v="2025-09-04T11:19:48"/>
    <d v="2025-09-09T15:51:27"/>
    <d v="2025-09-09T17:10:12"/>
    <n v="0"/>
    <n v="0"/>
  </r>
  <r>
    <s v="UE14"/>
    <s v="Thermodynamique "/>
    <s v="J0"/>
    <x v="7"/>
    <n v="70"/>
    <n v="0"/>
    <s v="-"/>
    <d v="2025-09-09T17:10:12"/>
    <d v="2025-09-10T08:20:12"/>
    <n v="1"/>
    <n v="0"/>
  </r>
  <r>
    <s v="UE 22"/>
    <s v="Intervention rééducation part-3"/>
    <s v="J0"/>
    <x v="7"/>
    <n v="108"/>
    <n v="0"/>
    <s v="-"/>
    <d v="2025-09-10T08:20:12"/>
    <d v="2025-09-10T10:08:12"/>
    <n v="1"/>
    <n v="0"/>
  </r>
  <r>
    <s v="UE7"/>
    <s v="Protéines "/>
    <s v="J0"/>
    <x v="7"/>
    <n v="111"/>
    <n v="0"/>
    <s v="-"/>
    <d v="2025-09-10T10:08:12"/>
    <d v="2025-09-10T11:59:12"/>
    <n v="1"/>
    <n v="0"/>
  </r>
  <r>
    <s v="UE 22"/>
    <s v="Législation handicap "/>
    <s v="J2"/>
    <x v="8"/>
    <n v="62.1"/>
    <n v="2"/>
    <d v="2025-09-01T08:32:00"/>
    <d v="2025-09-10T11:59:12"/>
    <d v="2025-09-10T13:01:18"/>
    <n v="0"/>
    <n v="0"/>
  </r>
  <r>
    <s v="UE14"/>
    <s v="Dérivés d'acides carboxylique- AG "/>
    <s v="J2"/>
    <x v="8"/>
    <n v="70.2"/>
    <n v="2"/>
    <d v="2025-09-08T15:58:57"/>
    <d v="2025-09-10T13:01:18"/>
    <d v="2025-09-10T14:11:30"/>
    <n v="0"/>
    <n v="0"/>
  </r>
  <r>
    <s v="UE 22"/>
    <s v="Intervention rééducation part-6"/>
    <s v="J2"/>
    <x v="8"/>
    <n v="74.7"/>
    <n v="2"/>
    <d v="2025-09-01T08:32:00"/>
    <d v="2025-09-10T14:11:30"/>
    <d v="2025-09-10T15:26:12"/>
    <n v="0"/>
    <n v="0"/>
  </r>
  <r>
    <s v="UE10"/>
    <s v="Abdomen et pelvis 2 "/>
    <s v="J2"/>
    <x v="8"/>
    <n v="76.5"/>
    <n v="2"/>
    <d v="2025-09-02T11:42:00"/>
    <d v="2025-09-10T15:26:12"/>
    <d v="2025-09-10T16:42:42"/>
    <n v="0"/>
    <n v="0"/>
  </r>
  <r>
    <s v="UE10"/>
    <s v="Thorax"/>
    <s v="J2"/>
    <x v="8"/>
    <n v="83.7"/>
    <n v="2"/>
    <d v="2025-09-02T11:42:00"/>
    <d v="2025-09-10T16:42:42"/>
    <d v="2025-09-11T08:06:24"/>
    <n v="1"/>
    <n v="0"/>
  </r>
  <r>
    <s v="UE14"/>
    <s v="Propriétés électroniques des liaisons chimiques"/>
    <s v="J2"/>
    <x v="8"/>
    <n v="90.9"/>
    <n v="2"/>
    <d v="2025-09-08T15:58:57"/>
    <d v="2025-09-11T08:06:24"/>
    <d v="2025-09-11T09:37:18"/>
    <n v="1"/>
    <n v="0"/>
  </r>
  <r>
    <s v="UE10"/>
    <s v="intro: référence et particularité"/>
    <s v="J2"/>
    <x v="8"/>
    <n v="95.4"/>
    <n v="2"/>
    <d v="2025-09-02T11:42:00"/>
    <d v="2025-09-11T09:37:18"/>
    <d v="2025-09-11T11:12:42"/>
    <n v="1"/>
    <n v="0"/>
  </r>
  <r>
    <s v="UE 22"/>
    <s v="Intervention rééducation part-1 "/>
    <s v="J6"/>
    <x v="9"/>
    <n v="47.25"/>
    <n v="4"/>
    <d v="2025-09-03T08:28:48"/>
    <d v="2025-09-11T11:12:42"/>
    <d v="2025-09-11T11:59:57"/>
    <n v="0"/>
    <n v="0"/>
  </r>
  <r>
    <s v="UE14"/>
    <s v="Thermodynamique "/>
    <s v="J2"/>
    <x v="9"/>
    <n v="63"/>
    <n v="2"/>
    <d v="2025-09-08T15:58:57"/>
    <d v="2025-09-11T11:59:57"/>
    <d v="2025-09-11T13:02:57"/>
    <n v="0"/>
    <n v="0"/>
  </r>
  <r>
    <s v="UE 22"/>
    <s v="Intervention rééducation part-3"/>
    <s v="J2"/>
    <x v="9"/>
    <n v="97.2"/>
    <n v="2"/>
    <d v="2025-09-01T08:32:00"/>
    <d v="2025-09-11T13:02:57"/>
    <d v="2025-09-11T14:40:09"/>
    <n v="0"/>
    <n v="0"/>
  </r>
  <r>
    <s v="UE7"/>
    <s v="Protéines "/>
    <s v="J2"/>
    <x v="9"/>
    <n v="99.9"/>
    <n v="2"/>
    <d v="2025-09-10T11:59:12"/>
    <d v="2025-09-11T14:40:09"/>
    <d v="2025-09-11T16:20:03"/>
    <n v="0"/>
    <n v="1"/>
  </r>
  <r>
    <s v="UE 22"/>
    <s v="Répercussion sociétales et empowerment "/>
    <s v="J10"/>
    <x v="9"/>
    <n v="19.2"/>
    <n v="4"/>
    <d v="2025-09-08T08:24:00"/>
    <d v="2025-09-11T16:20:03"/>
    <d v="2025-09-11T16:39:15"/>
    <n v="0"/>
    <n v="1"/>
  </r>
  <r>
    <s v="UE 22"/>
    <s v="Intervention rééducation part-4"/>
    <s v="J0"/>
    <x v="9"/>
    <n v="54"/>
    <n v="0"/>
    <s v="-"/>
    <d v="2025-09-11T16:39:15"/>
    <d v="2025-09-11T17:33:15"/>
    <n v="0"/>
    <n v="0"/>
  </r>
  <r>
    <s v="UE5"/>
    <s v="Elément introductif en santé publique"/>
    <s v="J0"/>
    <x v="9"/>
    <n v="63"/>
    <n v="0"/>
    <s v="-"/>
    <d v="2025-09-11T17:33:15"/>
    <d v="2025-09-12T08:36:15"/>
    <n v="1"/>
    <n v="0"/>
  </r>
  <r>
    <s v="UE5"/>
    <s v="épidémiologie descriptive"/>
    <s v="J10"/>
    <x v="10"/>
    <n v="30.599999999999998"/>
    <n v="4"/>
    <d v="2025-09-08T09:58:57"/>
    <d v="2025-09-12T08:36:15"/>
    <d v="2025-09-12T09:06:51"/>
    <n v="0"/>
    <n v="0"/>
  </r>
  <r>
    <s v="UE5"/>
    <s v="Économie du système de santé"/>
    <s v="J10"/>
    <x v="10"/>
    <n v="47.4"/>
    <n v="4"/>
    <d v="2025-09-08T09:58:57"/>
    <d v="2025-09-12T09:06:51"/>
    <d v="2025-09-12T09:54:15"/>
    <n v="0"/>
    <n v="0"/>
  </r>
  <r>
    <s v="UE10"/>
    <s v="Abdomen et pelvis 1"/>
    <s v="J10"/>
    <x v="10"/>
    <n v="55.199999999999996"/>
    <n v="4"/>
    <d v="2025-09-08T12:07:12"/>
    <d v="2025-09-12T09:54:15"/>
    <d v="2025-09-12T10:49:27"/>
    <n v="0"/>
    <n v="0"/>
  </r>
  <r>
    <s v="UE8"/>
    <s v="Synthèse tampons, Diagramme de Davenport"/>
    <s v="J10"/>
    <x v="10"/>
    <n v="67.8"/>
    <n v="4"/>
    <d v="2025-09-08T13:31:57"/>
    <d v="2025-09-12T10:49:27"/>
    <d v="2025-09-12T11:57:15"/>
    <n v="0"/>
    <n v="0"/>
  </r>
  <r>
    <s v="UE10"/>
    <s v="Membre inférieur 3"/>
    <s v="J0"/>
    <x v="10"/>
    <n v="45"/>
    <n v="0"/>
    <s v="-"/>
    <d v="2025-09-12T11:57:15"/>
    <d v="2025-09-12T12:42:15"/>
    <n v="0"/>
    <n v="0"/>
  </r>
  <r>
    <s v="UE9"/>
    <s v="Outils mathématique "/>
    <s v="J0"/>
    <x v="10"/>
    <n v="64"/>
    <n v="0"/>
    <s v="-"/>
    <d v="2025-09-12T12:42:15"/>
    <d v="2025-09-12T13:46:15"/>
    <n v="0"/>
    <n v="0"/>
  </r>
  <r>
    <s v="UE7"/>
    <s v="Mutations "/>
    <s v="J0"/>
    <x v="10"/>
    <n v="87"/>
    <n v="0"/>
    <s v="-"/>
    <d v="2025-09-12T13:46:15"/>
    <d v="2025-09-12T15:13:15"/>
    <n v="0"/>
    <n v="0"/>
  </r>
  <r>
    <s v="UE6"/>
    <s v="La composition des membranes cellulaire"/>
    <s v="J0"/>
    <x v="10"/>
    <n v="92"/>
    <n v="0"/>
    <s v="-"/>
    <d v="2025-09-12T15:13:15"/>
    <d v="2025-09-12T16:45:15"/>
    <n v="0"/>
    <n v="0"/>
  </r>
  <r>
    <s v="UE 22"/>
    <s v="Intervention rééducation part-4"/>
    <s v="J2"/>
    <x v="11"/>
    <n v="48.6"/>
    <n v="2"/>
    <d v="2025-09-01T08:32:00"/>
    <d v="2025-09-13T08:00:00"/>
    <d v="2025-09-13T08:48:36"/>
    <n v="0"/>
    <n v="0"/>
  </r>
  <r>
    <s v="UE5"/>
    <s v="Elément introductif en santé publique"/>
    <s v="J2"/>
    <x v="11"/>
    <n v="56.7"/>
    <n v="2"/>
    <d v="2025-09-02T08:51:00"/>
    <d v="2025-09-13T08:48:36"/>
    <d v="2025-09-13T09:45:18"/>
    <n v="0"/>
    <n v="0"/>
  </r>
  <r>
    <s v="UE8"/>
    <s v="Thermorégulation"/>
    <s v="J10"/>
    <x v="11"/>
    <n v="39.6"/>
    <n v="4"/>
    <d v="2025-09-08T13:31:57"/>
    <d v="2025-09-13T09:45:18"/>
    <d v="2025-09-13T10:24:54"/>
    <n v="0"/>
    <n v="0"/>
  </r>
  <r>
    <s v="UE8"/>
    <s v="Potentiel électrochimique "/>
    <s v="J10"/>
    <x v="11"/>
    <n v="60"/>
    <n v="4"/>
    <d v="2025-09-08T13:31:57"/>
    <d v="2025-09-13T10:24:54"/>
    <d v="2025-09-13T11:24:54"/>
    <n v="0"/>
    <n v="0"/>
  </r>
  <r>
    <s v="UE10"/>
    <s v="intro: mouvements"/>
    <s v="J10"/>
    <x v="11"/>
    <n v="63"/>
    <n v="4"/>
    <d v="2025-09-08T12:07:12"/>
    <d v="2025-09-13T11:24:54"/>
    <d v="2025-09-13T12:27:54"/>
    <n v="0"/>
    <n v="0"/>
  </r>
  <r>
    <s v="UE 22"/>
    <s v="Législation handicap "/>
    <s v="J6"/>
    <x v="12"/>
    <n v="51.75"/>
    <n v="4"/>
    <d v="2025-09-03T08:28:48"/>
    <d v="2025-09-15T08:00:00"/>
    <d v="2025-09-15T08:51:45"/>
    <n v="1"/>
    <n v="0"/>
  </r>
  <r>
    <s v="UE14"/>
    <s v="Dérivés d'acides carboxylique- AG "/>
    <s v="J6"/>
    <x v="12"/>
    <n v="58.5"/>
    <n v="4"/>
    <d v="2025-09-10T14:11:30"/>
    <d v="2025-09-15T08:51:45"/>
    <d v="2025-09-15T09:50:15"/>
    <n v="1"/>
    <n v="0"/>
  </r>
  <r>
    <s v="UE 22"/>
    <s v="Intervention rééducation part-6"/>
    <s v="J6"/>
    <x v="12"/>
    <n v="62.25"/>
    <n v="4"/>
    <d v="2025-09-03T08:28:48"/>
    <d v="2025-09-15T09:50:15"/>
    <d v="2025-09-15T10:52:30"/>
    <n v="1"/>
    <n v="0"/>
  </r>
  <r>
    <s v="UE10"/>
    <s v="Abdomen et pelvis 2 "/>
    <s v="J6"/>
    <x v="12"/>
    <n v="63.75"/>
    <n v="4"/>
    <d v="2025-09-04T11:19:48"/>
    <d v="2025-09-15T10:52:30"/>
    <d v="2025-09-15T11:56:15"/>
    <n v="1"/>
    <n v="0"/>
  </r>
  <r>
    <s v="UE10"/>
    <s v="Thorax"/>
    <s v="J6"/>
    <x v="12"/>
    <n v="69.75"/>
    <n v="4"/>
    <d v="2025-09-04T11:19:48"/>
    <d v="2025-09-15T11:56:15"/>
    <d v="2025-09-15T13:06:00"/>
    <n v="1"/>
    <n v="0"/>
  </r>
  <r>
    <s v="UE14"/>
    <s v="Propriétés électroniques des liaisons chimiques"/>
    <s v="J6"/>
    <x v="12"/>
    <n v="75.75"/>
    <n v="4"/>
    <d v="2025-09-10T14:11:30"/>
    <d v="2025-09-15T13:06:00"/>
    <d v="2025-09-15T14:21:45"/>
    <n v="1"/>
    <n v="0"/>
  </r>
  <r>
    <s v="UE10"/>
    <s v="intro: référence et particularité"/>
    <s v="J6"/>
    <x v="12"/>
    <n v="79.5"/>
    <n v="4"/>
    <d v="2025-09-04T11:19:48"/>
    <d v="2025-09-15T14:21:45"/>
    <d v="2025-09-15T15:41:15"/>
    <n v="1"/>
    <n v="0"/>
  </r>
  <r>
    <s v="UE10"/>
    <s v="Membre inférieur 3"/>
    <s v="J2"/>
    <x v="12"/>
    <n v="40.5"/>
    <n v="2"/>
    <d v="2025-09-02T11:42:00"/>
    <d v="2025-09-15T15:41:15"/>
    <d v="2025-09-15T16:21:45"/>
    <n v="1"/>
    <n v="0"/>
  </r>
  <r>
    <s v="UE9"/>
    <s v="Outils mathématique "/>
    <s v="J2"/>
    <x v="12"/>
    <n v="57.6"/>
    <n v="2"/>
    <d v="2025-09-12T13:46:15"/>
    <d v="2025-09-15T16:21:45"/>
    <d v="2025-09-15T17:19:21"/>
    <n v="1"/>
    <n v="0"/>
  </r>
  <r>
    <s v="UE7"/>
    <s v="Mutations "/>
    <s v="J2"/>
    <x v="12"/>
    <n v="78.3"/>
    <n v="2"/>
    <d v="2025-09-10T11:59:12"/>
    <d v="2025-09-15T17:19:21"/>
    <d v="2025-09-16T08:37:39"/>
    <n v="1"/>
    <n v="0"/>
  </r>
  <r>
    <s v="UE6"/>
    <s v="La composition des membranes cellulaire"/>
    <s v="J2"/>
    <x v="12"/>
    <n v="82.8"/>
    <n v="2"/>
    <d v="2025-09-12T16:45:15"/>
    <d v="2025-09-16T08:37:39"/>
    <d v="2025-09-16T10:00:27"/>
    <n v="1"/>
    <n v="0"/>
  </r>
  <r>
    <s v="UE14"/>
    <s v="Thermodynamique "/>
    <s v="J6"/>
    <x v="13"/>
    <n v="52.5"/>
    <n v="4"/>
    <d v="2025-09-10T14:11:30"/>
    <d v="2025-09-16T10:00:27"/>
    <d v="2025-09-16T10:52:57"/>
    <n v="1"/>
    <n v="0"/>
  </r>
  <r>
    <s v="UE 22"/>
    <s v="Intervention rééducation part-3"/>
    <s v="J6"/>
    <x v="13"/>
    <n v="81"/>
    <n v="4"/>
    <d v="2025-09-03T08:28:48"/>
    <d v="2025-09-16T10:52:57"/>
    <d v="2025-09-16T12:13:57"/>
    <n v="1"/>
    <n v="0"/>
  </r>
  <r>
    <s v="UE7"/>
    <s v="Protéines "/>
    <s v="J6"/>
    <x v="13"/>
    <n v="83.25"/>
    <n v="4"/>
    <d v="2025-09-11T16:20:03"/>
    <d v="2025-09-16T12:13:57"/>
    <d v="2025-09-16T13:37:12"/>
    <n v="1"/>
    <n v="0"/>
  </r>
  <r>
    <s v="UE 22"/>
    <s v="Intervention rééducation part-1 "/>
    <s v="J10"/>
    <x v="13"/>
    <n v="37.799999999999997"/>
    <n v="4"/>
    <d v="2025-09-08T08:24:00"/>
    <d v="2025-09-16T13:37:12"/>
    <d v="2025-09-16T14:15:00"/>
    <n v="1"/>
    <n v="0"/>
  </r>
  <r>
    <s v="UE4"/>
    <s v="La discipline anthropologique "/>
    <s v="J0"/>
    <x v="13"/>
    <n v="96"/>
    <n v="0"/>
    <s v="-"/>
    <d v="2025-09-16T14:15:00"/>
    <d v="2025-09-16T15:51:00"/>
    <n v="1"/>
    <n v="0"/>
  </r>
  <r>
    <s v="UE10"/>
    <s v="intro: tissus"/>
    <s v="J0"/>
    <x v="13"/>
    <n v="113"/>
    <n v="0"/>
    <s v="-"/>
    <d v="2025-09-16T15:51:00"/>
    <d v="2025-09-16T17:44:00"/>
    <n v="1"/>
    <n v="0"/>
  </r>
  <r>
    <s v="UE 22"/>
    <s v="Répercussion sociétales et empowerment "/>
    <s v="J15"/>
    <x v="14"/>
    <n v="14.4"/>
    <n v="5"/>
    <d v="2025-09-11T16:39:15"/>
    <d v="2025-09-16T17:44:00"/>
    <d v="2025-09-16T17:58:24"/>
    <n v="0"/>
    <n v="0"/>
  </r>
  <r>
    <s v="UE 22"/>
    <s v="Représentations sociales du handicap "/>
    <s v="J0"/>
    <x v="14"/>
    <n v="36"/>
    <n v="0"/>
    <s v="-"/>
    <d v="2025-09-16T17:58:24"/>
    <d v="2025-09-17T08:34:24"/>
    <n v="1"/>
    <n v="0"/>
  </r>
  <r>
    <s v="UE10"/>
    <s v="intro : généralités"/>
    <s v="J0"/>
    <x v="14"/>
    <n v="45"/>
    <n v="0"/>
    <s v="-"/>
    <d v="2025-09-17T08:34:24"/>
    <d v="2025-09-17T09:19:24"/>
    <n v="1"/>
    <n v="0"/>
  </r>
  <r>
    <s v="UE6"/>
    <s v="Division cellulaire"/>
    <s v="J0"/>
    <x v="14"/>
    <n v="48"/>
    <n v="0"/>
    <s v="-"/>
    <d v="2025-09-17T09:19:24"/>
    <d v="2025-09-17T10:07:24"/>
    <n v="1"/>
    <n v="0"/>
  </r>
  <r>
    <s v="UE7"/>
    <s v="Transcription et régulation "/>
    <s v="J0"/>
    <x v="14"/>
    <n v="49"/>
    <n v="0"/>
    <s v="-"/>
    <d v="2025-09-17T10:07:24"/>
    <d v="2025-09-17T10:56:24"/>
    <n v="1"/>
    <n v="0"/>
  </r>
  <r>
    <s v="UE10"/>
    <s v="Membre inférieur 2 "/>
    <s v="J0"/>
    <x v="14"/>
    <n v="60"/>
    <n v="0"/>
    <s v="-"/>
    <d v="2025-09-17T10:56:24"/>
    <d v="2025-09-17T11:56:24"/>
    <n v="1"/>
    <n v="0"/>
  </r>
  <r>
    <s v="UE 22"/>
    <s v="Intervention rééducation part-4"/>
    <s v="J6"/>
    <x v="15"/>
    <n v="40.5"/>
    <n v="4"/>
    <d v="2025-09-03T08:28:48"/>
    <d v="2025-09-17T11:56:24"/>
    <d v="2025-09-17T12:36:54"/>
    <n v="0"/>
    <n v="0"/>
  </r>
  <r>
    <s v="UE5"/>
    <s v="Elément introductif en santé publique"/>
    <s v="J6"/>
    <x v="15"/>
    <n v="47.25"/>
    <n v="4"/>
    <d v="2025-09-04T08:45:54"/>
    <d v="2025-09-17T12:36:54"/>
    <d v="2025-09-17T13:24:09"/>
    <n v="0"/>
    <n v="0"/>
  </r>
  <r>
    <s v="UE4"/>
    <s v="La discipline anthropologique "/>
    <s v="J2"/>
    <x v="15"/>
    <n v="86.4"/>
    <n v="2"/>
    <d v="2025-09-16T15:51:00"/>
    <d v="2025-09-17T13:24:09"/>
    <d v="2025-09-17T14:50:33"/>
    <n v="0"/>
    <n v="1"/>
  </r>
  <r>
    <s v="UE10"/>
    <s v="intro: tissus"/>
    <s v="J2"/>
    <x v="15"/>
    <n v="101.7"/>
    <n v="2"/>
    <d v="2025-09-02T11:42:00"/>
    <d v="2025-09-17T14:50:33"/>
    <d v="2025-09-17T16:32:15"/>
    <n v="0"/>
    <n v="0"/>
  </r>
  <r>
    <s v="UE5"/>
    <s v="épidémiologie descriptive"/>
    <s v="J15"/>
    <x v="15"/>
    <n v="22.95"/>
    <n v="5"/>
    <d v="2025-09-12T09:06:51"/>
    <d v="2025-09-17T16:32:15"/>
    <d v="2025-09-17T16:55:12"/>
    <n v="0"/>
    <n v="0"/>
  </r>
  <r>
    <s v="UE5"/>
    <s v="Économie du système de santé"/>
    <s v="J15"/>
    <x v="15"/>
    <n v="35.550000000000004"/>
    <n v="5"/>
    <d v="2025-09-12T09:06:51"/>
    <d v="2025-09-17T16:55:12"/>
    <d v="2025-09-17T17:30:45"/>
    <n v="0"/>
    <n v="0"/>
  </r>
  <r>
    <s v="UE10"/>
    <s v="Abdomen et pelvis 1"/>
    <s v="J15"/>
    <x v="15"/>
    <n v="41.4"/>
    <n v="5"/>
    <d v="2025-09-12T10:49:27"/>
    <d v="2025-09-17T17:30:45"/>
    <d v="2025-09-18T08:12:09"/>
    <n v="1"/>
    <n v="0"/>
  </r>
  <r>
    <s v="UE8"/>
    <s v="Synthèse tampons, Diagramme de Davenport"/>
    <s v="J15"/>
    <x v="15"/>
    <n v="50.85"/>
    <n v="5"/>
    <d v="2025-09-12T11:57:15"/>
    <d v="2025-09-18T08:12:09"/>
    <d v="2025-09-18T09:03:00"/>
    <n v="1"/>
    <n v="0"/>
  </r>
  <r>
    <s v="UE9"/>
    <s v="États  de la matière et leur caractérisation "/>
    <s v="J0"/>
    <x v="15"/>
    <n v="90"/>
    <n v="0"/>
    <s v="-"/>
    <d v="2025-09-18T09:03:00"/>
    <d v="2025-09-18T10:33:00"/>
    <n v="1"/>
    <n v="0"/>
  </r>
  <r>
    <s v="UE9"/>
    <s v="Interaction rayonnement-Matière "/>
    <s v="J0"/>
    <x v="15"/>
    <n v="112"/>
    <n v="0"/>
    <s v="-"/>
    <d v="2025-09-18T10:33:00"/>
    <d v="2025-09-18T12:25:00"/>
    <n v="1"/>
    <n v="0"/>
  </r>
  <r>
    <s v="UE5"/>
    <s v="essai thérapeutique "/>
    <s v="J0"/>
    <x v="15"/>
    <n v="113"/>
    <n v="0"/>
    <s v="-"/>
    <d v="2025-09-18T12:25:00"/>
    <d v="2025-09-18T14:18:00"/>
    <n v="1"/>
    <n v="0"/>
  </r>
  <r>
    <s v="UE9"/>
    <s v="Les très basses fréquences du spectre électromagnétique "/>
    <s v="J0"/>
    <x v="15"/>
    <n v="120"/>
    <n v="0"/>
    <s v="-"/>
    <d v="2025-09-18T14:18:00"/>
    <d v="2025-09-18T16:18:00"/>
    <n v="1"/>
    <n v="0"/>
  </r>
  <r>
    <s v="UE10"/>
    <s v="Membre inférieur 3"/>
    <s v="J6"/>
    <x v="16"/>
    <n v="33.75"/>
    <n v="4"/>
    <d v="2025-09-04T11:19:48"/>
    <d v="2025-09-18T16:18:00"/>
    <d v="2025-09-18T16:51:45"/>
    <n v="0"/>
    <n v="0"/>
  </r>
  <r>
    <s v="UE9"/>
    <s v="Outils mathématique "/>
    <s v="J6"/>
    <x v="16"/>
    <n v="48"/>
    <n v="4"/>
    <d v="2025-09-15T17:19:21"/>
    <d v="2025-09-18T16:51:45"/>
    <d v="2025-09-18T17:39:45"/>
    <n v="0"/>
    <n v="1"/>
  </r>
  <r>
    <s v="UE7"/>
    <s v="Mutations "/>
    <s v="J6"/>
    <x v="16"/>
    <n v="65.25"/>
    <n v="4"/>
    <d v="2025-09-11T16:20:03"/>
    <d v="2025-09-18T17:39:45"/>
    <d v="2025-09-19T08:45:00"/>
    <n v="1"/>
    <n v="0"/>
  </r>
  <r>
    <s v="UE6"/>
    <s v="La composition des membranes cellulaire"/>
    <s v="J6"/>
    <x v="16"/>
    <n v="69"/>
    <n v="4"/>
    <d v="2025-09-16T10:00:27"/>
    <d v="2025-09-19T08:45:00"/>
    <d v="2025-09-19T09:54:00"/>
    <n v="1"/>
    <n v="1"/>
  </r>
  <r>
    <s v="UE 22"/>
    <s v="Représentations sociales du handicap "/>
    <s v="J2"/>
    <x v="16"/>
    <n v="32.4"/>
    <n v="2"/>
    <d v="2025-09-01T08:32:00"/>
    <d v="2025-09-19T09:54:00"/>
    <d v="2025-09-19T10:26:24"/>
    <n v="1"/>
    <n v="0"/>
  </r>
  <r>
    <s v="UE10"/>
    <s v="intro : généralités"/>
    <s v="J2"/>
    <x v="16"/>
    <n v="40.5"/>
    <n v="2"/>
    <d v="2025-09-02T11:42:00"/>
    <d v="2025-09-19T10:26:24"/>
    <d v="2025-09-19T11:06:54"/>
    <n v="1"/>
    <n v="0"/>
  </r>
  <r>
    <s v="UE6"/>
    <s v="Division cellulaire"/>
    <s v="J2"/>
    <x v="16"/>
    <n v="43.2"/>
    <n v="2"/>
    <d v="2025-09-12T16:45:15"/>
    <d v="2025-09-19T11:06:54"/>
    <d v="2025-09-19T11:50:06"/>
    <n v="1"/>
    <n v="0"/>
  </r>
  <r>
    <s v="UE7"/>
    <s v="Transcription et régulation "/>
    <s v="J2"/>
    <x v="16"/>
    <n v="44.1"/>
    <n v="2"/>
    <d v="2025-09-10T11:59:12"/>
    <d v="2025-09-19T11:50:06"/>
    <d v="2025-09-19T12:34:12"/>
    <n v="1"/>
    <n v="0"/>
  </r>
  <r>
    <s v="UE10"/>
    <s v="Membre inférieur 2 "/>
    <s v="J2"/>
    <x v="16"/>
    <n v="54"/>
    <n v="2"/>
    <d v="2025-09-02T11:42:00"/>
    <d v="2025-09-19T12:34:12"/>
    <d v="2025-09-19T13:28:12"/>
    <n v="1"/>
    <n v="0"/>
  </r>
  <r>
    <s v="UE8"/>
    <s v="Thermorégulation"/>
    <s v="J15"/>
    <x v="16"/>
    <n v="29.7"/>
    <n v="5"/>
    <d v="2025-09-12T11:57:15"/>
    <d v="2025-09-19T13:28:12"/>
    <d v="2025-09-19T13:57:54"/>
    <n v="1"/>
    <n v="0"/>
  </r>
  <r>
    <s v="UE8"/>
    <s v="Potentiel électrochimique "/>
    <s v="J15"/>
    <x v="16"/>
    <n v="45"/>
    <n v="5"/>
    <d v="2025-09-12T11:57:15"/>
    <d v="2025-09-19T13:57:54"/>
    <d v="2025-09-19T14:42:54"/>
    <n v="1"/>
    <n v="0"/>
  </r>
  <r>
    <s v="UE10"/>
    <s v="intro: mouvements"/>
    <s v="J15"/>
    <x v="16"/>
    <n v="47.25"/>
    <n v="5"/>
    <d v="2025-09-12T10:49:27"/>
    <d v="2025-09-19T14:42:54"/>
    <d v="2025-09-19T15:30:09"/>
    <n v="1"/>
    <n v="0"/>
  </r>
  <r>
    <s v="UE 22"/>
    <s v="Législation handicap "/>
    <s v="J10"/>
    <x v="16"/>
    <n v="41.4"/>
    <n v="4"/>
    <d v="2025-09-08T08:24:00"/>
    <d v="2025-09-19T15:30:09"/>
    <d v="2025-09-19T16:11:33"/>
    <n v="1"/>
    <n v="0"/>
  </r>
  <r>
    <s v="UE14"/>
    <s v="Dérivés d'acides carboxylique- AG "/>
    <s v="J10"/>
    <x v="16"/>
    <n v="46.8"/>
    <n v="4"/>
    <d v="2025-09-15T09:50:15"/>
    <d v="2025-09-19T16:11:33"/>
    <d v="2025-09-19T16:58:21"/>
    <n v="1"/>
    <n v="0"/>
  </r>
  <r>
    <s v="UE 22"/>
    <s v="Intervention rééducation part-6"/>
    <s v="J10"/>
    <x v="16"/>
    <n v="49.8"/>
    <n v="4"/>
    <d v="2025-09-08T08:24:00"/>
    <d v="2025-09-19T16:58:21"/>
    <d v="2025-09-19T17:48:09"/>
    <n v="1"/>
    <n v="0"/>
  </r>
  <r>
    <s v="UE10"/>
    <s v="Abdomen et pelvis 2 "/>
    <s v="J10"/>
    <x v="16"/>
    <n v="51"/>
    <n v="4"/>
    <d v="2025-09-08T12:07:12"/>
    <d v="2025-09-19T17:48:09"/>
    <d v="2025-09-22T08:39:09"/>
    <n v="1"/>
    <n v="0"/>
  </r>
  <r>
    <s v="UE10"/>
    <s v="Thorax"/>
    <s v="J10"/>
    <x v="16"/>
    <n v="55.8"/>
    <n v="4"/>
    <d v="2025-09-08T12:07:12"/>
    <d v="2025-09-22T08:39:09"/>
    <d v="2025-09-22T09:34:57"/>
    <n v="1"/>
    <n v="0"/>
  </r>
  <r>
    <s v="UE14"/>
    <s v="Propriétés électroniques des liaisons chimiques"/>
    <s v="J10"/>
    <x v="16"/>
    <n v="60.599999999999994"/>
    <n v="4"/>
    <d v="2025-09-15T09:50:15"/>
    <d v="2025-09-22T09:34:57"/>
    <d v="2025-09-22T10:35:33"/>
    <n v="1"/>
    <n v="0"/>
  </r>
  <r>
    <s v="UE10"/>
    <s v="intro: référence et particularité"/>
    <s v="J10"/>
    <x v="16"/>
    <n v="63.599999999999994"/>
    <n v="4"/>
    <d v="2025-09-08T12:07:12"/>
    <d v="2025-09-22T10:35:33"/>
    <d v="2025-09-22T11:39:09"/>
    <n v="1"/>
    <n v="0"/>
  </r>
  <r>
    <s v="UE7"/>
    <s v="Acides Aminés- peptides "/>
    <s v="J0"/>
    <x v="16"/>
    <n v="31"/>
    <n v="0"/>
    <s v="-"/>
    <d v="2025-09-22T11:39:09"/>
    <d v="2025-09-22T12:10:09"/>
    <n v="1"/>
    <n v="0"/>
  </r>
  <r>
    <s v="UE 22"/>
    <s v="Intervention rééducation part-2"/>
    <s v="J0"/>
    <x v="16"/>
    <n v="40"/>
    <n v="0"/>
    <s v="-"/>
    <d v="2025-09-22T12:10:09"/>
    <d v="2025-09-22T12:50:09"/>
    <n v="1"/>
    <n v="0"/>
  </r>
  <r>
    <s v="UE7"/>
    <s v="Du chromosome à l'ADN"/>
    <s v="J0"/>
    <x v="16"/>
    <n v="60"/>
    <n v="0"/>
    <s v="-"/>
    <d v="2025-09-22T12:50:09"/>
    <d v="2025-09-22T13:50:09"/>
    <n v="1"/>
    <n v="0"/>
  </r>
  <r>
    <s v="UE5"/>
    <s v="corrélation et régression linéaire"/>
    <s v="J0"/>
    <x v="16"/>
    <n v="73"/>
    <n v="0"/>
    <s v="-"/>
    <d v="2025-09-22T13:50:09"/>
    <d v="2025-09-22T15:03:09"/>
    <n v="1"/>
    <n v="0"/>
  </r>
  <r>
    <s v="UE6"/>
    <s v="Signalisation intracellulaire part 1"/>
    <s v="J0"/>
    <x v="16"/>
    <n v="82"/>
    <n v="0"/>
    <s v="-"/>
    <d v="2025-09-22T15:03:09"/>
    <d v="2025-09-22T16:25:09"/>
    <n v="1"/>
    <n v="0"/>
  </r>
  <r>
    <s v="UE8"/>
    <s v="Régulation et rôle du rein "/>
    <s v="J0"/>
    <x v="16"/>
    <n v="99"/>
    <n v="0"/>
    <s v="-"/>
    <d v="2025-09-22T16:25:09"/>
    <d v="2025-09-23T08:04:09"/>
    <n v="1"/>
    <n v="0"/>
  </r>
  <r>
    <s v="UE14"/>
    <s v="Liaisons chimique et interactions moléculaires"/>
    <s v="J0"/>
    <x v="16"/>
    <n v="107"/>
    <n v="0"/>
    <s v="-"/>
    <d v="2025-09-23T08:04:09"/>
    <d v="2025-09-23T09:51:09"/>
    <n v="1"/>
    <n v="0"/>
  </r>
  <r>
    <s v="UE8"/>
    <s v="Physiologie et compartiments liquidiens "/>
    <s v="J0"/>
    <x v="16"/>
    <n v="110"/>
    <n v="0"/>
    <s v="-"/>
    <d v="2025-09-23T09:51:09"/>
    <d v="2025-09-23T11:41:09"/>
    <n v="1"/>
    <n v="0"/>
  </r>
  <r>
    <s v="UE9"/>
    <s v="États  de la matière et leur caractérisation "/>
    <s v="J2"/>
    <x v="17"/>
    <n v="81"/>
    <n v="2"/>
    <d v="2025-09-12T13:46:15"/>
    <d v="2025-09-23T11:41:09"/>
    <d v="2025-09-23T13:02:09"/>
    <n v="1"/>
    <n v="0"/>
  </r>
  <r>
    <s v="UE9"/>
    <s v="Interaction rayonnement-Matière "/>
    <s v="J2"/>
    <x v="17"/>
    <n v="100.8"/>
    <n v="2"/>
    <d v="2025-09-12T13:46:15"/>
    <d v="2025-09-23T13:02:09"/>
    <d v="2025-09-23T14:42:57"/>
    <n v="1"/>
    <n v="0"/>
  </r>
  <r>
    <s v="UE5"/>
    <s v="essai thérapeutique "/>
    <s v="J2"/>
    <x v="17"/>
    <n v="101.7"/>
    <n v="2"/>
    <d v="2025-09-02T08:51:00"/>
    <d v="2025-09-23T14:42:57"/>
    <d v="2025-09-23T16:24:39"/>
    <n v="1"/>
    <n v="0"/>
  </r>
  <r>
    <s v="UE9"/>
    <s v="Les très basses fréquences du spectre électromagnétique "/>
    <s v="J2"/>
    <x v="17"/>
    <n v="108"/>
    <n v="2"/>
    <d v="2025-09-12T13:46:15"/>
    <d v="2025-09-23T16:24:39"/>
    <d v="2025-09-24T08:12:39"/>
    <n v="1"/>
    <n v="0"/>
  </r>
  <r>
    <s v="UE14"/>
    <s v="Thermodynamique "/>
    <s v="J10"/>
    <x v="17"/>
    <n v="42"/>
    <n v="4"/>
    <d v="2025-09-15T09:50:15"/>
    <d v="2025-09-24T08:12:39"/>
    <d v="2025-09-24T08:54:39"/>
    <n v="1"/>
    <n v="0"/>
  </r>
  <r>
    <s v="UE 22"/>
    <s v="Intervention rééducation part-3"/>
    <s v="J10"/>
    <x v="17"/>
    <n v="64.8"/>
    <n v="4"/>
    <d v="2025-09-08T08:24:00"/>
    <d v="2025-09-24T08:54:39"/>
    <d v="2025-09-24T09:59:27"/>
    <n v="1"/>
    <n v="0"/>
  </r>
  <r>
    <s v="UE7"/>
    <s v="Protéines "/>
    <s v="J10"/>
    <x v="17"/>
    <n v="66.599999999999994"/>
    <n v="4"/>
    <d v="2025-09-16T13:37:12"/>
    <d v="2025-09-24T09:59:27"/>
    <d v="2025-09-24T11:06:03"/>
    <n v="1"/>
    <n v="0"/>
  </r>
  <r>
    <s v="UE4"/>
    <s v="psychologie générale "/>
    <s v="J0"/>
    <x v="17"/>
    <n v="32"/>
    <n v="0"/>
    <s v="-"/>
    <d v="2025-09-24T11:06:03"/>
    <d v="2025-09-24T11:38:03"/>
    <n v="1"/>
    <n v="0"/>
  </r>
  <r>
    <s v="UE5"/>
    <s v="schéma d'étude "/>
    <s v="J0"/>
    <x v="17"/>
    <n v="56"/>
    <n v="0"/>
    <s v="-"/>
    <d v="2025-09-24T11:38:03"/>
    <d v="2025-09-24T12:34:03"/>
    <n v="1"/>
    <n v="0"/>
  </r>
  <r>
    <s v="UE14"/>
    <s v="Les alcools- les amines"/>
    <s v="J0"/>
    <x v="17"/>
    <n v="56"/>
    <n v="0"/>
    <s v="-"/>
    <d v="2025-09-24T12:34:03"/>
    <d v="2025-09-24T13:30:03"/>
    <n v="1"/>
    <n v="0"/>
  </r>
  <r>
    <s v="UE5"/>
    <s v="Introduction épidémiologie et stats"/>
    <s v="J0"/>
    <x v="17"/>
    <n v="102"/>
    <n v="0"/>
    <s v="-"/>
    <d v="2025-09-24T13:30:03"/>
    <d v="2025-09-24T15:12:03"/>
    <n v="1"/>
    <n v="0"/>
  </r>
  <r>
    <s v="UE 22"/>
    <s v="Intervention rééducation part-5"/>
    <s v="J0"/>
    <x v="17"/>
    <n v="104"/>
    <n v="0"/>
    <s v="-"/>
    <d v="2025-09-24T15:12:03"/>
    <d v="2025-09-24T16:56:03"/>
    <n v="1"/>
    <n v="0"/>
  </r>
  <r>
    <s v="UE7"/>
    <s v="Acides Aminés- peptides "/>
    <s v="J2"/>
    <x v="18"/>
    <n v="27.900000000000002"/>
    <n v="2"/>
    <d v="2025-09-10T11:59:12"/>
    <d v="2025-09-24T16:56:03"/>
    <d v="2025-09-24T17:23:57"/>
    <n v="1"/>
    <n v="0"/>
  </r>
  <r>
    <s v="UE 22"/>
    <s v="Intervention rééducation part-2"/>
    <s v="J2"/>
    <x v="18"/>
    <n v="36"/>
    <n v="2"/>
    <d v="2025-09-01T08:32:00"/>
    <d v="2025-09-24T17:23:57"/>
    <d v="2025-09-24T17:59:57"/>
    <n v="1"/>
    <n v="0"/>
  </r>
  <r>
    <s v="UE7"/>
    <s v="Du chromosome à l'ADN"/>
    <s v="J2"/>
    <x v="18"/>
    <n v="54"/>
    <n v="2"/>
    <d v="2025-09-10T11:59:12"/>
    <d v="2025-09-24T17:59:57"/>
    <d v="2025-09-25T08:53:57"/>
    <n v="1"/>
    <n v="0"/>
  </r>
  <r>
    <s v="UE5"/>
    <s v="corrélation et régression linéaire"/>
    <s v="J2"/>
    <x v="18"/>
    <n v="65.7"/>
    <n v="2"/>
    <d v="2025-09-02T08:51:00"/>
    <d v="2025-09-25T08:53:57"/>
    <d v="2025-09-25T09:59:39"/>
    <n v="1"/>
    <n v="0"/>
  </r>
  <r>
    <s v="UE6"/>
    <s v="Signalisation intracellulaire part 1"/>
    <s v="J2"/>
    <x v="18"/>
    <n v="73.8"/>
    <n v="2"/>
    <d v="2025-09-12T16:45:15"/>
    <d v="2025-09-25T09:59:39"/>
    <d v="2025-09-25T11:13:27"/>
    <n v="1"/>
    <n v="0"/>
  </r>
  <r>
    <s v="UE8"/>
    <s v="Régulation et rôle du rein "/>
    <s v="J2"/>
    <x v="18"/>
    <n v="89.100000000000009"/>
    <n v="2"/>
    <d v="2025-09-02T13:35:00"/>
    <d v="2025-09-25T11:13:27"/>
    <d v="2025-09-25T12:42:33"/>
    <n v="1"/>
    <n v="0"/>
  </r>
  <r>
    <s v="UE14"/>
    <s v="Liaisons chimique et interactions moléculaires"/>
    <s v="J2"/>
    <x v="18"/>
    <n v="96.3"/>
    <n v="2"/>
    <d v="2025-09-08T15:58:57"/>
    <d v="2025-09-25T12:42:33"/>
    <d v="2025-09-25T14:18:51"/>
    <n v="1"/>
    <n v="0"/>
  </r>
  <r>
    <s v="UE8"/>
    <s v="Physiologie et compartiments liquidiens "/>
    <s v="J2"/>
    <x v="18"/>
    <n v="99"/>
    <n v="2"/>
    <d v="2025-09-02T13:35:00"/>
    <d v="2025-09-25T14:18:51"/>
    <d v="2025-09-25T15:57:51"/>
    <n v="1"/>
    <n v="0"/>
  </r>
  <r>
    <s v="UE 22"/>
    <s v="Intervention rééducation part-1 "/>
    <s v="J15"/>
    <x v="18"/>
    <n v="28.35"/>
    <n v="5"/>
    <d v="2025-09-11T16:39:15"/>
    <d v="2025-09-25T15:57:51"/>
    <d v="2025-09-25T16:26:12"/>
    <n v="1"/>
    <n v="0"/>
  </r>
  <r>
    <s v="UE4"/>
    <s v="La discipline anthropologique "/>
    <s v="J6"/>
    <x v="19"/>
    <n v="72"/>
    <n v="4"/>
    <d v="2025-09-17T14:50:33"/>
    <d v="2025-09-25T16:26:12"/>
    <d v="2025-09-25T17:38:12"/>
    <n v="1"/>
    <n v="0"/>
  </r>
  <r>
    <s v="UE10"/>
    <s v="intro: tissus"/>
    <s v="J6"/>
    <x v="19"/>
    <n v="84.75"/>
    <n v="4"/>
    <d v="2025-09-04T11:19:48"/>
    <d v="2025-09-25T17:38:12"/>
    <d v="2025-09-26T09:02:57"/>
    <n v="1"/>
    <n v="0"/>
  </r>
  <r>
    <s v="UE4"/>
    <s v="psychologie générale "/>
    <s v="J2"/>
    <x v="19"/>
    <n v="28.8"/>
    <n v="2"/>
    <d v="2025-09-16T15:51:00"/>
    <d v="2025-09-26T09:02:57"/>
    <d v="2025-09-26T09:31:45"/>
    <n v="1"/>
    <n v="0"/>
  </r>
  <r>
    <s v="UE5"/>
    <s v="schéma d'étude "/>
    <s v="J2"/>
    <x v="19"/>
    <n v="50.4"/>
    <n v="2"/>
    <d v="2025-09-02T08:51:00"/>
    <d v="2025-09-26T09:31:45"/>
    <d v="2025-09-26T10:22:09"/>
    <n v="1"/>
    <n v="0"/>
  </r>
  <r>
    <s v="UE14"/>
    <s v="Les alcools- les amines"/>
    <s v="J2"/>
    <x v="19"/>
    <n v="50.4"/>
    <n v="2"/>
    <d v="2025-09-08T15:58:57"/>
    <d v="2025-09-26T10:22:09"/>
    <d v="2025-09-26T11:12:33"/>
    <n v="1"/>
    <n v="0"/>
  </r>
  <r>
    <s v="UE5"/>
    <s v="Introduction épidémiologie et stats"/>
    <s v="J2"/>
    <x v="19"/>
    <n v="91.8"/>
    <n v="2"/>
    <d v="2025-09-02T08:51:00"/>
    <d v="2025-09-26T11:12:33"/>
    <d v="2025-09-26T12:44:21"/>
    <n v="1"/>
    <n v="0"/>
  </r>
  <r>
    <s v="UE 22"/>
    <s v="Intervention rééducation part-5"/>
    <s v="J2"/>
    <x v="19"/>
    <n v="93.600000000000009"/>
    <n v="2"/>
    <d v="2025-09-01T08:32:00"/>
    <d v="2025-09-26T12:44:21"/>
    <d v="2025-09-26T14:17:57"/>
    <n v="1"/>
    <n v="0"/>
  </r>
  <r>
    <s v="UE 22"/>
    <s v="Intervention rééducation part-4"/>
    <s v="J10"/>
    <x v="19"/>
    <n v="32.4"/>
    <n v="4"/>
    <d v="2025-09-08T08:24:00"/>
    <d v="2025-09-26T14:17:57"/>
    <d v="2025-09-26T14:50:21"/>
    <n v="1"/>
    <n v="0"/>
  </r>
  <r>
    <s v="UE5"/>
    <s v="Elément introductif en santé publique"/>
    <s v="J10"/>
    <x v="19"/>
    <n v="37.799999999999997"/>
    <n v="4"/>
    <d v="2025-09-08T09:58:57"/>
    <d v="2025-09-26T14:50:21"/>
    <d v="2025-09-26T15:28:09"/>
    <n v="1"/>
    <n v="0"/>
  </r>
  <r>
    <s v="UE 22"/>
    <s v="Représentations sociales du handicap "/>
    <s v="J6"/>
    <x v="20"/>
    <n v="27"/>
    <n v="4"/>
    <d v="2025-09-03T08:28:48"/>
    <d v="2025-09-26T15:28:09"/>
    <d v="2025-09-26T15:55:09"/>
    <n v="1"/>
    <n v="0"/>
  </r>
  <r>
    <s v="UE10"/>
    <s v="intro : généralités"/>
    <s v="J6"/>
    <x v="20"/>
    <n v="33.75"/>
    <n v="4"/>
    <d v="2025-09-04T11:19:48"/>
    <d v="2025-09-26T15:55:09"/>
    <d v="2025-09-26T16:28:54"/>
    <n v="1"/>
    <n v="0"/>
  </r>
  <r>
    <s v="UE6"/>
    <s v="Division cellulaire"/>
    <s v="J6"/>
    <x v="20"/>
    <n v="36"/>
    <n v="4"/>
    <d v="2025-09-16T10:00:27"/>
    <d v="2025-09-26T16:28:54"/>
    <d v="2025-09-26T17:04:54"/>
    <n v="1"/>
    <n v="0"/>
  </r>
  <r>
    <s v="UE7"/>
    <s v="Transcription et régulation "/>
    <s v="J6"/>
    <x v="20"/>
    <n v="36.75"/>
    <n v="4"/>
    <d v="2025-09-11T16:20:03"/>
    <d v="2025-09-26T17:04:54"/>
    <d v="2025-09-26T17:41:39"/>
    <n v="1"/>
    <n v="0"/>
  </r>
  <r>
    <s v="UE10"/>
    <s v="Membre inférieur 2 "/>
    <s v="J6"/>
    <x v="20"/>
    <n v="45"/>
    <n v="4"/>
    <d v="2025-09-04T11:19:48"/>
    <d v="2025-09-26T17:41:39"/>
    <d v="2025-09-29T08:26:39"/>
    <n v="1"/>
    <n v="0"/>
  </r>
  <r>
    <s v="UE10"/>
    <s v="Membre inférieur 3"/>
    <s v="J10"/>
    <x v="20"/>
    <n v="27"/>
    <n v="4"/>
    <d v="2025-09-08T12:07:12"/>
    <d v="2025-09-29T08:26:39"/>
    <d v="2025-09-29T08:53:39"/>
    <n v="1"/>
    <n v="0"/>
  </r>
  <r>
    <s v="UE9"/>
    <s v="Outils mathématique "/>
    <s v="J10"/>
    <x v="20"/>
    <n v="38.4"/>
    <n v="4"/>
    <d v="2025-09-18T17:39:45"/>
    <d v="2025-09-29T08:53:39"/>
    <d v="2025-09-29T09:32:03"/>
    <n v="1"/>
    <n v="0"/>
  </r>
  <r>
    <s v="UE7"/>
    <s v="Mutations "/>
    <s v="J10"/>
    <x v="20"/>
    <n v="52.199999999999996"/>
    <n v="4"/>
    <d v="2025-09-16T13:37:12"/>
    <d v="2025-09-29T09:32:03"/>
    <d v="2025-09-29T10:24:15"/>
    <n v="1"/>
    <n v="0"/>
  </r>
  <r>
    <s v="UE6"/>
    <s v="La composition des membranes cellulaire"/>
    <s v="J10"/>
    <x v="20"/>
    <n v="55.199999999999996"/>
    <n v="4"/>
    <d v="2025-09-19T09:54:00"/>
    <d v="2025-09-29T10:24:15"/>
    <d v="2025-09-29T11:19:27"/>
    <n v="1"/>
    <n v="0"/>
  </r>
  <r>
    <s v="UE6"/>
    <s v="Transport intracellulaire et trafic vésiculaire "/>
    <s v="J0"/>
    <x v="20"/>
    <n v="33"/>
    <n v="0"/>
    <s v="-"/>
    <d v="2025-09-29T11:19:27"/>
    <d v="2025-09-29T11:52:27"/>
    <n v="1"/>
    <n v="0"/>
  </r>
  <r>
    <s v="UE10"/>
    <s v="Membre inférieur 1"/>
    <s v="J0"/>
    <x v="20"/>
    <n v="110"/>
    <n v="0"/>
    <s v="-"/>
    <d v="2025-09-29T11:52:27"/>
    <d v="2025-09-29T13:42:27"/>
    <n v="1"/>
    <n v="0"/>
  </r>
  <r>
    <s v="UE10"/>
    <s v="intro: région, fascias et appareil "/>
    <s v="J0"/>
    <x v="20"/>
    <n v="112"/>
    <n v="0"/>
    <s v="-"/>
    <d v="2025-09-29T13:42:27"/>
    <d v="2025-09-29T15:34:27"/>
    <n v="1"/>
    <n v="0"/>
  </r>
  <r>
    <s v="UE9"/>
    <s v="États  de la matière et leur caractérisation "/>
    <s v="J6"/>
    <x v="21"/>
    <n v="67.5"/>
    <n v="4"/>
    <d v="2025-09-15T17:19:21"/>
    <d v="2025-09-29T15:34:27"/>
    <d v="2025-09-29T16:41:57"/>
    <n v="1"/>
    <n v="0"/>
  </r>
  <r>
    <s v="UE9"/>
    <s v="Interaction rayonnement-Matière "/>
    <s v="J6"/>
    <x v="21"/>
    <n v="84"/>
    <n v="4"/>
    <d v="2025-09-15T17:19:21"/>
    <d v="2025-09-29T16:41:57"/>
    <d v="2025-09-30T08:05:57"/>
    <n v="1"/>
    <n v="0"/>
  </r>
  <r>
    <s v="UE5"/>
    <s v="essai thérapeutique "/>
    <s v="J6"/>
    <x v="21"/>
    <n v="84.75"/>
    <n v="4"/>
    <d v="2025-09-04T08:45:54"/>
    <d v="2025-09-30T08:05:57"/>
    <d v="2025-09-30T09:30:42"/>
    <n v="1"/>
    <n v="0"/>
  </r>
  <r>
    <s v="UE9"/>
    <s v="Les très basses fréquences du spectre électromagnétique "/>
    <s v="J6"/>
    <x v="21"/>
    <n v="90"/>
    <n v="4"/>
    <d v="2025-09-15T17:19:21"/>
    <d v="2025-09-30T09:30:42"/>
    <d v="2025-09-30T11:00:42"/>
    <n v="1"/>
    <n v="0"/>
  </r>
  <r>
    <s v="UE 22"/>
    <s v="Législation handicap "/>
    <s v="J15"/>
    <x v="21"/>
    <n v="31.05"/>
    <n v="5"/>
    <d v="2025-09-11T16:39:15"/>
    <d v="2025-09-30T11:00:42"/>
    <d v="2025-09-30T11:31:45"/>
    <n v="1"/>
    <n v="0"/>
  </r>
  <r>
    <s v="UE14"/>
    <s v="Dérivés d'acides carboxylique- AG "/>
    <s v="J15"/>
    <x v="21"/>
    <n v="35.1"/>
    <n v="5"/>
    <d v="2025-09-19T16:58:21"/>
    <d v="2025-09-30T11:31:45"/>
    <d v="2025-09-30T12:06:51"/>
    <n v="1"/>
    <n v="0"/>
  </r>
  <r>
    <s v="UE 22"/>
    <s v="Intervention rééducation part-6"/>
    <s v="J15"/>
    <x v="21"/>
    <n v="37.35"/>
    <n v="5"/>
    <d v="2025-09-11T16:39:15"/>
    <d v="2025-09-30T12:06:51"/>
    <d v="2025-09-30T12:44:12"/>
    <n v="1"/>
    <n v="0"/>
  </r>
  <r>
    <s v="UE10"/>
    <s v="Abdomen et pelvis 2 "/>
    <s v="J15"/>
    <x v="21"/>
    <n v="38.25"/>
    <n v="5"/>
    <d v="2025-09-12T10:49:27"/>
    <d v="2025-09-30T12:44:12"/>
    <d v="2025-09-30T13:22:27"/>
    <n v="1"/>
    <n v="0"/>
  </r>
  <r>
    <s v="UE10"/>
    <s v="Thorax"/>
    <s v="J15"/>
    <x v="21"/>
    <n v="41.85"/>
    <n v="5"/>
    <d v="2025-09-12T10:49:27"/>
    <d v="2025-09-30T13:22:27"/>
    <d v="2025-09-30T14:04:18"/>
    <n v="1"/>
    <n v="0"/>
  </r>
  <r>
    <s v="UE14"/>
    <s v="Propriétés électroniques des liaisons chimiques"/>
    <s v="J15"/>
    <x v="21"/>
    <n v="45.45"/>
    <n v="5"/>
    <d v="2025-09-19T16:58:21"/>
    <d v="2025-09-30T14:04:18"/>
    <d v="2025-09-30T14:49:45"/>
    <n v="1"/>
    <n v="0"/>
  </r>
  <r>
    <s v="UE10"/>
    <s v="intro: référence et particularité"/>
    <s v="J15"/>
    <x v="21"/>
    <n v="47.7"/>
    <n v="5"/>
    <d v="2025-09-12T10:49:27"/>
    <d v="2025-09-30T14:49:45"/>
    <d v="2025-09-30T15:37:27"/>
    <n v="1"/>
    <n v="0"/>
  </r>
  <r>
    <s v="UE 22"/>
    <s v="CI du fonctionnement, du handicap et de la santé "/>
    <s v="J0"/>
    <x v="21"/>
    <n v="58"/>
    <n v="0"/>
    <s v="-"/>
    <d v="2025-09-30T15:37:27"/>
    <d v="2025-09-30T16:35:27"/>
    <n v="1"/>
    <n v="0"/>
  </r>
  <r>
    <s v="UE8"/>
    <s v="Jonction neuro-musculaire"/>
    <s v="J0"/>
    <x v="21"/>
    <n v="78"/>
    <n v="0"/>
    <s v="-"/>
    <d v="2025-09-30T16:35:27"/>
    <d v="2025-09-30T17:53:27"/>
    <n v="1"/>
    <n v="0"/>
  </r>
  <r>
    <s v="UE4"/>
    <s v="Culture, corps et santé"/>
    <s v="J0"/>
    <x v="21"/>
    <n v="82"/>
    <n v="0"/>
    <s v="-"/>
    <d v="2025-09-30T17:53:27"/>
    <d v="2025-10-01T09:15:27"/>
    <n v="1"/>
    <n v="0"/>
  </r>
  <r>
    <s v="UE14"/>
    <s v="Les acides aminés- les oses "/>
    <s v="J0"/>
    <x v="21"/>
    <n v="102"/>
    <n v="0"/>
    <s v="-"/>
    <d v="2025-10-01T09:15:27"/>
    <d v="2025-10-01T10:57:27"/>
    <n v="1"/>
    <n v="0"/>
  </r>
  <r>
    <s v="UE7"/>
    <s v="Acides Aminés- peptides "/>
    <s v="J6"/>
    <x v="22"/>
    <n v="23.25"/>
    <n v="4"/>
    <d v="2025-09-11T16:20:03"/>
    <d v="2025-10-01T10:57:27"/>
    <d v="2025-10-01T11:20:42"/>
    <n v="1"/>
    <n v="0"/>
  </r>
  <r>
    <s v="UE 22"/>
    <s v="Intervention rééducation part-2"/>
    <s v="J6"/>
    <x v="22"/>
    <n v="30"/>
    <n v="4"/>
    <d v="2025-09-03T08:28:48"/>
    <d v="2025-10-01T11:20:42"/>
    <d v="2025-10-01T11:50:42"/>
    <n v="1"/>
    <n v="0"/>
  </r>
  <r>
    <s v="UE7"/>
    <s v="Du chromosome à l'ADN"/>
    <s v="J6"/>
    <x v="22"/>
    <n v="45"/>
    <n v="4"/>
    <d v="2025-09-11T16:20:03"/>
    <d v="2025-10-01T11:50:42"/>
    <d v="2025-10-01T12:35:42"/>
    <n v="1"/>
    <n v="0"/>
  </r>
  <r>
    <s v="UE5"/>
    <s v="corrélation et régression linéaire"/>
    <s v="J6"/>
    <x v="22"/>
    <n v="54.75"/>
    <n v="4"/>
    <d v="2025-09-04T08:45:54"/>
    <d v="2025-10-01T12:35:42"/>
    <d v="2025-10-01T13:30:27"/>
    <n v="1"/>
    <n v="0"/>
  </r>
  <r>
    <s v="UE6"/>
    <s v="Signalisation intracellulaire part 1"/>
    <s v="J6"/>
    <x v="22"/>
    <n v="61.5"/>
    <n v="4"/>
    <d v="2025-09-16T10:00:27"/>
    <d v="2025-10-01T13:30:27"/>
    <d v="2025-10-01T14:31:57"/>
    <n v="1"/>
    <n v="0"/>
  </r>
  <r>
    <s v="UE8"/>
    <s v="Régulation et rôle du rein "/>
    <s v="J6"/>
    <x v="22"/>
    <n v="74.25"/>
    <n v="4"/>
    <d v="2025-09-04T13:01:30"/>
    <d v="2025-10-01T14:31:57"/>
    <d v="2025-10-01T15:46:12"/>
    <n v="1"/>
    <n v="0"/>
  </r>
  <r>
    <s v="UE14"/>
    <s v="Liaisons chimique et interactions moléculaires"/>
    <s v="J6"/>
    <x v="22"/>
    <n v="80.25"/>
    <n v="4"/>
    <d v="2025-09-10T14:11:30"/>
    <d v="2025-10-01T15:46:12"/>
    <d v="2025-10-01T17:06:27"/>
    <n v="1"/>
    <n v="0"/>
  </r>
  <r>
    <s v="UE8"/>
    <s v="Physiologie et compartiments liquidiens "/>
    <s v="J6"/>
    <x v="22"/>
    <n v="82.5"/>
    <n v="4"/>
    <d v="2025-09-04T13:01:30"/>
    <d v="2025-10-01T17:06:27"/>
    <d v="2025-10-02T08:28:57"/>
    <n v="1"/>
    <n v="0"/>
  </r>
  <r>
    <s v="UE6"/>
    <s v="Transport intracellulaire et trafic vésiculaire "/>
    <s v="J2"/>
    <x v="22"/>
    <n v="29.7"/>
    <n v="2"/>
    <d v="2025-09-12T16:45:15"/>
    <d v="2025-10-02T08:28:57"/>
    <d v="2025-10-02T08:58:39"/>
    <n v="1"/>
    <n v="0"/>
  </r>
  <r>
    <s v="UE10"/>
    <s v="Membre inférieur 1"/>
    <s v="J2"/>
    <x v="22"/>
    <n v="99"/>
    <n v="2"/>
    <d v="2025-09-02T11:42:00"/>
    <d v="2025-10-02T08:58:39"/>
    <d v="2025-10-02T10:37:39"/>
    <n v="1"/>
    <n v="0"/>
  </r>
  <r>
    <s v="UE10"/>
    <s v="intro: région, fascias et appareil "/>
    <s v="J2"/>
    <x v="22"/>
    <n v="100.8"/>
    <n v="2"/>
    <d v="2025-09-02T11:42:00"/>
    <d v="2025-10-02T10:37:39"/>
    <d v="2025-10-02T12:18:27"/>
    <n v="1"/>
    <n v="0"/>
  </r>
  <r>
    <s v="UE14"/>
    <s v="Thermodynamique "/>
    <s v="J15"/>
    <x v="22"/>
    <n v="31.5"/>
    <n v="5"/>
    <d v="2025-09-19T16:58:21"/>
    <d v="2025-10-02T12:18:27"/>
    <d v="2025-10-02T12:49:57"/>
    <n v="1"/>
    <n v="0"/>
  </r>
  <r>
    <s v="UE 22"/>
    <s v="Intervention rééducation part-3"/>
    <s v="J15"/>
    <x v="22"/>
    <n v="48.6"/>
    <n v="5"/>
    <d v="2025-09-11T16:39:15"/>
    <d v="2025-10-02T12:49:57"/>
    <d v="2025-10-02T13:38:33"/>
    <n v="1"/>
    <n v="0"/>
  </r>
  <r>
    <s v="UE7"/>
    <s v="Protéines "/>
    <s v="J15"/>
    <x v="22"/>
    <n v="49.95"/>
    <n v="5"/>
    <d v="2025-09-24T11:06:03"/>
    <d v="2025-10-02T13:38:33"/>
    <d v="2025-10-02T14:28:30"/>
    <n v="1"/>
    <n v="0"/>
  </r>
  <r>
    <s v="UE7"/>
    <s v="Structure des glucides "/>
    <s v="J0"/>
    <x v="22"/>
    <n v="40"/>
    <n v="0"/>
    <s v="-"/>
    <d v="2025-10-02T14:28:30"/>
    <d v="2025-10-02T15:08:30"/>
    <n v="1"/>
    <n v="0"/>
  </r>
  <r>
    <s v="UE6"/>
    <s v="Cytosquellette"/>
    <s v="J0"/>
    <x v="22"/>
    <n v="60"/>
    <n v="0"/>
    <s v="-"/>
    <d v="2025-10-02T15:08:30"/>
    <d v="2025-10-02T16:08:30"/>
    <n v="1"/>
    <n v="0"/>
  </r>
  <r>
    <s v="UE10"/>
    <s v="Membre supérieur 3"/>
    <s v="J0"/>
    <x v="22"/>
    <n v="69"/>
    <n v="0"/>
    <s v="-"/>
    <d v="2025-10-02T16:08:30"/>
    <d v="2025-10-02T17:17:30"/>
    <n v="1"/>
    <n v="0"/>
  </r>
  <r>
    <s v="UE10"/>
    <s v="Dos"/>
    <s v="J0"/>
    <x v="22"/>
    <n v="98"/>
    <n v="0"/>
    <s v="-"/>
    <d v="2025-10-02T17:17:30"/>
    <d v="2025-10-03T08:55:30"/>
    <n v="1"/>
    <n v="0"/>
  </r>
  <r>
    <s v="UE9"/>
    <s v="Le domaine de l'optique "/>
    <s v="J0"/>
    <x v="22"/>
    <n v="100"/>
    <n v="0"/>
    <s v="-"/>
    <d v="2025-10-03T08:55:30"/>
    <d v="2025-10-03T10:35:30"/>
    <n v="1"/>
    <n v="0"/>
  </r>
  <r>
    <s v="UE9"/>
    <s v="Rayons X et gamma-Rayonnement particulaire"/>
    <s v="J0"/>
    <x v="22"/>
    <n v="100"/>
    <n v="0"/>
    <s v="-"/>
    <d v="2025-10-03T10:35:30"/>
    <d v="2025-10-03T12:15:30"/>
    <n v="1"/>
    <n v="0"/>
  </r>
  <r>
    <s v="UE10"/>
    <s v="Tête"/>
    <s v="J0"/>
    <x v="22"/>
    <n v="100"/>
    <n v="0"/>
    <s v="-"/>
    <d v="2025-10-03T12:15:30"/>
    <d v="2025-10-03T13:55:30"/>
    <n v="1"/>
    <n v="0"/>
  </r>
  <r>
    <s v="UE4"/>
    <s v="psychologie générale "/>
    <s v="J6"/>
    <x v="23"/>
    <n v="24"/>
    <n v="4"/>
    <d v="2025-09-17T14:50:33"/>
    <d v="2025-10-03T13:55:30"/>
    <d v="2025-10-03T14:19:30"/>
    <n v="1"/>
    <n v="0"/>
  </r>
  <r>
    <s v="UE5"/>
    <s v="schéma d'étude "/>
    <s v="J6"/>
    <x v="23"/>
    <n v="42"/>
    <n v="4"/>
    <d v="2025-09-04T08:45:54"/>
    <d v="2025-10-03T14:19:30"/>
    <d v="2025-10-03T15:01:30"/>
    <n v="1"/>
    <n v="0"/>
  </r>
  <r>
    <s v="UE14"/>
    <s v="Les alcools- les amines"/>
    <s v="J6"/>
    <x v="23"/>
    <n v="42"/>
    <n v="4"/>
    <d v="2025-09-10T14:11:30"/>
    <d v="2025-10-03T15:01:30"/>
    <d v="2025-10-03T15:43:30"/>
    <n v="1"/>
    <n v="0"/>
  </r>
  <r>
    <s v="UE5"/>
    <s v="Introduction épidémiologie et stats"/>
    <s v="J6"/>
    <x v="23"/>
    <n v="76.5"/>
    <n v="4"/>
    <d v="2025-09-04T08:45:54"/>
    <d v="2025-10-03T15:43:30"/>
    <d v="2025-10-03T17:00:00"/>
    <n v="1"/>
    <n v="0"/>
  </r>
  <r>
    <s v="UE 22"/>
    <s v="Intervention rééducation part-5"/>
    <s v="J6"/>
    <x v="23"/>
    <n v="78"/>
    <n v="4"/>
    <d v="2025-09-03T08:28:48"/>
    <d v="2025-10-03T17:00:00"/>
    <d v="2025-10-06T08:18:00"/>
    <n v="1"/>
    <n v="0"/>
  </r>
  <r>
    <s v="UE 22"/>
    <s v="CI du fonctionnement, du handicap et de la santé "/>
    <s v="J2"/>
    <x v="23"/>
    <n v="52.2"/>
    <n v="2"/>
    <d v="2025-09-01T08:32:00"/>
    <d v="2025-10-06T08:18:00"/>
    <d v="2025-10-06T09:10:12"/>
    <n v="1"/>
    <n v="0"/>
  </r>
  <r>
    <s v="UE8"/>
    <s v="Jonction neuro-musculaire"/>
    <s v="J2"/>
    <x v="23"/>
    <n v="70.2"/>
    <n v="2"/>
    <d v="2025-09-02T13:35:00"/>
    <d v="2025-10-06T09:10:12"/>
    <d v="2025-10-06T10:20:24"/>
    <n v="1"/>
    <n v="0"/>
  </r>
  <r>
    <s v="UE4"/>
    <s v="Culture, corps et santé"/>
    <s v="J2"/>
    <x v="23"/>
    <n v="73.8"/>
    <n v="2"/>
    <d v="2025-09-16T15:51:00"/>
    <d v="2025-10-06T10:20:24"/>
    <d v="2025-10-06T11:34:12"/>
    <n v="1"/>
    <n v="0"/>
  </r>
  <r>
    <s v="UE14"/>
    <s v="Les acides aminés- les oses "/>
    <s v="J2"/>
    <x v="23"/>
    <n v="91.8"/>
    <n v="2"/>
    <d v="2025-09-08T15:58:57"/>
    <d v="2025-10-06T11:34:12"/>
    <d v="2025-10-06T13:06:00"/>
    <n v="1"/>
    <n v="0"/>
  </r>
  <r>
    <s v="UE4"/>
    <s v="La discipline anthropologique "/>
    <s v="J10"/>
    <x v="23"/>
    <n v="57.599999999999994"/>
    <n v="4"/>
    <d v="2025-09-25T17:38:12"/>
    <d v="2025-10-06T13:06:00"/>
    <d v="2025-10-06T14:03:36"/>
    <n v="1"/>
    <n v="0"/>
  </r>
  <r>
    <s v="UE10"/>
    <s v="intro: tissus"/>
    <s v="J10"/>
    <x v="23"/>
    <n v="67.8"/>
    <n v="4"/>
    <d v="2025-09-08T12:07:12"/>
    <d v="2025-10-06T14:03:36"/>
    <d v="2025-10-06T15:11:24"/>
    <n v="1"/>
    <n v="0"/>
  </r>
  <r>
    <s v="UE10"/>
    <s v="Membre supérieur 1"/>
    <s v="J0"/>
    <x v="23"/>
    <n v="34"/>
    <n v="0"/>
    <s v="-"/>
    <d v="2025-10-06T15:11:24"/>
    <d v="2025-10-06T15:45:24"/>
    <n v="1"/>
    <n v="0"/>
  </r>
  <r>
    <s v="UE8"/>
    <s v="pH et équilibre acido basique d'une solution"/>
    <s v="J0"/>
    <x v="23"/>
    <n v="36"/>
    <n v="0"/>
    <s v="-"/>
    <d v="2025-10-06T15:45:24"/>
    <d v="2025-10-06T16:21:24"/>
    <n v="1"/>
    <n v="0"/>
  </r>
  <r>
    <s v="UE8"/>
    <s v="système nerveux autonome "/>
    <s v="J0"/>
    <x v="23"/>
    <n v="70"/>
    <n v="0"/>
    <s v="-"/>
    <d v="2025-10-06T16:21:24"/>
    <d v="2025-10-06T17:31:24"/>
    <n v="1"/>
    <n v="0"/>
  </r>
  <r>
    <s v="UE4"/>
    <s v="Maladies, itinéraire thérapeutique"/>
    <s v="J0"/>
    <x v="23"/>
    <n v="76"/>
    <n v="0"/>
    <s v="-"/>
    <d v="2025-10-06T17:31:24"/>
    <d v="2025-10-07T08:47:24"/>
    <n v="1"/>
    <n v="0"/>
  </r>
  <r>
    <s v="UE14"/>
    <s v="Nomenclature chimique- Isomérie "/>
    <s v="J0"/>
    <x v="23"/>
    <n v="88"/>
    <n v="0"/>
    <s v="-"/>
    <d v="2025-10-07T08:47:24"/>
    <d v="2025-10-07T10:15:24"/>
    <n v="1"/>
    <n v="0"/>
  </r>
  <r>
    <s v="UE7"/>
    <s v="Structure des glucides "/>
    <s v="J2"/>
    <x v="24"/>
    <n v="36"/>
    <n v="2"/>
    <d v="2025-09-10T11:59:12"/>
    <d v="2025-10-07T10:15:24"/>
    <d v="2025-10-07T10:51:24"/>
    <n v="1"/>
    <n v="0"/>
  </r>
  <r>
    <s v="UE6"/>
    <s v="Cytosquellette"/>
    <s v="J2"/>
    <x v="24"/>
    <n v="54"/>
    <n v="2"/>
    <d v="2025-09-12T16:45:15"/>
    <d v="2025-10-07T10:51:24"/>
    <d v="2025-10-07T11:45:24"/>
    <n v="1"/>
    <n v="0"/>
  </r>
  <r>
    <s v="UE10"/>
    <s v="Membre supérieur 3"/>
    <s v="J2"/>
    <x v="24"/>
    <n v="62.1"/>
    <n v="2"/>
    <d v="2025-09-02T11:42:00"/>
    <d v="2025-10-07T11:45:24"/>
    <d v="2025-10-07T12:47:30"/>
    <n v="1"/>
    <n v="0"/>
  </r>
  <r>
    <s v="UE10"/>
    <s v="Dos"/>
    <s v="J2"/>
    <x v="24"/>
    <n v="88.2"/>
    <n v="2"/>
    <d v="2025-09-02T11:42:00"/>
    <d v="2025-10-07T12:47:30"/>
    <d v="2025-10-07T14:15:42"/>
    <n v="1"/>
    <n v="0"/>
  </r>
  <r>
    <s v="UE9"/>
    <s v="Le domaine de l'optique "/>
    <s v="J2"/>
    <x v="24"/>
    <n v="90"/>
    <n v="2"/>
    <d v="2025-09-12T13:46:15"/>
    <d v="2025-10-07T14:15:42"/>
    <d v="2025-10-07T15:45:42"/>
    <n v="1"/>
    <n v="0"/>
  </r>
  <r>
    <s v="UE9"/>
    <s v="Rayons X et gamma-Rayonnement particulaire"/>
    <s v="J2"/>
    <x v="24"/>
    <n v="90"/>
    <n v="2"/>
    <d v="2025-09-12T13:46:15"/>
    <d v="2025-10-07T15:45:42"/>
    <d v="2025-10-07T17:15:42"/>
    <n v="1"/>
    <n v="0"/>
  </r>
  <r>
    <s v="UE10"/>
    <s v="Tête"/>
    <s v="J2"/>
    <x v="24"/>
    <n v="90"/>
    <n v="2"/>
    <d v="2025-09-02T11:42:00"/>
    <d v="2025-10-07T17:15:42"/>
    <d v="2025-10-08T08:45:42"/>
    <n v="1"/>
    <n v="0"/>
  </r>
  <r>
    <s v="UE 22"/>
    <s v="Intervention rééducation part-4"/>
    <s v="J15"/>
    <x v="24"/>
    <n v="24.3"/>
    <n v="5"/>
    <d v="2025-09-11T16:39:15"/>
    <d v="2025-10-08T08:45:42"/>
    <d v="2025-10-08T09:10:00"/>
    <n v="1"/>
    <n v="0"/>
  </r>
  <r>
    <s v="UE5"/>
    <s v="Elément introductif en santé publique"/>
    <s v="J15"/>
    <x v="24"/>
    <n v="28.35"/>
    <n v="5"/>
    <d v="2025-09-12T09:06:51"/>
    <d v="2025-10-08T09:10:00"/>
    <d v="2025-10-08T09:38:21"/>
    <n v="1"/>
    <n v="0"/>
  </r>
  <r>
    <s v="UE 22"/>
    <s v="Représentations sociales du handicap "/>
    <s v="J10"/>
    <x v="24"/>
    <n v="21.599999999999998"/>
    <n v="4"/>
    <d v="2025-09-08T08:24:00"/>
    <d v="2025-10-08T09:38:21"/>
    <d v="2025-10-08T09:59:57"/>
    <n v="1"/>
    <n v="0"/>
  </r>
  <r>
    <s v="UE10"/>
    <s v="intro : généralités"/>
    <s v="J10"/>
    <x v="24"/>
    <n v="27"/>
    <n v="4"/>
    <d v="2025-09-08T12:07:12"/>
    <d v="2025-10-08T09:59:57"/>
    <d v="2025-10-08T10:26:57"/>
    <n v="1"/>
    <n v="0"/>
  </r>
  <r>
    <s v="UE6"/>
    <s v="Division cellulaire"/>
    <s v="J10"/>
    <x v="24"/>
    <n v="28.799999999999997"/>
    <n v="4"/>
    <d v="2025-09-19T09:54:00"/>
    <d v="2025-10-08T10:26:57"/>
    <d v="2025-10-08T10:55:45"/>
    <n v="1"/>
    <n v="0"/>
  </r>
  <r>
    <s v="UE7"/>
    <s v="Transcription et régulation "/>
    <s v="J10"/>
    <x v="24"/>
    <n v="29.4"/>
    <n v="4"/>
    <d v="2025-09-16T13:37:12"/>
    <d v="2025-10-08T10:55:45"/>
    <d v="2025-10-08T11:25:09"/>
    <n v="1"/>
    <n v="0"/>
  </r>
  <r>
    <s v="UE10"/>
    <s v="Membre inférieur 2 "/>
    <s v="J10"/>
    <x v="24"/>
    <n v="36"/>
    <n v="4"/>
    <d v="2025-09-08T12:07:12"/>
    <d v="2025-10-08T11:25:09"/>
    <d v="2025-10-08T12:01:09"/>
    <n v="1"/>
    <n v="0"/>
  </r>
  <r>
    <s v="UE10"/>
    <s v="Membre supérieur 1"/>
    <s v="J2"/>
    <x v="25"/>
    <n v="30.6"/>
    <n v="2"/>
    <d v="2025-09-02T11:42:00"/>
    <d v="2025-10-08T12:01:09"/>
    <d v="2025-10-08T12:31:45"/>
    <n v="1"/>
    <n v="0"/>
  </r>
  <r>
    <s v="UE8"/>
    <s v="pH et équilibre acido basique d'une solution"/>
    <s v="J2"/>
    <x v="25"/>
    <n v="32.4"/>
    <n v="2"/>
    <d v="2025-09-02T13:35:00"/>
    <d v="2025-10-08T12:31:45"/>
    <d v="2025-10-08T13:04:09"/>
    <n v="1"/>
    <n v="0"/>
  </r>
  <r>
    <s v="UE8"/>
    <s v="système nerveux autonome "/>
    <s v="J2"/>
    <x v="25"/>
    <n v="63"/>
    <n v="2"/>
    <d v="2025-09-02T13:35:00"/>
    <d v="2025-10-08T13:04:09"/>
    <d v="2025-10-08T14:07:09"/>
    <n v="1"/>
    <n v="0"/>
  </r>
  <r>
    <s v="UE4"/>
    <s v="Maladies, itinéraire thérapeutique"/>
    <s v="J2"/>
    <x v="25"/>
    <n v="68.400000000000006"/>
    <n v="2"/>
    <d v="2025-09-16T15:51:00"/>
    <d v="2025-10-08T14:07:09"/>
    <d v="2025-10-08T15:15:33"/>
    <n v="1"/>
    <n v="0"/>
  </r>
  <r>
    <s v="UE14"/>
    <s v="Nomenclature chimique- Isomérie "/>
    <s v="J2"/>
    <x v="25"/>
    <n v="79.2"/>
    <n v="2"/>
    <d v="2025-09-08T15:58:57"/>
    <d v="2025-10-08T15:15:33"/>
    <d v="2025-10-08T16:34:45"/>
    <n v="1"/>
    <n v="0"/>
  </r>
  <r>
    <s v="UE10"/>
    <s v="Membre inférieur 3"/>
    <s v="J15"/>
    <x v="25"/>
    <n v="20.25"/>
    <n v="5"/>
    <d v="2025-09-12T10:49:27"/>
    <d v="2025-10-08T16:34:45"/>
    <d v="2025-10-08T16:55:00"/>
    <n v="1"/>
    <n v="0"/>
  </r>
  <r>
    <s v="UE9"/>
    <s v="Outils mathématique "/>
    <s v="J15"/>
    <x v="25"/>
    <n v="28.8"/>
    <n v="5"/>
    <d v="2025-09-29T09:32:03"/>
    <d v="2025-10-08T16:55:00"/>
    <d v="2025-10-08T17:23:48"/>
    <n v="1"/>
    <n v="0"/>
  </r>
  <r>
    <s v="UE7"/>
    <s v="Mutations "/>
    <s v="J15"/>
    <x v="25"/>
    <n v="39.15"/>
    <n v="5"/>
    <d v="2025-09-24T11:06:03"/>
    <d v="2025-10-08T17:23:48"/>
    <d v="2025-10-09T08:02:57"/>
    <n v="1"/>
    <n v="0"/>
  </r>
  <r>
    <s v="UE6"/>
    <s v="La composition des membranes cellulaire"/>
    <s v="J15"/>
    <x v="25"/>
    <n v="41.4"/>
    <n v="5"/>
    <d v="2025-09-29T11:19:27"/>
    <d v="2025-10-09T08:02:57"/>
    <d v="2025-10-09T08:44:21"/>
    <n v="1"/>
    <n v="0"/>
  </r>
  <r>
    <s v="UE9"/>
    <s v="États  de la matière et leur caractérisation "/>
    <s v="J10"/>
    <x v="25"/>
    <n v="54"/>
    <n v="4"/>
    <d v="2025-09-18T17:39:45"/>
    <d v="2025-10-09T08:44:21"/>
    <d v="2025-10-09T09:38:21"/>
    <n v="1"/>
    <n v="0"/>
  </r>
  <r>
    <s v="UE9"/>
    <s v="Interaction rayonnement-Matière "/>
    <s v="J10"/>
    <x v="25"/>
    <n v="67.2"/>
    <n v="4"/>
    <d v="2025-09-18T17:39:45"/>
    <d v="2025-10-09T09:38:21"/>
    <d v="2025-10-09T10:45:33"/>
    <n v="1"/>
    <n v="0"/>
  </r>
  <r>
    <s v="UE5"/>
    <s v="essai thérapeutique "/>
    <s v="J10"/>
    <x v="25"/>
    <n v="67.8"/>
    <n v="4"/>
    <d v="2025-09-08T09:58:57"/>
    <d v="2025-10-09T10:45:33"/>
    <d v="2025-10-09T11:53:21"/>
    <n v="1"/>
    <n v="0"/>
  </r>
  <r>
    <s v="UE9"/>
    <s v="Les très basses fréquences du spectre électromagnétique "/>
    <s v="J10"/>
    <x v="25"/>
    <n v="72"/>
    <n v="4"/>
    <d v="2025-09-18T17:39:45"/>
    <d v="2025-10-09T11:53:21"/>
    <d v="2025-10-09T13:05:21"/>
    <n v="1"/>
    <n v="0"/>
  </r>
  <r>
    <s v="UE6"/>
    <s v="Transport intracellulaire et trafic vésiculaire "/>
    <s v="J6"/>
    <x v="26"/>
    <n v="24.75"/>
    <n v="4"/>
    <d v="2025-09-16T10:00:27"/>
    <d v="2025-10-09T13:05:21"/>
    <d v="2025-10-09T13:30:06"/>
    <n v="1"/>
    <n v="0"/>
  </r>
  <r>
    <s v="UE10"/>
    <s v="Membre inférieur 1"/>
    <s v="J6"/>
    <x v="26"/>
    <n v="82.5"/>
    <n v="4"/>
    <d v="2025-09-04T11:19:48"/>
    <d v="2025-10-09T13:30:06"/>
    <d v="2025-10-09T14:52:36"/>
    <n v="1"/>
    <n v="0"/>
  </r>
  <r>
    <s v="UE10"/>
    <s v="intro: région, fascias et appareil "/>
    <s v="J6"/>
    <x v="26"/>
    <n v="84"/>
    <n v="4"/>
    <d v="2025-09-04T11:19:48"/>
    <d v="2025-10-09T14:52:36"/>
    <d v="2025-10-09T16:16:36"/>
    <n v="1"/>
    <n v="0"/>
  </r>
  <r>
    <s v="UE7"/>
    <s v="Acides Aminés- peptides "/>
    <s v="J10"/>
    <x v="26"/>
    <n v="18.599999999999998"/>
    <n v="4"/>
    <d v="2025-09-16T13:37:12"/>
    <d v="2025-10-09T16:16:36"/>
    <d v="2025-10-09T16:35:12"/>
    <n v="1"/>
    <n v="0"/>
  </r>
  <r>
    <s v="UE 22"/>
    <s v="Intervention rééducation part-2"/>
    <s v="J10"/>
    <x v="26"/>
    <n v="24"/>
    <n v="4"/>
    <d v="2025-09-08T08:24:00"/>
    <d v="2025-10-09T16:35:12"/>
    <d v="2025-10-09T16:59:12"/>
    <n v="1"/>
    <n v="0"/>
  </r>
  <r>
    <s v="UE7"/>
    <s v="Du chromosome à l'ADN"/>
    <s v="J10"/>
    <x v="26"/>
    <n v="36"/>
    <n v="4"/>
    <d v="2025-09-16T13:37:12"/>
    <d v="2025-10-09T16:59:12"/>
    <d v="2025-10-09T17:35:12"/>
    <n v="1"/>
    <n v="0"/>
  </r>
  <r>
    <s v="UE5"/>
    <s v="corrélation et régression linéaire"/>
    <s v="J10"/>
    <x v="26"/>
    <n v="43.8"/>
    <n v="4"/>
    <d v="2025-09-08T09:58:57"/>
    <d v="2025-10-09T17:35:12"/>
    <d v="2025-10-10T08:19:00"/>
    <n v="1"/>
    <n v="0"/>
  </r>
  <r>
    <s v="UE6"/>
    <s v="Signalisation intracellulaire part 1"/>
    <s v="J10"/>
    <x v="26"/>
    <n v="49.199999999999996"/>
    <n v="4"/>
    <d v="2025-09-19T09:54:00"/>
    <d v="2025-10-10T08:19:00"/>
    <d v="2025-10-10T09:08:12"/>
    <n v="1"/>
    <n v="0"/>
  </r>
  <r>
    <s v="UE8"/>
    <s v="Régulation et rôle du rein "/>
    <s v="J10"/>
    <x v="26"/>
    <n v="59.4"/>
    <n v="4"/>
    <d v="2025-09-08T13:31:57"/>
    <d v="2025-10-10T09:08:12"/>
    <d v="2025-10-10T10:07:36"/>
    <n v="1"/>
    <n v="0"/>
  </r>
  <r>
    <s v="UE14"/>
    <s v="Liaisons chimique et interactions moléculaires"/>
    <s v="J10"/>
    <x v="26"/>
    <n v="64.2"/>
    <n v="4"/>
    <d v="2025-09-15T09:50:15"/>
    <d v="2025-10-10T10:07:36"/>
    <d v="2025-10-10T11:11:48"/>
    <n v="1"/>
    <n v="0"/>
  </r>
  <r>
    <s v="UE8"/>
    <s v="Physiologie et compartiments liquidiens "/>
    <s v="J10"/>
    <x v="26"/>
    <n v="66"/>
    <n v="4"/>
    <d v="2025-09-08T13:31:57"/>
    <d v="2025-10-10T11:11:48"/>
    <d v="2025-10-10T12:17:48"/>
    <n v="1"/>
    <n v="0"/>
  </r>
  <r>
    <s v="UE 22"/>
    <s v="CI du fonctionnement, du handicap et de la santé "/>
    <s v="J6"/>
    <x v="27"/>
    <n v="43.5"/>
    <n v="4"/>
    <d v="2025-09-03T08:28:48"/>
    <d v="2025-10-10T12:17:48"/>
    <d v="2025-10-10T13:01:18"/>
    <n v="1"/>
    <n v="0"/>
  </r>
  <r>
    <s v="UE8"/>
    <s v="Jonction neuro-musculaire"/>
    <s v="J6"/>
    <x v="27"/>
    <n v="58.5"/>
    <n v="4"/>
    <d v="2025-09-04T13:01:30"/>
    <d v="2025-10-10T13:01:18"/>
    <d v="2025-10-10T13:59:48"/>
    <n v="1"/>
    <n v="0"/>
  </r>
  <r>
    <s v="UE4"/>
    <s v="Culture, corps et santé"/>
    <s v="J6"/>
    <x v="27"/>
    <n v="61.5"/>
    <n v="4"/>
    <d v="2025-09-17T14:50:33"/>
    <d v="2025-10-10T13:59:48"/>
    <d v="2025-10-10T15:01:18"/>
    <n v="1"/>
    <n v="0"/>
  </r>
  <r>
    <s v="UE14"/>
    <s v="Les acides aminés- les oses "/>
    <s v="J6"/>
    <x v="27"/>
    <n v="76.5"/>
    <n v="4"/>
    <d v="2025-09-10T14:11:30"/>
    <d v="2025-10-10T15:01:18"/>
    <d v="2025-10-10T16:17:48"/>
    <n v="1"/>
    <n v="0"/>
  </r>
  <r>
    <s v="UE4"/>
    <s v="psychologie générale "/>
    <s v="J10"/>
    <x v="27"/>
    <n v="19.2"/>
    <n v="4"/>
    <d v="2025-09-25T17:38:12"/>
    <d v="2025-10-10T16:17:48"/>
    <d v="2025-10-10T16:37:00"/>
    <n v="1"/>
    <n v="0"/>
  </r>
  <r>
    <s v="UE5"/>
    <s v="schéma d'étude "/>
    <s v="J10"/>
    <x v="27"/>
    <n v="33.6"/>
    <n v="4"/>
    <d v="2025-09-08T09:58:57"/>
    <d v="2025-10-10T16:37:00"/>
    <d v="2025-10-10T17:10:36"/>
    <n v="1"/>
    <n v="0"/>
  </r>
  <r>
    <s v="UE14"/>
    <s v="Les alcools- les amines"/>
    <s v="J10"/>
    <x v="27"/>
    <n v="33.6"/>
    <n v="4"/>
    <d v="2025-09-15T09:50:15"/>
    <d v="2025-10-10T17:10:36"/>
    <d v="2025-10-10T17:44:12"/>
    <n v="1"/>
    <n v="0"/>
  </r>
  <r>
    <s v="UE5"/>
    <s v="Introduction épidémiologie et stats"/>
    <s v="J10"/>
    <x v="27"/>
    <n v="61.199999999999996"/>
    <n v="4"/>
    <d v="2025-09-08T09:58:57"/>
    <d v="2025-10-10T17:44:12"/>
    <d v="2025-10-13T08:45:24"/>
    <n v="1"/>
    <n v="0"/>
  </r>
  <r>
    <s v="UE 22"/>
    <s v="Intervention rééducation part-5"/>
    <s v="J10"/>
    <x v="27"/>
    <n v="62.4"/>
    <n v="4"/>
    <d v="2025-09-08T08:24:00"/>
    <d v="2025-10-13T08:45:24"/>
    <d v="2025-10-13T09:47:48"/>
    <n v="1"/>
    <n v="0"/>
  </r>
  <r>
    <s v="UE10"/>
    <s v="Appareil locomoteur 1"/>
    <s v="J0"/>
    <x v="27"/>
    <n v="79"/>
    <n v="0"/>
    <s v="-"/>
    <d v="2025-10-13T09:47:48"/>
    <d v="2025-10-13T11:06:48"/>
    <n v="1"/>
    <n v="0"/>
  </r>
  <r>
    <s v="UE7"/>
    <s v="Réplication de l'ADN"/>
    <s v="J0"/>
    <x v="27"/>
    <n v="108"/>
    <n v="0"/>
    <s v="-"/>
    <d v="2025-10-13T11:06:48"/>
    <d v="2025-10-13T12:54:48"/>
    <n v="1"/>
    <n v="0"/>
  </r>
  <r>
    <s v="UE7"/>
    <s v="Structure des glucides "/>
    <s v="J6"/>
    <x v="28"/>
    <n v="30"/>
    <n v="4"/>
    <d v="2025-09-11T16:20:03"/>
    <d v="2025-10-13T12:54:48"/>
    <d v="2025-10-13T13:24:48"/>
    <n v="1"/>
    <n v="0"/>
  </r>
  <r>
    <s v="UE6"/>
    <s v="Cytosquellette"/>
    <s v="J6"/>
    <x v="28"/>
    <n v="45"/>
    <n v="4"/>
    <d v="2025-09-16T10:00:27"/>
    <d v="2025-10-13T13:24:48"/>
    <d v="2025-10-13T14:09:48"/>
    <n v="1"/>
    <n v="0"/>
  </r>
  <r>
    <s v="UE10"/>
    <s v="Membre supérieur 3"/>
    <s v="J6"/>
    <x v="28"/>
    <n v="51.75"/>
    <n v="4"/>
    <d v="2025-09-04T11:19:48"/>
    <d v="2025-10-13T14:09:48"/>
    <d v="2025-10-13T15:01:33"/>
    <n v="1"/>
    <n v="0"/>
  </r>
  <r>
    <s v="UE10"/>
    <s v="Dos"/>
    <s v="J6"/>
    <x v="28"/>
    <n v="73.5"/>
    <n v="4"/>
    <d v="2025-09-04T11:19:48"/>
    <d v="2025-10-13T15:01:33"/>
    <d v="2025-10-13T16:15:03"/>
    <n v="1"/>
    <n v="0"/>
  </r>
  <r>
    <s v="UE9"/>
    <s v="Le domaine de l'optique "/>
    <s v="J6"/>
    <x v="28"/>
    <n v="75"/>
    <n v="4"/>
    <d v="2025-09-15T17:19:21"/>
    <d v="2025-10-13T16:15:03"/>
    <d v="2025-10-13T17:30:03"/>
    <n v="1"/>
    <n v="0"/>
  </r>
  <r>
    <s v="UE9"/>
    <s v="Rayons X et gamma-Rayonnement particulaire"/>
    <s v="J6"/>
    <x v="28"/>
    <n v="75"/>
    <n v="4"/>
    <d v="2025-09-15T17:19:21"/>
    <d v="2025-10-13T17:30:03"/>
    <d v="2025-10-14T08:45:03"/>
    <n v="1"/>
    <n v="0"/>
  </r>
  <r>
    <s v="UE10"/>
    <s v="Tête"/>
    <s v="J6"/>
    <x v="28"/>
    <n v="75"/>
    <n v="4"/>
    <d v="2025-09-04T11:19:48"/>
    <d v="2025-10-14T08:45:03"/>
    <d v="2025-10-14T10:00:03"/>
    <n v="1"/>
    <n v="0"/>
  </r>
  <r>
    <s v="UE4"/>
    <s v="La discipline anthropologique "/>
    <s v="J15"/>
    <x v="28"/>
    <n v="43.2"/>
    <n v="5"/>
    <d v="2025-10-06T14:03:36"/>
    <d v="2025-10-14T10:00:03"/>
    <d v="2025-10-14T10:43:15"/>
    <n v="1"/>
    <n v="0"/>
  </r>
  <r>
    <s v="UE10"/>
    <s v="intro: tissus"/>
    <s v="J15"/>
    <x v="28"/>
    <n v="50.85"/>
    <n v="5"/>
    <d v="2025-09-12T10:49:27"/>
    <d v="2025-10-14T10:43:15"/>
    <d v="2025-10-14T11:34:06"/>
    <n v="1"/>
    <n v="0"/>
  </r>
  <r>
    <s v="UE4"/>
    <s v="Sociologie de la profession médicale"/>
    <s v="J0"/>
    <x v="28"/>
    <n v="59"/>
    <n v="0"/>
    <s v="-"/>
    <d v="2025-10-14T11:34:06"/>
    <d v="2025-10-14T12:33:06"/>
    <n v="1"/>
    <n v="0"/>
  </r>
  <r>
    <s v="UE7"/>
    <s v="Structure et role des nucléotides"/>
    <s v="J0"/>
    <x v="28"/>
    <n v="114"/>
    <n v="0"/>
    <s v="-"/>
    <d v="2025-10-14T12:33:06"/>
    <d v="2025-10-14T14:27:06"/>
    <n v="1"/>
    <n v="0"/>
  </r>
  <r>
    <s v="UE4"/>
    <s v="évolution des conceptions relatives au stress"/>
    <s v="J0"/>
    <x v="28"/>
    <n v="118"/>
    <n v="0"/>
    <s v="-"/>
    <d v="2025-10-14T14:27:06"/>
    <d v="2025-10-14T16:25:06"/>
    <n v="1"/>
    <n v="0"/>
  </r>
  <r>
    <s v="UE10"/>
    <s v="Membre supérieur 1"/>
    <s v="J6"/>
    <x v="29"/>
    <n v="25.5"/>
    <n v="4"/>
    <d v="2025-09-04T11:19:48"/>
    <d v="2025-10-14T16:25:06"/>
    <d v="2025-10-14T16:50:36"/>
    <n v="1"/>
    <n v="0"/>
  </r>
  <r>
    <s v="UE8"/>
    <s v="pH et équilibre acido basique d'une solution"/>
    <s v="J6"/>
    <x v="29"/>
    <n v="27"/>
    <n v="4"/>
    <d v="2025-09-04T13:01:30"/>
    <d v="2025-10-14T16:50:36"/>
    <d v="2025-10-14T17:17:36"/>
    <n v="1"/>
    <n v="0"/>
  </r>
  <r>
    <s v="UE8"/>
    <s v="système nerveux autonome "/>
    <s v="J6"/>
    <x v="29"/>
    <n v="52.5"/>
    <n v="4"/>
    <d v="2025-09-04T13:01:30"/>
    <d v="2025-10-14T17:17:36"/>
    <d v="2025-10-15T08:10:06"/>
    <n v="1"/>
    <n v="0"/>
  </r>
  <r>
    <s v="UE4"/>
    <s v="Maladies, itinéraire thérapeutique"/>
    <s v="J6"/>
    <x v="29"/>
    <n v="57"/>
    <n v="4"/>
    <d v="2025-09-17T14:50:33"/>
    <d v="2025-10-15T08:10:06"/>
    <d v="2025-10-15T09:07:06"/>
    <n v="1"/>
    <n v="0"/>
  </r>
  <r>
    <s v="UE14"/>
    <s v="Nomenclature chimique- Isomérie "/>
    <s v="J6"/>
    <x v="29"/>
    <n v="66"/>
    <n v="4"/>
    <d v="2025-09-10T14:11:30"/>
    <d v="2025-10-15T09:07:06"/>
    <d v="2025-10-15T10:13:06"/>
    <n v="1"/>
    <n v="0"/>
  </r>
  <r>
    <s v="UE 22"/>
    <s v="Répercussion sociétales et empowerment "/>
    <s v="J30"/>
    <x v="29"/>
    <n v="9.6"/>
    <n v="15"/>
    <d v="2025-09-16T17:58:24"/>
    <d v="2025-10-15T10:13:06"/>
    <d v="2025-10-15T10:22:42"/>
    <n v="1"/>
    <n v="0"/>
  </r>
  <r>
    <s v="UE10"/>
    <s v="Appareil locomoteur 1"/>
    <s v="J2"/>
    <x v="29"/>
    <n v="71.100000000000009"/>
    <n v="2"/>
    <d v="2025-09-02T11:42:00"/>
    <d v="2025-10-15T10:22:42"/>
    <d v="2025-10-15T11:33:48"/>
    <n v="1"/>
    <n v="0"/>
  </r>
  <r>
    <s v="UE7"/>
    <s v="Réplication de l'ADN"/>
    <s v="J2"/>
    <x v="29"/>
    <n v="97.2"/>
    <n v="2"/>
    <d v="2025-09-10T11:59:12"/>
    <d v="2025-10-15T11:33:48"/>
    <d v="2025-10-15T13:11:00"/>
    <n v="1"/>
    <n v="0"/>
  </r>
  <r>
    <s v="UE 22"/>
    <s v="Représentations sociales du handicap "/>
    <s v="J15"/>
    <x v="29"/>
    <n v="16.2"/>
    <n v="5"/>
    <d v="2025-09-11T16:39:15"/>
    <d v="2025-10-15T13:11:00"/>
    <d v="2025-10-15T13:27:12"/>
    <n v="1"/>
    <n v="0"/>
  </r>
  <r>
    <s v="UE10"/>
    <s v="intro : généralités"/>
    <s v="J15"/>
    <x v="29"/>
    <n v="20.25"/>
    <n v="5"/>
    <d v="2025-09-12T10:49:27"/>
    <d v="2025-10-15T13:27:12"/>
    <d v="2025-10-15T13:47:27"/>
    <n v="1"/>
    <n v="0"/>
  </r>
  <r>
    <s v="UE6"/>
    <s v="Division cellulaire"/>
    <s v="J15"/>
    <x v="29"/>
    <n v="21.6"/>
    <n v="5"/>
    <d v="2025-09-29T11:19:27"/>
    <d v="2025-10-15T13:47:27"/>
    <d v="2025-10-15T14:09:03"/>
    <n v="1"/>
    <n v="0"/>
  </r>
  <r>
    <s v="UE7"/>
    <s v="Transcription et régulation "/>
    <s v="J15"/>
    <x v="29"/>
    <n v="22.05"/>
    <n v="5"/>
    <d v="2025-09-24T11:06:03"/>
    <d v="2025-10-15T14:09:03"/>
    <d v="2025-10-15T14:31:06"/>
    <n v="1"/>
    <n v="0"/>
  </r>
  <r>
    <s v="UE10"/>
    <s v="Membre inférieur 2 "/>
    <s v="J15"/>
    <x v="29"/>
    <n v="27"/>
    <n v="5"/>
    <d v="2025-09-12T10:49:27"/>
    <d v="2025-10-15T14:31:06"/>
    <d v="2025-10-15T14:58:06"/>
    <n v="1"/>
    <n v="0"/>
  </r>
  <r>
    <s v="UE10"/>
    <s v="Appareil locomoteur 3"/>
    <s v="J0"/>
    <x v="29"/>
    <n v="50"/>
    <n v="0"/>
    <s v="-"/>
    <d v="2025-10-15T14:58:06"/>
    <d v="2025-10-15T15:48:06"/>
    <n v="1"/>
    <n v="0"/>
  </r>
  <r>
    <s v="UE5"/>
    <s v="tests stats et méthodologie de choix de test "/>
    <s v="J0"/>
    <x v="29"/>
    <n v="60"/>
    <n v="0"/>
    <s v="-"/>
    <d v="2025-10-15T15:48:06"/>
    <d v="2025-10-15T16:48:06"/>
    <n v="1"/>
    <n v="0"/>
  </r>
  <r>
    <s v="UE6"/>
    <s v="Signalisation intracellulaire part 2"/>
    <s v="J0"/>
    <x v="29"/>
    <n v="89"/>
    <n v="0"/>
    <s v="-"/>
    <d v="2025-10-15T16:48:06"/>
    <d v="2025-10-16T08:17:06"/>
    <n v="1"/>
    <n v="0"/>
  </r>
  <r>
    <s v="UE10"/>
    <s v="Membre supérieur 2 "/>
    <s v="J0"/>
    <x v="29"/>
    <n v="102"/>
    <n v="0"/>
    <s v="-"/>
    <d v="2025-10-16T08:17:06"/>
    <d v="2025-10-16T09:59:06"/>
    <n v="1"/>
    <n v="0"/>
  </r>
  <r>
    <s v="UE5"/>
    <s v="épidémiologie descriptive"/>
    <s v="J30"/>
    <x v="30"/>
    <n v="15.299999999999999"/>
    <n v="15"/>
    <d v="2025-09-17T16:55:12"/>
    <d v="2025-10-16T09:59:06"/>
    <d v="2025-10-16T10:14:24"/>
    <n v="1"/>
    <n v="0"/>
  </r>
  <r>
    <s v="UE5"/>
    <s v="Économie du système de santé"/>
    <s v="J30"/>
    <x v="30"/>
    <n v="23.7"/>
    <n v="15"/>
    <d v="2025-09-17T16:55:12"/>
    <d v="2025-10-16T10:14:24"/>
    <d v="2025-10-16T10:38:06"/>
    <n v="1"/>
    <n v="0"/>
  </r>
  <r>
    <s v="UE10"/>
    <s v="Abdomen et pelvis 1"/>
    <s v="J30"/>
    <x v="30"/>
    <n v="27.599999999999998"/>
    <n v="15"/>
    <d v="2025-09-18T08:12:09"/>
    <d v="2025-10-16T10:38:06"/>
    <d v="2025-10-16T11:05:42"/>
    <n v="1"/>
    <n v="0"/>
  </r>
  <r>
    <s v="UE8"/>
    <s v="Synthèse tampons, Diagramme de Davenport"/>
    <s v="J30"/>
    <x v="30"/>
    <n v="33.9"/>
    <n v="15"/>
    <d v="2025-09-18T09:03:00"/>
    <d v="2025-10-16T11:05:42"/>
    <d v="2025-10-16T11:39:36"/>
    <n v="1"/>
    <n v="0"/>
  </r>
  <r>
    <s v="UE4"/>
    <s v="Sociologie de la profession médicale"/>
    <s v="J2"/>
    <x v="30"/>
    <n v="53.1"/>
    <n v="2"/>
    <d v="2025-09-16T15:51:00"/>
    <d v="2025-10-16T11:39:36"/>
    <d v="2025-10-16T12:32:42"/>
    <n v="1"/>
    <n v="0"/>
  </r>
  <r>
    <s v="UE7"/>
    <s v="Structure et role des nucléotides"/>
    <s v="J2"/>
    <x v="30"/>
    <n v="102.60000000000001"/>
    <n v="2"/>
    <d v="2025-09-10T11:59:12"/>
    <d v="2025-10-16T12:32:42"/>
    <d v="2025-10-16T14:15:18"/>
    <n v="1"/>
    <n v="0"/>
  </r>
  <r>
    <s v="UE4"/>
    <s v="évolution des conceptions relatives au stress"/>
    <s v="J2"/>
    <x v="30"/>
    <n v="106.2"/>
    <n v="2"/>
    <d v="2025-09-16T15:51:00"/>
    <d v="2025-10-16T14:15:18"/>
    <d v="2025-10-16T16:01:30"/>
    <n v="1"/>
    <n v="0"/>
  </r>
  <r>
    <s v="UE9"/>
    <s v="États  de la matière et leur caractérisation "/>
    <s v="J15"/>
    <x v="30"/>
    <n v="40.5"/>
    <n v="5"/>
    <d v="2025-09-29T09:32:03"/>
    <d v="2025-10-16T16:01:30"/>
    <d v="2025-10-16T16:42:00"/>
    <n v="1"/>
    <n v="0"/>
  </r>
  <r>
    <s v="UE9"/>
    <s v="Interaction rayonnement-Matière "/>
    <s v="J15"/>
    <x v="30"/>
    <n v="50.4"/>
    <n v="5"/>
    <d v="2025-09-29T09:32:03"/>
    <d v="2025-10-16T16:42:00"/>
    <d v="2025-10-16T17:32:24"/>
    <n v="1"/>
    <n v="0"/>
  </r>
  <r>
    <s v="UE5"/>
    <s v="essai thérapeutique "/>
    <s v="J15"/>
    <x v="30"/>
    <n v="50.85"/>
    <n v="5"/>
    <d v="2025-09-12T09:06:51"/>
    <d v="2025-10-16T17:32:24"/>
    <d v="2025-10-17T08:23:15"/>
    <n v="1"/>
    <n v="0"/>
  </r>
  <r>
    <s v="UE9"/>
    <s v="Les très basses fréquences du spectre électromagnétique "/>
    <s v="J15"/>
    <x v="30"/>
    <n v="54"/>
    <n v="5"/>
    <d v="2025-09-29T09:32:03"/>
    <d v="2025-10-17T08:23:15"/>
    <d v="2025-10-17T09:17:15"/>
    <n v="1"/>
    <n v="0"/>
  </r>
  <r>
    <s v="UE6"/>
    <s v="Transport intracellulaire et trafic vésiculaire "/>
    <s v="J10"/>
    <x v="30"/>
    <n v="19.8"/>
    <n v="4"/>
    <d v="2025-09-19T09:54:00"/>
    <d v="2025-10-17T09:17:15"/>
    <d v="2025-10-17T09:37:03"/>
    <n v="1"/>
    <n v="0"/>
  </r>
  <r>
    <s v="UE10"/>
    <s v="Membre inférieur 1"/>
    <s v="J10"/>
    <x v="30"/>
    <n v="66"/>
    <n v="4"/>
    <d v="2025-09-08T12:07:12"/>
    <d v="2025-10-17T09:37:03"/>
    <d v="2025-10-17T10:43:03"/>
    <n v="1"/>
    <n v="0"/>
  </r>
  <r>
    <s v="UE10"/>
    <s v="intro: région, fascias et appareil "/>
    <s v="J10"/>
    <x v="30"/>
    <n v="67.2"/>
    <n v="4"/>
    <d v="2025-09-08T12:07:12"/>
    <d v="2025-10-17T10:43:03"/>
    <d v="2025-10-17T11:50:15"/>
    <n v="1"/>
    <n v="0"/>
  </r>
  <r>
    <s v="UE10"/>
    <s v="Appareil locomoteur 2"/>
    <s v="J0"/>
    <x v="30"/>
    <n v="76"/>
    <n v="0"/>
    <s v="-"/>
    <d v="2025-10-17T11:50:15"/>
    <d v="2025-10-17T13:06:15"/>
    <n v="1"/>
    <n v="0"/>
  </r>
  <r>
    <s v="UE4"/>
    <s v="Méthode d'évaluation du stress objectif "/>
    <s v="J0"/>
    <x v="30"/>
    <n v="119"/>
    <n v="0"/>
    <s v="-"/>
    <d v="2025-10-17T13:06:15"/>
    <d v="2025-10-17T15:05:15"/>
    <n v="1"/>
    <n v="0"/>
  </r>
  <r>
    <s v="UE8"/>
    <s v="Thermorégulation"/>
    <s v="J30"/>
    <x v="31"/>
    <n v="19.8"/>
    <n v="15"/>
    <d v="2025-09-18T09:03:00"/>
    <d v="2025-10-17T15:05:15"/>
    <d v="2025-10-17T15:25:03"/>
    <n v="1"/>
    <n v="0"/>
  </r>
  <r>
    <s v="UE8"/>
    <s v="Potentiel électrochimique "/>
    <s v="J30"/>
    <x v="31"/>
    <n v="30"/>
    <n v="15"/>
    <d v="2025-09-18T09:03:00"/>
    <d v="2025-10-17T15:25:03"/>
    <d v="2025-10-17T15:55:03"/>
    <n v="1"/>
    <n v="0"/>
  </r>
  <r>
    <s v="UE10"/>
    <s v="intro: mouvements"/>
    <s v="J30"/>
    <x v="31"/>
    <n v="31.5"/>
    <n v="15"/>
    <d v="2025-09-18T08:12:09"/>
    <d v="2025-10-17T15:55:03"/>
    <d v="2025-10-17T16:26:33"/>
    <n v="1"/>
    <n v="0"/>
  </r>
  <r>
    <s v="UE10"/>
    <s v="Appareil locomoteur 3"/>
    <s v="J2"/>
    <x v="31"/>
    <n v="45"/>
    <n v="2"/>
    <d v="2025-09-02T11:42:00"/>
    <d v="2025-10-17T16:26:33"/>
    <d v="2025-10-17T17:11:33"/>
    <n v="1"/>
    <n v="0"/>
  </r>
  <r>
    <s v="UE5"/>
    <s v="tests stats et méthodologie de choix de test "/>
    <s v="J2"/>
    <x v="31"/>
    <n v="54"/>
    <n v="2"/>
    <d v="2025-09-02T08:51:00"/>
    <d v="2025-10-17T17:11:33"/>
    <d v="2025-10-20T08:05:33"/>
    <n v="1"/>
    <n v="0"/>
  </r>
  <r>
    <s v="UE6"/>
    <s v="Signalisation intracellulaire part 2"/>
    <s v="J2"/>
    <x v="31"/>
    <n v="80.100000000000009"/>
    <n v="2"/>
    <d v="2025-09-12T16:45:15"/>
    <d v="2025-10-20T08:05:33"/>
    <d v="2025-10-20T09:25:39"/>
    <n v="1"/>
    <n v="0"/>
  </r>
  <r>
    <s v="UE10"/>
    <s v="Membre supérieur 2 "/>
    <s v="J2"/>
    <x v="31"/>
    <n v="91.8"/>
    <n v="2"/>
    <d v="2025-09-02T11:42:00"/>
    <d v="2025-10-20T09:25:39"/>
    <d v="2025-10-20T10:57:27"/>
    <n v="1"/>
    <n v="0"/>
  </r>
  <r>
    <s v="UE7"/>
    <s v="Acides Aminés- peptides "/>
    <s v="J15"/>
    <x v="31"/>
    <n v="13.950000000000001"/>
    <n v="5"/>
    <d v="2025-09-24T11:06:03"/>
    <d v="2025-10-20T10:57:27"/>
    <d v="2025-10-20T11:11:24"/>
    <n v="1"/>
    <n v="0"/>
  </r>
  <r>
    <s v="UE 22"/>
    <s v="Intervention rééducation part-2"/>
    <s v="J15"/>
    <x v="31"/>
    <n v="18"/>
    <n v="5"/>
    <d v="2025-09-11T16:39:15"/>
    <d v="2025-10-20T11:11:24"/>
    <d v="2025-10-20T11:29:24"/>
    <n v="1"/>
    <n v="0"/>
  </r>
  <r>
    <s v="UE7"/>
    <s v="Du chromosome à l'ADN"/>
    <s v="J15"/>
    <x v="31"/>
    <n v="27"/>
    <n v="5"/>
    <d v="2025-09-24T11:06:03"/>
    <d v="2025-10-20T11:29:24"/>
    <d v="2025-10-20T11:56:24"/>
    <n v="1"/>
    <n v="0"/>
  </r>
  <r>
    <s v="UE5"/>
    <s v="corrélation et régression linéaire"/>
    <s v="J15"/>
    <x v="31"/>
    <n v="32.85"/>
    <n v="5"/>
    <d v="2025-09-12T09:06:51"/>
    <d v="2025-10-20T11:56:24"/>
    <d v="2025-10-20T12:29:15"/>
    <n v="1"/>
    <n v="0"/>
  </r>
  <r>
    <s v="UE6"/>
    <s v="Signalisation intracellulaire part 1"/>
    <s v="J15"/>
    <x v="31"/>
    <n v="36.9"/>
    <n v="5"/>
    <d v="2025-09-29T11:19:27"/>
    <d v="2025-10-20T12:29:15"/>
    <d v="2025-10-20T13:06:09"/>
    <n v="1"/>
    <n v="0"/>
  </r>
  <r>
    <s v="UE8"/>
    <s v="Régulation et rôle du rein "/>
    <s v="J15"/>
    <x v="31"/>
    <n v="44.550000000000004"/>
    <n v="5"/>
    <d v="2025-09-12T11:57:15"/>
    <d v="2025-10-20T13:06:09"/>
    <d v="2025-10-20T13:50:42"/>
    <n v="1"/>
    <n v="0"/>
  </r>
  <r>
    <s v="UE14"/>
    <s v="Liaisons chimique et interactions moléculaires"/>
    <s v="J15"/>
    <x v="31"/>
    <n v="48.15"/>
    <n v="5"/>
    <d v="2025-09-19T16:58:21"/>
    <d v="2025-10-20T13:50:42"/>
    <d v="2025-10-20T14:38:51"/>
    <n v="1"/>
    <n v="0"/>
  </r>
  <r>
    <s v="UE8"/>
    <s v="Physiologie et compartiments liquidiens "/>
    <s v="J15"/>
    <x v="31"/>
    <n v="49.5"/>
    <n v="5"/>
    <d v="2025-09-12T11:57:15"/>
    <d v="2025-10-20T14:38:51"/>
    <d v="2025-10-20T15:28:21"/>
    <n v="1"/>
    <n v="0"/>
  </r>
  <r>
    <s v="UE 22"/>
    <s v="CI du fonctionnement, du handicap et de la santé "/>
    <s v="J10"/>
    <x v="31"/>
    <n v="34.799999999999997"/>
    <n v="4"/>
    <d v="2025-09-08T08:24:00"/>
    <d v="2025-10-20T15:28:21"/>
    <d v="2025-10-20T16:03:09"/>
    <n v="1"/>
    <n v="0"/>
  </r>
  <r>
    <s v="UE8"/>
    <s v="Jonction neuro-musculaire"/>
    <s v="J10"/>
    <x v="31"/>
    <n v="46.8"/>
    <n v="4"/>
    <d v="2025-09-08T13:31:57"/>
    <d v="2025-10-20T16:03:09"/>
    <d v="2025-10-20T16:49:57"/>
    <n v="1"/>
    <n v="0"/>
  </r>
  <r>
    <s v="UE4"/>
    <s v="Culture, corps et santé"/>
    <s v="J10"/>
    <x v="31"/>
    <n v="49.199999999999996"/>
    <n v="4"/>
    <d v="2025-09-25T17:38:12"/>
    <d v="2025-10-20T16:49:57"/>
    <d v="2025-10-20T17:39:09"/>
    <n v="1"/>
    <n v="0"/>
  </r>
  <r>
    <s v="UE14"/>
    <s v="Les acides aminés- les oses "/>
    <s v="J10"/>
    <x v="31"/>
    <n v="61.199999999999996"/>
    <n v="4"/>
    <d v="2025-09-15T09:50:15"/>
    <d v="2025-10-20T17:39:09"/>
    <d v="2025-10-21T08:40:21"/>
    <n v="1"/>
    <n v="0"/>
  </r>
  <r>
    <s v="UE5"/>
    <s v="stats descriptives"/>
    <s v="J0"/>
    <x v="31"/>
    <n v="62"/>
    <n v="0"/>
    <s v="-"/>
    <d v="2025-10-21T08:40:21"/>
    <d v="2025-10-21T09:42:21"/>
    <n v="1"/>
    <n v="0"/>
  </r>
  <r>
    <s v="UE10"/>
    <s v="Cou"/>
    <s v="J0"/>
    <x v="31"/>
    <n v="62"/>
    <n v="0"/>
    <s v="-"/>
    <d v="2025-10-21T09:42:21"/>
    <d v="2025-10-21T10:44:21"/>
    <n v="1"/>
    <n v="0"/>
  </r>
  <r>
    <s v="UE7"/>
    <s v="Synthèse et dégradation des protéines"/>
    <s v="J0"/>
    <x v="31"/>
    <n v="106"/>
    <n v="0"/>
    <s v="-"/>
    <d v="2025-10-21T10:44:21"/>
    <d v="2025-10-21T12:30:21"/>
    <n v="1"/>
    <n v="0"/>
  </r>
  <r>
    <s v="UE10"/>
    <s v="Appareil locomoteur 2"/>
    <s v="J2"/>
    <x v="32"/>
    <n v="68.400000000000006"/>
    <n v="2"/>
    <d v="2025-09-02T11:42:00"/>
    <d v="2025-10-21T12:30:21"/>
    <d v="2025-10-21T13:38:45"/>
    <n v="1"/>
    <n v="0"/>
  </r>
  <r>
    <s v="UE4"/>
    <s v="Méthode d'évaluation du stress objectif "/>
    <s v="J2"/>
    <x v="32"/>
    <n v="107.10000000000001"/>
    <n v="2"/>
    <d v="2025-09-16T15:51:00"/>
    <d v="2025-10-21T13:38:45"/>
    <d v="2025-10-21T15:25:51"/>
    <n v="1"/>
    <n v="0"/>
  </r>
  <r>
    <s v="UE4"/>
    <s v="psychologie générale "/>
    <s v="J15"/>
    <x v="32"/>
    <n v="14.4"/>
    <n v="5"/>
    <d v="2025-10-06T14:03:36"/>
    <d v="2025-10-21T15:25:51"/>
    <d v="2025-10-21T15:40:15"/>
    <n v="1"/>
    <n v="0"/>
  </r>
  <r>
    <s v="UE5"/>
    <s v="schéma d'étude "/>
    <s v="J15"/>
    <x v="32"/>
    <n v="25.2"/>
    <n v="5"/>
    <d v="2025-09-12T09:06:51"/>
    <d v="2025-10-21T15:40:15"/>
    <d v="2025-10-21T16:05:27"/>
    <n v="1"/>
    <n v="0"/>
  </r>
  <r>
    <s v="UE14"/>
    <s v="Les alcools- les amines"/>
    <s v="J15"/>
    <x v="32"/>
    <n v="25.2"/>
    <n v="5"/>
    <d v="2025-09-19T16:58:21"/>
    <d v="2025-10-21T16:05:27"/>
    <d v="2025-10-21T16:30:39"/>
    <n v="1"/>
    <n v="0"/>
  </r>
  <r>
    <s v="UE5"/>
    <s v="Introduction épidémiologie et stats"/>
    <s v="J15"/>
    <x v="32"/>
    <n v="45.9"/>
    <n v="5"/>
    <d v="2025-09-12T09:06:51"/>
    <d v="2025-10-21T16:30:39"/>
    <d v="2025-10-21T17:16:33"/>
    <n v="1"/>
    <n v="0"/>
  </r>
  <r>
    <s v="UE 22"/>
    <s v="Intervention rééducation part-5"/>
    <s v="J15"/>
    <x v="32"/>
    <n v="46.800000000000004"/>
    <n v="5"/>
    <d v="2025-09-11T16:39:15"/>
    <d v="2025-10-21T17:16:33"/>
    <d v="2025-10-22T08:03:21"/>
    <n v="1"/>
    <n v="0"/>
  </r>
  <r>
    <s v="UE7"/>
    <s v="Structure des glucides "/>
    <s v="J10"/>
    <x v="32"/>
    <n v="24"/>
    <n v="4"/>
    <d v="2025-09-16T13:37:12"/>
    <d v="2025-10-22T08:03:21"/>
    <d v="2025-10-22T08:27:21"/>
    <n v="1"/>
    <n v="0"/>
  </r>
  <r>
    <s v="UE6"/>
    <s v="Cytosquellette"/>
    <s v="J10"/>
    <x v="32"/>
    <n v="36"/>
    <n v="4"/>
    <d v="2025-09-19T09:54:00"/>
    <d v="2025-10-22T08:27:21"/>
    <d v="2025-10-22T09:03:21"/>
    <n v="1"/>
    <n v="0"/>
  </r>
  <r>
    <s v="UE10"/>
    <s v="Membre supérieur 3"/>
    <s v="J10"/>
    <x v="32"/>
    <n v="41.4"/>
    <n v="4"/>
    <d v="2025-09-08T12:07:12"/>
    <d v="2025-10-22T09:03:21"/>
    <d v="2025-10-22T09:44:45"/>
    <n v="1"/>
    <n v="0"/>
  </r>
  <r>
    <s v="UE10"/>
    <s v="Dos"/>
    <s v="J10"/>
    <x v="32"/>
    <n v="58.8"/>
    <n v="4"/>
    <d v="2025-09-08T12:07:12"/>
    <d v="2025-10-22T09:44:45"/>
    <d v="2025-10-22T10:43:33"/>
    <n v="1"/>
    <n v="0"/>
  </r>
  <r>
    <s v="UE9"/>
    <s v="Le domaine de l'optique "/>
    <s v="J10"/>
    <x v="32"/>
    <n v="60"/>
    <n v="4"/>
    <d v="2025-09-18T17:39:45"/>
    <d v="2025-10-22T10:43:33"/>
    <d v="2025-10-22T11:43:33"/>
    <n v="1"/>
    <n v="0"/>
  </r>
  <r>
    <s v="UE9"/>
    <s v="Rayons X et gamma-Rayonnement particulaire"/>
    <s v="J10"/>
    <x v="32"/>
    <n v="60"/>
    <n v="4"/>
    <d v="2025-09-18T17:39:45"/>
    <d v="2025-10-22T11:43:33"/>
    <d v="2025-10-22T12:43:33"/>
    <n v="1"/>
    <n v="0"/>
  </r>
  <r>
    <s v="UE10"/>
    <s v="Tête"/>
    <s v="J10"/>
    <x v="32"/>
    <n v="60"/>
    <n v="4"/>
    <d v="2025-09-08T12:07:12"/>
    <d v="2025-10-22T12:43:33"/>
    <d v="2025-10-22T13:43:33"/>
    <n v="1"/>
    <n v="0"/>
  </r>
  <r>
    <s v="UE10"/>
    <s v="Appareil locomoteur 1"/>
    <s v="J6"/>
    <x v="33"/>
    <n v="59.25"/>
    <n v="4"/>
    <d v="2025-09-04T11:19:48"/>
    <d v="2025-10-22T13:43:33"/>
    <d v="2025-10-22T14:42:48"/>
    <n v="1"/>
    <n v="0"/>
  </r>
  <r>
    <s v="UE7"/>
    <s v="Réplication de l'ADN"/>
    <s v="J6"/>
    <x v="33"/>
    <n v="81"/>
    <n v="4"/>
    <d v="2025-09-11T16:20:03"/>
    <d v="2025-10-22T14:42:48"/>
    <d v="2025-10-22T16:03:48"/>
    <n v="1"/>
    <n v="0"/>
  </r>
  <r>
    <s v="UE 22"/>
    <s v="Intervention rééducation part-1 "/>
    <s v="J30"/>
    <x v="33"/>
    <n v="18.899999999999999"/>
    <n v="15"/>
    <d v="2025-09-16T17:58:24"/>
    <d v="2025-10-22T16:03:48"/>
    <d v="2025-10-22T16:22:42"/>
    <n v="1"/>
    <n v="0"/>
  </r>
  <r>
    <s v="UE5"/>
    <s v="stats descriptives"/>
    <s v="J2"/>
    <x v="33"/>
    <n v="55.800000000000004"/>
    <n v="2"/>
    <d v="2025-09-02T08:51:00"/>
    <d v="2025-10-22T16:22:42"/>
    <d v="2025-10-22T17:18:30"/>
    <n v="1"/>
    <n v="0"/>
  </r>
  <r>
    <s v="UE10"/>
    <s v="Cou"/>
    <s v="J2"/>
    <x v="33"/>
    <n v="55.800000000000004"/>
    <n v="2"/>
    <d v="2025-09-02T11:42:00"/>
    <d v="2025-10-22T17:18:30"/>
    <d v="2025-10-23T08:14:18"/>
    <n v="1"/>
    <n v="0"/>
  </r>
  <r>
    <s v="UE7"/>
    <s v="Synthèse et dégradation des protéines"/>
    <s v="J2"/>
    <x v="33"/>
    <n v="95.4"/>
    <n v="2"/>
    <d v="2025-09-10T11:59:12"/>
    <d v="2025-10-23T08:14:18"/>
    <d v="2025-10-23T09:49:42"/>
    <n v="1"/>
    <n v="0"/>
  </r>
  <r>
    <s v="UE10"/>
    <s v="Membre supérieur 1"/>
    <s v="J10"/>
    <x v="33"/>
    <n v="20.399999999999999"/>
    <n v="4"/>
    <d v="2025-09-08T12:07:12"/>
    <d v="2025-10-23T09:49:42"/>
    <d v="2025-10-23T10:10:06"/>
    <n v="1"/>
    <n v="0"/>
  </r>
  <r>
    <s v="UE8"/>
    <s v="pH et équilibre acido basique d'une solution"/>
    <s v="J10"/>
    <x v="33"/>
    <n v="21.599999999999998"/>
    <n v="4"/>
    <d v="2025-09-08T13:31:57"/>
    <d v="2025-10-23T10:10:06"/>
    <d v="2025-10-23T10:31:42"/>
    <n v="1"/>
    <n v="0"/>
  </r>
  <r>
    <s v="UE8"/>
    <s v="système nerveux autonome "/>
    <s v="J10"/>
    <x v="33"/>
    <n v="42"/>
    <n v="4"/>
    <d v="2025-09-08T13:31:57"/>
    <d v="2025-10-23T10:31:42"/>
    <d v="2025-10-23T11:13:42"/>
    <n v="1"/>
    <n v="0"/>
  </r>
  <r>
    <s v="UE4"/>
    <s v="Maladies, itinéraire thérapeutique"/>
    <s v="J10"/>
    <x v="33"/>
    <n v="45.6"/>
    <n v="4"/>
    <d v="2025-09-25T17:38:12"/>
    <d v="2025-10-23T11:13:42"/>
    <d v="2025-10-23T11:59:18"/>
    <n v="1"/>
    <n v="0"/>
  </r>
  <r>
    <s v="UE14"/>
    <s v="Nomenclature chimique- Isomérie "/>
    <s v="J10"/>
    <x v="33"/>
    <n v="52.8"/>
    <n v="4"/>
    <d v="2025-09-15T09:50:15"/>
    <d v="2025-10-23T11:59:18"/>
    <d v="2025-10-23T12:52:06"/>
    <n v="1"/>
    <n v="0"/>
  </r>
  <r>
    <s v="UE4"/>
    <s v="Sociologie de la profession médicale"/>
    <s v="J6"/>
    <x v="34"/>
    <n v="44.25"/>
    <n v="4"/>
    <d v="2025-09-17T14:50:33"/>
    <d v="2025-10-23T12:52:06"/>
    <d v="2025-10-23T13:36:21"/>
    <n v="1"/>
    <n v="0"/>
  </r>
  <r>
    <s v="UE7"/>
    <s v="Structure et role des nucléotides"/>
    <s v="J6"/>
    <x v="34"/>
    <n v="85.5"/>
    <n v="4"/>
    <d v="2025-09-11T16:20:03"/>
    <d v="2025-10-23T13:36:21"/>
    <d v="2025-10-23T15:01:51"/>
    <n v="1"/>
    <n v="0"/>
  </r>
  <r>
    <s v="UE4"/>
    <s v="évolution des conceptions relatives au stress"/>
    <s v="J6"/>
    <x v="34"/>
    <n v="88.5"/>
    <n v="4"/>
    <d v="2025-09-17T14:50:33"/>
    <d v="2025-10-23T15:01:51"/>
    <d v="2025-10-23T16:30:21"/>
    <n v="1"/>
    <n v="0"/>
  </r>
  <r>
    <s v="UE5"/>
    <s v="Prévention-Alla "/>
    <s v="J0"/>
    <x v="34"/>
    <n v="71"/>
    <n v="0"/>
    <s v="-"/>
    <d v="2025-10-23T16:30:21"/>
    <d v="2025-10-23T17:41:21"/>
    <n v="1"/>
    <n v="0"/>
  </r>
  <r>
    <s v="UE8"/>
    <s v="Transports membranaires"/>
    <s v="J0"/>
    <x v="34"/>
    <n v="71"/>
    <n v="0"/>
    <s v="-"/>
    <d v="2025-10-23T17:41:21"/>
    <d v="2025-10-24T08:52:21"/>
    <n v="1"/>
    <n v="0"/>
  </r>
  <r>
    <s v="UE10"/>
    <s v="Appareil locomoteur 3"/>
    <s v="J6"/>
    <x v="35"/>
    <n v="37.5"/>
    <n v="4"/>
    <d v="2025-09-04T11:19:48"/>
    <d v="2025-10-24T08:52:21"/>
    <d v="2025-10-24T09:29:51"/>
    <n v="1"/>
    <n v="0"/>
  </r>
  <r>
    <s v="UE5"/>
    <s v="tests stats et méthodologie de choix de test "/>
    <s v="J6"/>
    <x v="35"/>
    <n v="45"/>
    <n v="4"/>
    <d v="2025-09-04T08:45:54"/>
    <d v="2025-10-24T09:29:51"/>
    <d v="2025-10-24T10:14:51"/>
    <n v="1"/>
    <n v="0"/>
  </r>
  <r>
    <s v="UE6"/>
    <s v="Signalisation intracellulaire part 2"/>
    <s v="J6"/>
    <x v="35"/>
    <n v="66.75"/>
    <n v="4"/>
    <d v="2025-09-16T10:00:27"/>
    <d v="2025-10-24T10:14:51"/>
    <d v="2025-10-24T11:21:36"/>
    <n v="1"/>
    <n v="0"/>
  </r>
  <r>
    <s v="UE10"/>
    <s v="Membre supérieur 2 "/>
    <s v="J6"/>
    <x v="35"/>
    <n v="76.5"/>
    <n v="4"/>
    <d v="2025-09-04T11:19:48"/>
    <d v="2025-10-24T11:21:36"/>
    <d v="2025-10-24T12:38:06"/>
    <n v="1"/>
    <n v="0"/>
  </r>
  <r>
    <s v="UE6"/>
    <s v="Transport intracellulaire et trafic vésiculaire "/>
    <s v="J15"/>
    <x v="35"/>
    <n v="14.85"/>
    <n v="5"/>
    <d v="2025-09-29T11:19:27"/>
    <d v="2025-10-24T12:38:06"/>
    <d v="2025-10-24T12:52:57"/>
    <n v="1"/>
    <n v="0"/>
  </r>
  <r>
    <s v="UE10"/>
    <s v="Membre inférieur 1"/>
    <s v="J15"/>
    <x v="35"/>
    <n v="49.5"/>
    <n v="5"/>
    <d v="2025-09-12T10:49:27"/>
    <d v="2025-10-24T12:52:57"/>
    <d v="2025-10-24T13:42:27"/>
    <n v="1"/>
    <n v="0"/>
  </r>
  <r>
    <s v="UE10"/>
    <s v="intro: région, fascias et appareil "/>
    <s v="J15"/>
    <x v="35"/>
    <n v="50.4"/>
    <n v="5"/>
    <d v="2025-09-12T10:49:27"/>
    <d v="2025-10-24T13:42:27"/>
    <d v="2025-10-24T14:32:51"/>
    <n v="1"/>
    <n v="0"/>
  </r>
  <r>
    <s v="UE9"/>
    <s v="Détection des rayonnements "/>
    <s v="J0"/>
    <x v="35"/>
    <n v="36"/>
    <n v="0"/>
    <s v="-"/>
    <d v="2025-10-24T14:32:51"/>
    <d v="2025-10-24T15:08:51"/>
    <n v="1"/>
    <n v="0"/>
  </r>
  <r>
    <s v="UE14"/>
    <s v="Atomes"/>
    <s v="J0"/>
    <x v="35"/>
    <n v="66"/>
    <n v="0"/>
    <s v="-"/>
    <d v="2025-10-24T15:08:51"/>
    <d v="2025-10-24T16:14:51"/>
    <n v="1"/>
    <n v="0"/>
  </r>
  <r>
    <s v="UE6"/>
    <s v="Cellules souches"/>
    <s v="J0"/>
    <x v="35"/>
    <n v="84"/>
    <n v="0"/>
    <s v="-"/>
    <d v="2025-10-24T16:14:51"/>
    <d v="2025-10-24T17:38:51"/>
    <n v="1"/>
    <n v="0"/>
  </r>
  <r>
    <s v="UE6"/>
    <s v="Mouvement molécules de surface"/>
    <s v="J0"/>
    <x v="35"/>
    <n v="101"/>
    <n v="0"/>
    <s v="-"/>
    <d v="2025-10-24T17:38:51"/>
    <d v="2025-10-27T09:19:51"/>
    <n v="1"/>
    <n v="0"/>
  </r>
  <r>
    <s v="UE6"/>
    <s v="Molécules du vivant"/>
    <s v="J0"/>
    <x v="35"/>
    <n v="109"/>
    <n v="0"/>
    <s v="-"/>
    <d v="2025-10-27T09:19:51"/>
    <d v="2025-10-27T11:08:51"/>
    <n v="1"/>
    <n v="0"/>
  </r>
  <r>
    <s v="UE10"/>
    <s v="Appareil locomoteur 2"/>
    <s v="J6"/>
    <x v="36"/>
    <n v="57"/>
    <n v="4"/>
    <d v="2025-09-04T11:19:48"/>
    <d v="2025-10-27T11:08:51"/>
    <d v="2025-10-27T12:05:51"/>
    <n v="1"/>
    <n v="0"/>
  </r>
  <r>
    <s v="UE4"/>
    <s v="Méthode d'évaluation du stress objectif "/>
    <s v="J6"/>
    <x v="36"/>
    <n v="89.25"/>
    <n v="4"/>
    <d v="2025-09-17T14:50:33"/>
    <d v="2025-10-27T12:05:51"/>
    <d v="2025-10-27T13:35:06"/>
    <n v="1"/>
    <n v="0"/>
  </r>
  <r>
    <s v="UE 22"/>
    <s v="Législation handicap "/>
    <s v="J30"/>
    <x v="36"/>
    <n v="20.7"/>
    <n v="15"/>
    <d v="2025-09-16T17:58:24"/>
    <d v="2025-10-27T13:35:06"/>
    <d v="2025-10-27T13:55:48"/>
    <n v="1"/>
    <n v="0"/>
  </r>
  <r>
    <s v="UE14"/>
    <s v="Dérivés d'acides carboxylique- AG "/>
    <s v="J30"/>
    <x v="36"/>
    <n v="23.4"/>
    <n v="15"/>
    <d v="2025-09-30T12:06:51"/>
    <d v="2025-10-27T13:55:48"/>
    <d v="2025-10-27T14:19:12"/>
    <n v="1"/>
    <n v="0"/>
  </r>
  <r>
    <s v="UE 22"/>
    <s v="Intervention rééducation part-6"/>
    <s v="J30"/>
    <x v="36"/>
    <n v="24.9"/>
    <n v="15"/>
    <d v="2025-09-16T17:58:24"/>
    <d v="2025-10-27T14:19:12"/>
    <d v="2025-10-27T14:44:06"/>
    <n v="1"/>
    <n v="0"/>
  </r>
  <r>
    <s v="UE10"/>
    <s v="Abdomen et pelvis 2 "/>
    <s v="J30"/>
    <x v="36"/>
    <n v="25.5"/>
    <n v="15"/>
    <d v="2025-09-18T08:12:09"/>
    <d v="2025-10-27T14:44:06"/>
    <d v="2025-10-27T15:09:36"/>
    <n v="1"/>
    <n v="0"/>
  </r>
  <r>
    <s v="UE10"/>
    <s v="Thorax"/>
    <s v="J30"/>
    <x v="36"/>
    <n v="27.9"/>
    <n v="15"/>
    <d v="2025-09-18T08:12:09"/>
    <d v="2025-10-27T15:09:36"/>
    <d v="2025-10-27T15:37:30"/>
    <n v="1"/>
    <n v="0"/>
  </r>
  <r>
    <s v="UE14"/>
    <s v="Propriétés électroniques des liaisons chimiques"/>
    <s v="J30"/>
    <x v="36"/>
    <n v="30.299999999999997"/>
    <n v="15"/>
    <d v="2025-09-30T12:06:51"/>
    <d v="2025-10-27T15:37:30"/>
    <d v="2025-10-27T16:07:48"/>
    <n v="1"/>
    <n v="0"/>
  </r>
  <r>
    <s v="UE10"/>
    <s v="intro: référence et particularité"/>
    <s v="J30"/>
    <x v="36"/>
    <n v="31.799999999999997"/>
    <n v="15"/>
    <d v="2025-09-18T08:12:09"/>
    <d v="2025-10-27T16:07:48"/>
    <d v="2025-10-27T16:39:36"/>
    <n v="1"/>
    <n v="0"/>
  </r>
  <r>
    <s v="UE5"/>
    <s v="Prévention-Alla "/>
    <s v="J2"/>
    <x v="36"/>
    <n v="63.9"/>
    <n v="2"/>
    <d v="2025-09-02T08:51:00"/>
    <d v="2025-10-27T16:39:36"/>
    <d v="2025-10-27T17:43:30"/>
    <n v="1"/>
    <n v="0"/>
  </r>
  <r>
    <s v="UE8"/>
    <s v="Transports membranaires"/>
    <s v="J2"/>
    <x v="36"/>
    <n v="63.9"/>
    <n v="2"/>
    <d v="2025-09-02T13:35:00"/>
    <d v="2025-10-27T17:43:30"/>
    <d v="2025-10-28T08:47:24"/>
    <n v="1"/>
    <n v="0"/>
  </r>
  <r>
    <s v="UE 22"/>
    <s v="CI du fonctionnement, du handicap et de la santé "/>
    <s v="J15"/>
    <x v="36"/>
    <n v="26.1"/>
    <n v="5"/>
    <d v="2025-09-11T16:39:15"/>
    <d v="2025-10-28T08:47:24"/>
    <d v="2025-10-28T09:13:30"/>
    <n v="1"/>
    <n v="0"/>
  </r>
  <r>
    <s v="UE8"/>
    <s v="Jonction neuro-musculaire"/>
    <s v="J15"/>
    <x v="36"/>
    <n v="35.1"/>
    <n v="5"/>
    <d v="2025-09-12T11:57:15"/>
    <d v="2025-10-28T09:13:30"/>
    <d v="2025-10-28T09:48:36"/>
    <n v="1"/>
    <n v="0"/>
  </r>
  <r>
    <s v="UE4"/>
    <s v="Culture, corps et santé"/>
    <s v="J15"/>
    <x v="36"/>
    <n v="36.9"/>
    <n v="5"/>
    <d v="2025-10-06T14:03:36"/>
    <d v="2025-10-28T09:48:36"/>
    <d v="2025-10-28T10:25:30"/>
    <n v="1"/>
    <n v="0"/>
  </r>
  <r>
    <s v="UE14"/>
    <s v="Les acides aminés- les oses "/>
    <s v="J15"/>
    <x v="36"/>
    <n v="45.9"/>
    <n v="5"/>
    <d v="2025-09-19T16:58:21"/>
    <d v="2025-10-28T10:25:30"/>
    <d v="2025-10-28T11:11:24"/>
    <n v="1"/>
    <n v="0"/>
  </r>
  <r>
    <s v="UE5"/>
    <s v="évaluation des procédures diagnostiques"/>
    <s v="J0"/>
    <x v="36"/>
    <n v="40"/>
    <n v="0"/>
    <s v="-"/>
    <d v="2025-10-28T11:11:24"/>
    <d v="2025-10-28T11:51:24"/>
    <n v="1"/>
    <n v="0"/>
  </r>
  <r>
    <s v="UE7"/>
    <s v="Réparation de l'ADN"/>
    <s v="J0"/>
    <x v="36"/>
    <n v="81"/>
    <n v="0"/>
    <s v="-"/>
    <d v="2025-10-28T11:51:24"/>
    <d v="2025-10-28T13:12:24"/>
    <n v="1"/>
    <n v="0"/>
  </r>
  <r>
    <s v="UE5"/>
    <s v="stats descriptives"/>
    <s v="J6"/>
    <x v="37"/>
    <n v="46.5"/>
    <n v="4"/>
    <d v="2025-09-04T08:45:54"/>
    <d v="2025-10-28T13:12:24"/>
    <d v="2025-10-28T13:58:54"/>
    <n v="1"/>
    <n v="0"/>
  </r>
  <r>
    <s v="UE10"/>
    <s v="Cou"/>
    <s v="J6"/>
    <x v="37"/>
    <n v="46.5"/>
    <n v="4"/>
    <d v="2025-09-04T11:19:48"/>
    <d v="2025-10-28T13:58:54"/>
    <d v="2025-10-28T14:45:24"/>
    <n v="1"/>
    <n v="0"/>
  </r>
  <r>
    <s v="UE7"/>
    <s v="Synthèse et dégradation des protéines"/>
    <s v="J6"/>
    <x v="37"/>
    <n v="79.5"/>
    <n v="4"/>
    <d v="2025-09-11T16:20:03"/>
    <d v="2025-10-28T14:45:24"/>
    <d v="2025-10-28T16:04:54"/>
    <n v="1"/>
    <n v="0"/>
  </r>
  <r>
    <s v="UE14"/>
    <s v="Thermodynamique "/>
    <s v="J30"/>
    <x v="37"/>
    <n v="21"/>
    <n v="15"/>
    <d v="2025-09-30T12:06:51"/>
    <d v="2025-10-28T16:04:54"/>
    <d v="2025-10-28T16:25:54"/>
    <n v="1"/>
    <n v="0"/>
  </r>
  <r>
    <s v="UE 22"/>
    <s v="Intervention rééducation part-3"/>
    <s v="J30"/>
    <x v="37"/>
    <n v="32.4"/>
    <n v="15"/>
    <d v="2025-09-16T17:58:24"/>
    <d v="2025-10-28T16:25:54"/>
    <d v="2025-10-28T16:58:18"/>
    <n v="1"/>
    <n v="0"/>
  </r>
  <r>
    <s v="UE7"/>
    <s v="Protéines "/>
    <s v="J30"/>
    <x v="37"/>
    <n v="33.299999999999997"/>
    <n v="15"/>
    <d v="2025-10-02T14:28:30"/>
    <d v="2025-10-28T16:58:18"/>
    <d v="2025-10-28T17:31:36"/>
    <n v="1"/>
    <n v="0"/>
  </r>
  <r>
    <s v="UE9"/>
    <s v="Détection des rayonnements "/>
    <s v="J2"/>
    <x v="37"/>
    <n v="32.4"/>
    <n v="2"/>
    <d v="2025-09-12T13:46:15"/>
    <d v="2025-10-28T17:31:36"/>
    <d v="2025-10-29T08:04:00"/>
    <n v="1"/>
    <n v="0"/>
  </r>
  <r>
    <s v="UE14"/>
    <s v="Atomes"/>
    <s v="J2"/>
    <x v="37"/>
    <n v="59.4"/>
    <n v="2"/>
    <d v="2025-09-08T15:58:57"/>
    <d v="2025-10-29T08:04:00"/>
    <d v="2025-10-29T09:03:24"/>
    <n v="1"/>
    <n v="0"/>
  </r>
  <r>
    <s v="UE6"/>
    <s v="Cellules souches"/>
    <s v="J2"/>
    <x v="37"/>
    <n v="75.600000000000009"/>
    <n v="2"/>
    <d v="2025-09-12T16:45:15"/>
    <d v="2025-10-29T09:03:24"/>
    <d v="2025-10-29T10:19:00"/>
    <n v="1"/>
    <n v="0"/>
  </r>
  <r>
    <s v="UE6"/>
    <s v="Mouvement molécules de surface"/>
    <s v="J2"/>
    <x v="37"/>
    <n v="90.9"/>
    <n v="2"/>
    <d v="2025-09-12T16:45:15"/>
    <d v="2025-10-29T10:19:00"/>
    <d v="2025-10-29T11:49:54"/>
    <n v="1"/>
    <n v="0"/>
  </r>
  <r>
    <s v="UE6"/>
    <s v="Molécules du vivant"/>
    <s v="J2"/>
    <x v="37"/>
    <n v="98.100000000000009"/>
    <n v="2"/>
    <d v="2025-09-12T16:45:15"/>
    <d v="2025-10-29T11:49:54"/>
    <d v="2025-10-29T13:28:00"/>
    <n v="1"/>
    <n v="0"/>
  </r>
  <r>
    <s v="UE7"/>
    <s v="Structure des glucides "/>
    <s v="J15"/>
    <x v="37"/>
    <n v="18"/>
    <n v="5"/>
    <d v="2025-09-24T11:06:03"/>
    <d v="2025-10-29T13:28:00"/>
    <d v="2025-10-29T13:46:00"/>
    <n v="1"/>
    <n v="0"/>
  </r>
  <r>
    <s v="UE6"/>
    <s v="Cytosquellette"/>
    <s v="J15"/>
    <x v="37"/>
    <n v="27"/>
    <n v="5"/>
    <d v="2025-09-29T11:19:27"/>
    <d v="2025-10-29T13:46:00"/>
    <d v="2025-10-29T14:13:00"/>
    <n v="1"/>
    <n v="0"/>
  </r>
  <r>
    <s v="UE10"/>
    <s v="Membre supérieur 3"/>
    <s v="J15"/>
    <x v="37"/>
    <n v="31.05"/>
    <n v="5"/>
    <d v="2025-09-12T10:49:27"/>
    <d v="2025-10-29T14:13:00"/>
    <d v="2025-10-29T14:44:03"/>
    <n v="1"/>
    <n v="0"/>
  </r>
  <r>
    <s v="UE10"/>
    <s v="Dos"/>
    <s v="J15"/>
    <x v="37"/>
    <n v="44.1"/>
    <n v="5"/>
    <d v="2025-09-12T10:49:27"/>
    <d v="2025-10-29T14:44:03"/>
    <d v="2025-10-29T15:28:09"/>
    <n v="1"/>
    <n v="0"/>
  </r>
  <r>
    <s v="UE9"/>
    <s v="Le domaine de l'optique "/>
    <s v="J15"/>
    <x v="37"/>
    <n v="45"/>
    <n v="5"/>
    <d v="2025-09-29T09:32:03"/>
    <d v="2025-10-29T15:28:09"/>
    <d v="2025-10-29T16:13:09"/>
    <n v="1"/>
    <n v="0"/>
  </r>
  <r>
    <s v="UE9"/>
    <s v="Rayons X et gamma-Rayonnement particulaire"/>
    <s v="J15"/>
    <x v="37"/>
    <n v="45"/>
    <n v="5"/>
    <d v="2025-09-29T09:32:03"/>
    <d v="2025-10-29T16:13:09"/>
    <d v="2025-10-29T16:58:09"/>
    <n v="1"/>
    <n v="0"/>
  </r>
  <r>
    <s v="UE10"/>
    <s v="Tête"/>
    <s v="J15"/>
    <x v="37"/>
    <n v="45"/>
    <n v="5"/>
    <d v="2025-09-12T10:49:27"/>
    <d v="2025-10-29T16:58:09"/>
    <d v="2025-10-29T17:43:09"/>
    <n v="1"/>
    <n v="0"/>
  </r>
  <r>
    <s v="UE10"/>
    <s v="Appareil locomoteur 1"/>
    <s v="J10"/>
    <x v="37"/>
    <n v="47.4"/>
    <n v="4"/>
    <d v="2025-09-08T12:07:12"/>
    <d v="2025-10-29T17:43:09"/>
    <d v="2025-10-30T08:30:33"/>
    <n v="1"/>
    <n v="0"/>
  </r>
  <r>
    <s v="UE7"/>
    <s v="Réplication de l'ADN"/>
    <s v="J10"/>
    <x v="37"/>
    <n v="64.8"/>
    <n v="4"/>
    <d v="2025-09-16T13:37:12"/>
    <d v="2025-10-30T08:30:33"/>
    <d v="2025-10-30T09:35:21"/>
    <n v="1"/>
    <n v="0"/>
  </r>
  <r>
    <s v="UE5"/>
    <s v="Probabiltés"/>
    <s v="J0"/>
    <x v="37"/>
    <n v="66"/>
    <n v="0"/>
    <s v="-"/>
    <d v="2025-10-30T09:35:21"/>
    <d v="2025-10-30T10:41:21"/>
    <n v="1"/>
    <n v="0"/>
  </r>
  <r>
    <s v="UE9"/>
    <s v="Métrologie "/>
    <s v="J0"/>
    <x v="37"/>
    <n v="110"/>
    <n v="0"/>
    <s v="-"/>
    <d v="2025-10-30T10:41:21"/>
    <d v="2025-10-30T12:31:21"/>
    <n v="1"/>
    <n v="0"/>
  </r>
  <r>
    <s v="UE5"/>
    <s v="évaluation des procédures diagnostiques"/>
    <s v="J2"/>
    <x v="38"/>
    <n v="36"/>
    <n v="2"/>
    <d v="2025-09-02T08:51:00"/>
    <d v="2025-10-30T12:31:21"/>
    <d v="2025-10-30T13:07:21"/>
    <n v="1"/>
    <n v="0"/>
  </r>
  <r>
    <s v="UE7"/>
    <s v="Réparation de l'ADN"/>
    <s v="J2"/>
    <x v="38"/>
    <n v="72.900000000000006"/>
    <n v="2"/>
    <d v="2025-09-10T11:59:12"/>
    <d v="2025-10-30T13:07:21"/>
    <d v="2025-10-30T14:20:15"/>
    <n v="1"/>
    <n v="0"/>
  </r>
  <r>
    <s v="UE10"/>
    <s v="Membre supérieur 1"/>
    <s v="J15"/>
    <x v="38"/>
    <n v="15.3"/>
    <n v="5"/>
    <d v="2025-09-12T10:49:27"/>
    <d v="2025-10-30T14:20:15"/>
    <d v="2025-10-30T14:35:33"/>
    <n v="1"/>
    <n v="0"/>
  </r>
  <r>
    <s v="UE8"/>
    <s v="pH et équilibre acido basique d'une solution"/>
    <s v="J15"/>
    <x v="38"/>
    <n v="16.2"/>
    <n v="5"/>
    <d v="2025-09-12T11:57:15"/>
    <d v="2025-10-30T14:35:33"/>
    <d v="2025-10-30T14:51:45"/>
    <n v="1"/>
    <n v="0"/>
  </r>
  <r>
    <s v="UE8"/>
    <s v="système nerveux autonome "/>
    <s v="J15"/>
    <x v="38"/>
    <n v="31.5"/>
    <n v="5"/>
    <d v="2025-09-12T11:57:15"/>
    <d v="2025-10-30T14:51:45"/>
    <d v="2025-10-30T15:23:15"/>
    <n v="1"/>
    <n v="0"/>
  </r>
  <r>
    <s v="UE4"/>
    <s v="Maladies, itinéraire thérapeutique"/>
    <s v="J15"/>
    <x v="38"/>
    <n v="34.200000000000003"/>
    <n v="5"/>
    <d v="2025-10-06T14:03:36"/>
    <d v="2025-10-30T15:23:15"/>
    <d v="2025-10-30T15:57:27"/>
    <n v="1"/>
    <n v="0"/>
  </r>
  <r>
    <s v="UE14"/>
    <s v="Nomenclature chimique- Isomérie "/>
    <s v="J15"/>
    <x v="38"/>
    <n v="39.6"/>
    <n v="5"/>
    <d v="2025-09-19T16:58:21"/>
    <d v="2025-10-30T15:57:27"/>
    <d v="2025-10-30T16:37:03"/>
    <n v="1"/>
    <n v="0"/>
  </r>
  <r>
    <s v="UE4"/>
    <s v="Sociologie de la profession médicale"/>
    <s v="J10"/>
    <x v="38"/>
    <n v="35.4"/>
    <n v="4"/>
    <d v="2025-09-25T17:38:12"/>
    <d v="2025-10-30T16:37:03"/>
    <d v="2025-10-30T17:12:27"/>
    <n v="1"/>
    <n v="0"/>
  </r>
  <r>
    <s v="UE7"/>
    <s v="Structure et role des nucléotides"/>
    <s v="J10"/>
    <x v="38"/>
    <n v="68.399999999999991"/>
    <n v="4"/>
    <d v="2025-09-16T13:37:12"/>
    <d v="2025-10-30T17:12:27"/>
    <d v="2025-10-31T08:20:51"/>
    <n v="1"/>
    <n v="0"/>
  </r>
  <r>
    <s v="UE4"/>
    <s v="évolution des conceptions relatives au stress"/>
    <s v="J10"/>
    <x v="38"/>
    <n v="70.8"/>
    <n v="4"/>
    <d v="2025-09-25T17:38:12"/>
    <d v="2025-10-31T08:20:51"/>
    <d v="2025-10-31T09:31:39"/>
    <n v="1"/>
    <n v="0"/>
  </r>
  <r>
    <s v="UE14"/>
    <s v="Dérivés carbonyles"/>
    <s v="J0"/>
    <x v="38"/>
    <n v="81"/>
    <n v="0"/>
    <s v="-"/>
    <d v="2025-10-31T09:31:39"/>
    <d v="2025-10-31T10:52:39"/>
    <n v="1"/>
    <n v="0"/>
  </r>
  <r>
    <s v="UE 22"/>
    <s v="Enjeux éthiques "/>
    <s v="J0"/>
    <x v="38"/>
    <n v="108"/>
    <n v="0"/>
    <s v="-"/>
    <d v="2025-10-31T10:52:39"/>
    <d v="2025-10-31T12:40:39"/>
    <n v="1"/>
    <n v="0"/>
  </r>
  <r>
    <s v="UE 22"/>
    <s v="Intervention rééducation part-4"/>
    <s v="J30"/>
    <x v="39"/>
    <n v="16.2"/>
    <n v="15"/>
    <d v="2025-09-16T17:58:24"/>
    <d v="2025-10-31T12:40:39"/>
    <d v="2025-10-31T12:56:51"/>
    <n v="1"/>
    <n v="0"/>
  </r>
  <r>
    <s v="UE5"/>
    <s v="Elément introductif en santé publique"/>
    <s v="J30"/>
    <x v="39"/>
    <n v="18.899999999999999"/>
    <n v="15"/>
    <d v="2025-09-17T16:55:12"/>
    <d v="2025-10-31T12:56:51"/>
    <d v="2025-10-31T13:15:45"/>
    <n v="1"/>
    <n v="0"/>
  </r>
  <r>
    <s v="UE5"/>
    <s v="Probabiltés"/>
    <s v="J2"/>
    <x v="39"/>
    <n v="59.4"/>
    <n v="2"/>
    <d v="2025-09-02T08:51:00"/>
    <d v="2025-10-31T13:15:45"/>
    <d v="2025-10-31T14:15:09"/>
    <n v="1"/>
    <n v="0"/>
  </r>
  <r>
    <s v="UE9"/>
    <s v="Métrologie "/>
    <s v="J2"/>
    <x v="39"/>
    <n v="99"/>
    <n v="2"/>
    <d v="2025-09-12T13:46:15"/>
    <d v="2025-10-31T14:15:09"/>
    <d v="2025-10-31T15:54:09"/>
    <n v="1"/>
    <n v="0"/>
  </r>
  <r>
    <s v="UE10"/>
    <s v="Appareil locomoteur 3"/>
    <s v="J10"/>
    <x v="39"/>
    <n v="30"/>
    <n v="4"/>
    <d v="2025-09-08T12:07:12"/>
    <d v="2025-10-31T15:54:09"/>
    <d v="2025-10-31T16:24:09"/>
    <n v="1"/>
    <n v="0"/>
  </r>
  <r>
    <s v="UE5"/>
    <s v="tests stats et méthodologie de choix de test "/>
    <s v="J10"/>
    <x v="39"/>
    <n v="36"/>
    <n v="4"/>
    <d v="2025-09-08T09:58:57"/>
    <d v="2025-10-31T16:24:09"/>
    <d v="2025-10-31T17:00:09"/>
    <n v="1"/>
    <n v="0"/>
  </r>
  <r>
    <s v="UE6"/>
    <s v="Signalisation intracellulaire part 2"/>
    <s v="J10"/>
    <x v="39"/>
    <n v="53.4"/>
    <n v="4"/>
    <d v="2025-09-19T09:54:00"/>
    <d v="2025-10-31T17:00:09"/>
    <d v="2025-10-31T17:53:33"/>
    <n v="1"/>
    <n v="0"/>
  </r>
  <r>
    <s v="UE10"/>
    <s v="Membre supérieur 2 "/>
    <s v="J10"/>
    <x v="39"/>
    <n v="61.199999999999996"/>
    <n v="4"/>
    <d v="2025-09-08T12:07:12"/>
    <d v="2025-10-31T17:53:33"/>
    <d v="2025-11-03T08:54:45"/>
    <n v="1"/>
    <n v="0"/>
  </r>
  <r>
    <s v="UE5"/>
    <s v="Prévention-Alla "/>
    <s v="J6"/>
    <x v="40"/>
    <n v="53.25"/>
    <n v="4"/>
    <d v="2025-09-04T08:45:54"/>
    <d v="2025-11-03T08:54:45"/>
    <d v="2025-11-03T09:48:00"/>
    <n v="1"/>
    <n v="0"/>
  </r>
  <r>
    <s v="UE8"/>
    <s v="Transports membranaires"/>
    <s v="J6"/>
    <x v="40"/>
    <n v="53.25"/>
    <n v="4"/>
    <d v="2025-09-04T13:01:30"/>
    <d v="2025-11-03T09:48:00"/>
    <d v="2025-11-03T10:41:15"/>
    <n v="1"/>
    <n v="0"/>
  </r>
  <r>
    <s v="UE10"/>
    <s v="Membre inférieur 3"/>
    <s v="J30"/>
    <x v="40"/>
    <n v="13.5"/>
    <n v="15"/>
    <d v="2025-09-18T08:12:09"/>
    <d v="2025-11-03T10:41:15"/>
    <d v="2025-11-03T10:54:45"/>
    <n v="1"/>
    <n v="0"/>
  </r>
  <r>
    <s v="UE9"/>
    <s v="Outils mathématique "/>
    <s v="J30"/>
    <x v="40"/>
    <n v="19.2"/>
    <n v="15"/>
    <d v="2025-10-08T17:23:48"/>
    <d v="2025-11-03T10:54:45"/>
    <d v="2025-11-03T11:13:57"/>
    <n v="1"/>
    <n v="0"/>
  </r>
  <r>
    <s v="UE7"/>
    <s v="Mutations "/>
    <s v="J30"/>
    <x v="40"/>
    <n v="26.099999999999998"/>
    <n v="15"/>
    <d v="2025-10-02T14:28:30"/>
    <d v="2025-11-03T11:13:57"/>
    <d v="2025-11-03T11:40:03"/>
    <n v="1"/>
    <n v="0"/>
  </r>
  <r>
    <s v="UE6"/>
    <s v="La composition des membranes cellulaire"/>
    <s v="J30"/>
    <x v="40"/>
    <n v="27.599999999999998"/>
    <n v="15"/>
    <d v="2025-10-09T08:44:21"/>
    <d v="2025-11-03T11:40:03"/>
    <d v="2025-11-03T12:07:39"/>
    <n v="1"/>
    <n v="0"/>
  </r>
  <r>
    <s v="UE14"/>
    <s v="Dérivés carbonyles"/>
    <s v="J2"/>
    <x v="40"/>
    <n v="72.900000000000006"/>
    <n v="2"/>
    <d v="2025-09-08T15:58:57"/>
    <d v="2025-11-03T12:07:39"/>
    <d v="2025-11-03T13:20:33"/>
    <n v="1"/>
    <n v="0"/>
  </r>
  <r>
    <s v="UE 22"/>
    <s v="Enjeux éthiques "/>
    <s v="J2"/>
    <x v="40"/>
    <n v="97.2"/>
    <n v="2"/>
    <d v="2025-09-01T08:32:00"/>
    <d v="2025-11-03T13:20:33"/>
    <d v="2025-11-03T14:57:45"/>
    <n v="1"/>
    <n v="0"/>
  </r>
  <r>
    <s v="UE10"/>
    <s v="Appareil locomoteur 2"/>
    <s v="J10"/>
    <x v="40"/>
    <n v="45.6"/>
    <n v="4"/>
    <d v="2025-09-08T12:07:12"/>
    <d v="2025-11-03T14:57:45"/>
    <d v="2025-11-03T15:43:21"/>
    <n v="1"/>
    <n v="0"/>
  </r>
  <r>
    <s v="UE4"/>
    <s v="Méthode d'évaluation du stress objectif "/>
    <s v="J10"/>
    <x v="40"/>
    <n v="71.399999999999991"/>
    <n v="4"/>
    <d v="2025-09-25T17:38:12"/>
    <d v="2025-11-03T15:43:21"/>
    <d v="2025-11-03T16:54:45"/>
    <n v="1"/>
    <n v="0"/>
  </r>
  <r>
    <s v="UE9"/>
    <s v="Détection des rayonnements "/>
    <s v="J6"/>
    <x v="41"/>
    <n v="27"/>
    <n v="4"/>
    <d v="2025-09-15T17:19:21"/>
    <d v="2025-11-03T16:54:45"/>
    <d v="2025-11-03T17:21:45"/>
    <n v="1"/>
    <n v="0"/>
  </r>
  <r>
    <s v="UE14"/>
    <s v="Atomes"/>
    <s v="J6"/>
    <x v="41"/>
    <n v="49.5"/>
    <n v="4"/>
    <d v="2025-09-10T14:11:30"/>
    <d v="2025-11-03T17:21:45"/>
    <d v="2025-11-04T08:11:15"/>
    <n v="1"/>
    <n v="0"/>
  </r>
  <r>
    <s v="UE6"/>
    <s v="Cellules souches"/>
    <s v="J6"/>
    <x v="41"/>
    <n v="63"/>
    <n v="4"/>
    <d v="2025-09-16T10:00:27"/>
    <d v="2025-11-04T08:11:15"/>
    <d v="2025-11-04T09:14:15"/>
    <n v="1"/>
    <n v="0"/>
  </r>
  <r>
    <s v="UE6"/>
    <s v="Mouvement molécules de surface"/>
    <s v="J6"/>
    <x v="41"/>
    <n v="75.75"/>
    <n v="4"/>
    <d v="2025-09-16T10:00:27"/>
    <d v="2025-11-04T09:14:15"/>
    <d v="2025-11-04T10:30:00"/>
    <n v="1"/>
    <n v="0"/>
  </r>
  <r>
    <s v="UE6"/>
    <s v="Molécules du vivant"/>
    <s v="J6"/>
    <x v="41"/>
    <n v="81.75"/>
    <n v="4"/>
    <d v="2025-09-16T10:00:27"/>
    <d v="2025-11-04T10:30:00"/>
    <d v="2025-11-04T11:51:45"/>
    <n v="1"/>
    <n v="0"/>
  </r>
  <r>
    <s v="UE5"/>
    <s v="stats descriptives"/>
    <s v="J10"/>
    <x v="41"/>
    <n v="37.199999999999996"/>
    <n v="4"/>
    <d v="2025-09-08T09:58:57"/>
    <d v="2025-11-04T11:51:45"/>
    <d v="2025-11-04T12:28:57"/>
    <n v="1"/>
    <n v="0"/>
  </r>
  <r>
    <s v="UE10"/>
    <s v="Cou"/>
    <s v="J10"/>
    <x v="41"/>
    <n v="37.199999999999996"/>
    <n v="4"/>
    <d v="2025-09-08T12:07:12"/>
    <d v="2025-11-04T12:28:57"/>
    <d v="2025-11-04T13:06:09"/>
    <n v="1"/>
    <n v="0"/>
  </r>
  <r>
    <s v="UE7"/>
    <s v="Synthèse et dégradation des protéines"/>
    <s v="J10"/>
    <x v="41"/>
    <n v="63.599999999999994"/>
    <n v="4"/>
    <d v="2025-09-16T13:37:12"/>
    <d v="2025-11-04T13:06:09"/>
    <d v="2025-11-04T14:09:45"/>
    <n v="1"/>
    <n v="0"/>
  </r>
  <r>
    <s v="UE5"/>
    <s v="évaluation des procédures diagnostiques"/>
    <s v="J6"/>
    <x v="42"/>
    <n v="30"/>
    <n v="4"/>
    <d v="2025-09-04T08:45:54"/>
    <d v="2025-11-04T14:09:45"/>
    <d v="2025-11-04T14:39:45"/>
    <n v="1"/>
    <n v="0"/>
  </r>
  <r>
    <s v="UE7"/>
    <s v="Réparation de l'ADN"/>
    <s v="J6"/>
    <x v="42"/>
    <n v="60.75"/>
    <n v="4"/>
    <d v="2025-09-11T16:20:03"/>
    <d v="2025-11-04T14:39:45"/>
    <d v="2025-11-04T15:40:30"/>
    <n v="1"/>
    <n v="0"/>
  </r>
  <r>
    <s v="UE10"/>
    <s v="Appareil locomoteur 1"/>
    <s v="J15"/>
    <x v="42"/>
    <n v="35.550000000000004"/>
    <n v="5"/>
    <d v="2025-09-12T10:49:27"/>
    <d v="2025-11-04T15:40:30"/>
    <d v="2025-11-04T16:16:03"/>
    <n v="1"/>
    <n v="0"/>
  </r>
  <r>
    <s v="UE7"/>
    <s v="Réplication de l'ADN"/>
    <s v="J15"/>
    <x v="42"/>
    <n v="48.6"/>
    <n v="5"/>
    <d v="2025-09-24T11:06:03"/>
    <d v="2025-11-04T16:16:03"/>
    <d v="2025-11-04T17:04:39"/>
    <n v="1"/>
    <n v="0"/>
  </r>
  <r>
    <s v="UE5"/>
    <s v="Probabiltés"/>
    <s v="J6"/>
    <x v="43"/>
    <n v="49.5"/>
    <n v="4"/>
    <d v="2025-09-04T08:45:54"/>
    <d v="2025-11-04T17:04:39"/>
    <d v="2025-11-04T17:54:09"/>
    <n v="1"/>
    <n v="0"/>
  </r>
  <r>
    <s v="UE9"/>
    <s v="Métrologie "/>
    <s v="J6"/>
    <x v="43"/>
    <n v="82.5"/>
    <n v="4"/>
    <d v="2025-09-15T17:19:21"/>
    <d v="2025-11-04T17:54:09"/>
    <d v="2025-11-05T09:16:39"/>
    <n v="1"/>
    <n v="0"/>
  </r>
  <r>
    <s v="UE4"/>
    <s v="La discipline anthropologique "/>
    <s v="J30"/>
    <x v="43"/>
    <n v="28.799999999999997"/>
    <n v="15"/>
    <d v="2025-10-14T10:43:15"/>
    <d v="2025-11-05T09:16:39"/>
    <d v="2025-11-05T09:45:27"/>
    <n v="1"/>
    <n v="0"/>
  </r>
  <r>
    <s v="UE10"/>
    <s v="intro: tissus"/>
    <s v="J30"/>
    <x v="43"/>
    <n v="33.9"/>
    <n v="15"/>
    <d v="2025-09-18T08:12:09"/>
    <d v="2025-11-05T09:45:27"/>
    <d v="2025-11-05T10:19:21"/>
    <n v="1"/>
    <n v="0"/>
  </r>
  <r>
    <s v="UE4"/>
    <s v="Sociologie de la profession médicale"/>
    <s v="J15"/>
    <x v="43"/>
    <n v="26.55"/>
    <n v="5"/>
    <d v="2025-10-06T14:03:36"/>
    <d v="2025-11-05T10:19:21"/>
    <d v="2025-11-05T10:45:54"/>
    <n v="1"/>
    <n v="0"/>
  </r>
  <r>
    <s v="UE7"/>
    <s v="Structure et role des nucléotides"/>
    <s v="J15"/>
    <x v="43"/>
    <n v="51.300000000000004"/>
    <n v="5"/>
    <d v="2025-09-24T11:06:03"/>
    <d v="2025-11-05T10:45:54"/>
    <d v="2025-11-05T11:37:12"/>
    <n v="1"/>
    <n v="0"/>
  </r>
  <r>
    <s v="UE4"/>
    <s v="évolution des conceptions relatives au stress"/>
    <s v="J15"/>
    <x v="43"/>
    <n v="53.1"/>
    <n v="5"/>
    <d v="2025-10-06T14:03:36"/>
    <d v="2025-11-05T11:37:12"/>
    <d v="2025-11-05T12:30:18"/>
    <n v="1"/>
    <n v="0"/>
  </r>
  <r>
    <s v="UE14"/>
    <s v="Dérivés carbonyles"/>
    <s v="J6"/>
    <x v="44"/>
    <n v="60.75"/>
    <n v="4"/>
    <d v="2025-09-10T14:11:30"/>
    <d v="2025-11-05T12:30:18"/>
    <d v="2025-11-05T13:31:03"/>
    <n v="1"/>
    <n v="0"/>
  </r>
  <r>
    <s v="UE 22"/>
    <s v="Enjeux éthiques "/>
    <s v="J6"/>
    <x v="44"/>
    <n v="81"/>
    <n v="4"/>
    <d v="2025-09-03T08:28:48"/>
    <d v="2025-11-05T13:31:03"/>
    <d v="2025-11-05T14:52:03"/>
    <n v="1"/>
    <n v="0"/>
  </r>
  <r>
    <s v="UE 22"/>
    <s v="Représentations sociales du handicap "/>
    <s v="J30"/>
    <x v="44"/>
    <n v="10.799999999999999"/>
    <n v="15"/>
    <d v="2025-09-16T17:58:24"/>
    <d v="2025-11-05T14:52:03"/>
    <d v="2025-11-05T15:02:51"/>
    <n v="1"/>
    <n v="0"/>
  </r>
  <r>
    <s v="UE10"/>
    <s v="intro : généralités"/>
    <s v="J30"/>
    <x v="44"/>
    <n v="13.5"/>
    <n v="15"/>
    <d v="2025-09-18T08:12:09"/>
    <d v="2025-11-05T15:02:51"/>
    <d v="2025-11-05T15:16:21"/>
    <n v="1"/>
    <n v="0"/>
  </r>
  <r>
    <s v="UE6"/>
    <s v="Division cellulaire"/>
    <s v="J30"/>
    <x v="44"/>
    <n v="14.399999999999999"/>
    <n v="15"/>
    <d v="2025-10-09T08:44:21"/>
    <d v="2025-11-05T15:16:21"/>
    <d v="2025-11-05T15:30:45"/>
    <n v="1"/>
    <n v="0"/>
  </r>
  <r>
    <s v="UE7"/>
    <s v="Transcription et régulation "/>
    <s v="J30"/>
    <x v="44"/>
    <n v="14.7"/>
    <n v="15"/>
    <d v="2025-10-02T14:28:30"/>
    <d v="2025-11-05T15:30:45"/>
    <d v="2025-11-05T15:45:27"/>
    <n v="1"/>
    <n v="0"/>
  </r>
  <r>
    <s v="UE10"/>
    <s v="Membre inférieur 2 "/>
    <s v="J30"/>
    <x v="44"/>
    <n v="18"/>
    <n v="15"/>
    <d v="2025-09-18T08:12:09"/>
    <d v="2025-11-05T15:45:27"/>
    <d v="2025-11-05T16:03:27"/>
    <n v="1"/>
    <n v="0"/>
  </r>
  <r>
    <s v="UE10"/>
    <s v="Appareil locomoteur 3"/>
    <s v="J15"/>
    <x v="44"/>
    <n v="22.5"/>
    <n v="5"/>
    <d v="2025-09-12T10:49:27"/>
    <d v="2025-11-05T16:03:27"/>
    <d v="2025-11-05T16:25:57"/>
    <n v="1"/>
    <n v="0"/>
  </r>
  <r>
    <s v="UE5"/>
    <s v="tests stats et méthodologie de choix de test "/>
    <s v="J15"/>
    <x v="44"/>
    <n v="27"/>
    <n v="5"/>
    <d v="2025-09-12T09:06:51"/>
    <d v="2025-11-05T16:25:57"/>
    <d v="2025-11-05T16:52:57"/>
    <n v="1"/>
    <n v="0"/>
  </r>
  <r>
    <s v="UE6"/>
    <s v="Signalisation intracellulaire part 2"/>
    <s v="J15"/>
    <x v="44"/>
    <n v="40.050000000000004"/>
    <n v="5"/>
    <d v="2025-09-29T11:19:27"/>
    <d v="2025-11-05T16:52:57"/>
    <d v="2025-11-05T17:33:00"/>
    <n v="1"/>
    <n v="0"/>
  </r>
  <r>
    <s v="UE10"/>
    <s v="Membre supérieur 2 "/>
    <s v="J15"/>
    <x v="44"/>
    <n v="45.9"/>
    <n v="5"/>
    <d v="2025-09-12T10:49:27"/>
    <d v="2025-11-05T17:33:00"/>
    <d v="2025-11-06T08:18:54"/>
    <n v="1"/>
    <n v="0"/>
  </r>
  <r>
    <s v="UE5"/>
    <s v="Prévention-Alla "/>
    <s v="J10"/>
    <x v="44"/>
    <n v="42.6"/>
    <n v="4"/>
    <d v="2025-09-08T09:58:57"/>
    <d v="2025-11-06T08:18:54"/>
    <d v="2025-11-06T09:01:30"/>
    <n v="1"/>
    <n v="0"/>
  </r>
  <r>
    <s v="UE8"/>
    <s v="Transports membranaires"/>
    <s v="J10"/>
    <x v="44"/>
    <n v="42.6"/>
    <n v="4"/>
    <d v="2025-09-08T13:31:57"/>
    <d v="2025-11-06T09:01:30"/>
    <d v="2025-11-06T09:44:06"/>
    <n v="1"/>
    <n v="0"/>
  </r>
  <r>
    <s v="UE9"/>
    <s v="États  de la matière et leur caractérisation "/>
    <s v="J30"/>
    <x v="45"/>
    <n v="27"/>
    <n v="15"/>
    <d v="2025-10-08T17:23:48"/>
    <d v="2025-11-06T09:44:06"/>
    <d v="2025-11-06T10:11:06"/>
    <n v="1"/>
    <n v="0"/>
  </r>
  <r>
    <s v="UE9"/>
    <s v="Interaction rayonnement-Matière "/>
    <s v="J30"/>
    <x v="45"/>
    <n v="33.6"/>
    <n v="15"/>
    <d v="2025-10-08T17:23:48"/>
    <d v="2025-11-06T10:11:06"/>
    <d v="2025-11-06T10:44:42"/>
    <n v="1"/>
    <n v="0"/>
  </r>
  <r>
    <s v="UE5"/>
    <s v="essai thérapeutique "/>
    <s v="J30"/>
    <x v="45"/>
    <n v="33.9"/>
    <n v="15"/>
    <d v="2025-09-17T16:55:12"/>
    <d v="2025-11-06T10:44:42"/>
    <d v="2025-11-06T11:18:36"/>
    <n v="1"/>
    <n v="0"/>
  </r>
  <r>
    <s v="UE9"/>
    <s v="Les très basses fréquences du spectre électromagnétique "/>
    <s v="J30"/>
    <x v="45"/>
    <n v="36"/>
    <n v="15"/>
    <d v="2025-10-08T17:23:48"/>
    <d v="2025-11-06T11:18:36"/>
    <d v="2025-11-06T11:54:36"/>
    <n v="1"/>
    <n v="0"/>
  </r>
  <r>
    <s v="UE10"/>
    <s v="Appareil locomoteur 2"/>
    <s v="J15"/>
    <x v="45"/>
    <n v="34.200000000000003"/>
    <n v="5"/>
    <d v="2025-09-12T10:49:27"/>
    <d v="2025-11-06T11:54:36"/>
    <d v="2025-11-06T12:28:48"/>
    <n v="1"/>
    <n v="0"/>
  </r>
  <r>
    <s v="UE4"/>
    <s v="Méthode d'évaluation du stress objectif "/>
    <s v="J15"/>
    <x v="45"/>
    <n v="53.550000000000004"/>
    <n v="5"/>
    <d v="2025-10-06T14:03:36"/>
    <d v="2025-11-06T12:28:48"/>
    <d v="2025-11-06T13:22:21"/>
    <n v="1"/>
    <n v="0"/>
  </r>
  <r>
    <s v="UE9"/>
    <s v="Détection des rayonnements "/>
    <s v="J10"/>
    <x v="45"/>
    <n v="21.599999999999998"/>
    <n v="4"/>
    <d v="2025-09-18T17:39:45"/>
    <d v="2025-11-06T13:22:21"/>
    <d v="2025-11-06T13:43:57"/>
    <n v="1"/>
    <n v="0"/>
  </r>
  <r>
    <s v="UE14"/>
    <s v="Atomes"/>
    <s v="J10"/>
    <x v="45"/>
    <n v="39.6"/>
    <n v="4"/>
    <d v="2025-09-15T09:50:15"/>
    <d v="2025-11-06T13:43:57"/>
    <d v="2025-11-06T14:23:33"/>
    <n v="1"/>
    <n v="0"/>
  </r>
  <r>
    <s v="UE6"/>
    <s v="Cellules souches"/>
    <s v="J10"/>
    <x v="45"/>
    <n v="50.4"/>
    <n v="4"/>
    <d v="2025-09-19T09:54:00"/>
    <d v="2025-11-06T14:23:33"/>
    <d v="2025-11-06T15:13:57"/>
    <n v="1"/>
    <n v="0"/>
  </r>
  <r>
    <s v="UE6"/>
    <s v="Mouvement molécules de surface"/>
    <s v="J10"/>
    <x v="45"/>
    <n v="60.599999999999994"/>
    <n v="4"/>
    <d v="2025-09-19T09:54:00"/>
    <d v="2025-11-06T15:13:57"/>
    <d v="2025-11-06T16:14:33"/>
    <n v="1"/>
    <n v="0"/>
  </r>
  <r>
    <s v="UE6"/>
    <s v="Molécules du vivant"/>
    <s v="J10"/>
    <x v="45"/>
    <n v="65.399999999999991"/>
    <n v="4"/>
    <d v="2025-09-19T09:54:00"/>
    <d v="2025-11-06T16:14:33"/>
    <d v="2025-11-06T17:19:57"/>
    <n v="1"/>
    <n v="0"/>
  </r>
  <r>
    <s v="UE7"/>
    <s v="Acides Aminés- peptides "/>
    <s v="J30"/>
    <x v="46"/>
    <n v="9.2999999999999989"/>
    <n v="15"/>
    <d v="2025-10-02T14:28:30"/>
    <d v="2025-11-06T17:19:57"/>
    <d v="2025-11-06T17:29:15"/>
    <n v="1"/>
    <n v="0"/>
  </r>
  <r>
    <s v="UE 22"/>
    <s v="Intervention rééducation part-2"/>
    <s v="J30"/>
    <x v="46"/>
    <n v="12"/>
    <n v="15"/>
    <d v="2025-09-16T17:58:24"/>
    <d v="2025-11-06T17:29:15"/>
    <d v="2025-11-06T17:41:15"/>
    <n v="1"/>
    <n v="0"/>
  </r>
  <r>
    <s v="UE7"/>
    <s v="Du chromosome à l'ADN"/>
    <s v="J30"/>
    <x v="46"/>
    <n v="18"/>
    <n v="15"/>
    <d v="2025-10-02T14:28:30"/>
    <d v="2025-11-06T17:41:15"/>
    <d v="2025-11-06T17:59:15"/>
    <n v="1"/>
    <n v="0"/>
  </r>
  <r>
    <s v="UE5"/>
    <s v="corrélation et régression linéaire"/>
    <s v="J30"/>
    <x v="46"/>
    <n v="21.9"/>
    <n v="15"/>
    <d v="2025-09-17T16:55:12"/>
    <d v="2025-11-06T17:59:15"/>
    <d v="2025-11-07T08:21:09"/>
    <n v="1"/>
    <n v="0"/>
  </r>
  <r>
    <s v="UE6"/>
    <s v="Signalisation intracellulaire part 1"/>
    <s v="J30"/>
    <x v="46"/>
    <n v="24.599999999999998"/>
    <n v="15"/>
    <d v="2025-10-09T08:44:21"/>
    <d v="2025-11-07T08:21:09"/>
    <d v="2025-11-07T08:45:45"/>
    <n v="1"/>
    <n v="0"/>
  </r>
  <r>
    <s v="UE8"/>
    <s v="Régulation et rôle du rein "/>
    <s v="J30"/>
    <x v="46"/>
    <n v="29.7"/>
    <n v="15"/>
    <d v="2025-09-18T09:03:00"/>
    <d v="2025-11-07T08:45:45"/>
    <d v="2025-11-07T09:15:27"/>
    <n v="1"/>
    <n v="0"/>
  </r>
  <r>
    <s v="UE14"/>
    <s v="Liaisons chimique et interactions moléculaires"/>
    <s v="J30"/>
    <x v="46"/>
    <n v="32.1"/>
    <n v="15"/>
    <d v="2025-09-30T12:06:51"/>
    <d v="2025-11-07T09:15:27"/>
    <d v="2025-11-07T09:47:33"/>
    <n v="1"/>
    <n v="0"/>
  </r>
  <r>
    <s v="UE8"/>
    <s v="Physiologie et compartiments liquidiens "/>
    <s v="J30"/>
    <x v="46"/>
    <n v="33"/>
    <n v="15"/>
    <d v="2025-09-18T09:03:00"/>
    <d v="2025-11-07T09:47:33"/>
    <d v="2025-11-07T10:20:33"/>
    <n v="1"/>
    <n v="0"/>
  </r>
  <r>
    <s v="UE5"/>
    <s v="stats descriptives"/>
    <s v="J15"/>
    <x v="46"/>
    <n v="27.900000000000002"/>
    <n v="5"/>
    <d v="2025-09-12T09:06:51"/>
    <d v="2025-11-07T10:20:33"/>
    <d v="2025-11-07T10:48:27"/>
    <n v="1"/>
    <n v="0"/>
  </r>
  <r>
    <s v="UE10"/>
    <s v="Cou"/>
    <s v="J15"/>
    <x v="46"/>
    <n v="27.900000000000002"/>
    <n v="5"/>
    <d v="2025-09-12T10:49:27"/>
    <d v="2025-11-07T10:48:27"/>
    <d v="2025-11-07T11:16:21"/>
    <n v="1"/>
    <n v="0"/>
  </r>
  <r>
    <s v="UE7"/>
    <s v="Synthèse et dégradation des protéines"/>
    <s v="J15"/>
    <x v="46"/>
    <n v="47.7"/>
    <n v="5"/>
    <d v="2025-09-24T11:06:03"/>
    <d v="2025-11-07T11:16:21"/>
    <d v="2025-11-07T12:04:03"/>
    <n v="1"/>
    <n v="0"/>
  </r>
  <r>
    <s v="UE5"/>
    <s v="évaluation des procédures diagnostiques"/>
    <s v="J10"/>
    <x v="46"/>
    <n v="24"/>
    <n v="4"/>
    <d v="2025-09-08T09:58:57"/>
    <d v="2025-11-07T12:04:03"/>
    <d v="2025-11-07T12:28:03"/>
    <n v="1"/>
    <n v="0"/>
  </r>
  <r>
    <s v="UE7"/>
    <s v="Réparation de l'ADN"/>
    <s v="J10"/>
    <x v="46"/>
    <n v="48.6"/>
    <n v="4"/>
    <d v="2025-09-16T13:37:12"/>
    <d v="2025-11-07T12:28:03"/>
    <d v="2025-11-07T13:16:39"/>
    <n v="1"/>
    <n v="0"/>
  </r>
  <r>
    <s v="UE4"/>
    <s v="psychologie générale "/>
    <s v="J30"/>
    <x v="47"/>
    <n v="9.6"/>
    <n v="15"/>
    <d v="2025-10-14T10:43:15"/>
    <d v="2025-11-07T13:16:39"/>
    <d v="2025-11-07T13:26:15"/>
    <n v="1"/>
    <n v="0"/>
  </r>
  <r>
    <s v="UE5"/>
    <s v="schéma d'étude "/>
    <s v="J30"/>
    <x v="47"/>
    <n v="16.8"/>
    <n v="15"/>
    <d v="2025-09-17T16:55:12"/>
    <d v="2025-11-07T13:26:15"/>
    <d v="2025-11-07T13:43:03"/>
    <n v="1"/>
    <n v="0"/>
  </r>
  <r>
    <s v="UE14"/>
    <s v="Les alcools- les amines"/>
    <s v="J30"/>
    <x v="47"/>
    <n v="16.8"/>
    <n v="15"/>
    <d v="2025-09-30T12:06:51"/>
    <d v="2025-11-07T13:43:03"/>
    <d v="2025-11-07T13:59:51"/>
    <n v="1"/>
    <n v="0"/>
  </r>
  <r>
    <s v="UE5"/>
    <s v="Introduction épidémiologie et stats"/>
    <s v="J30"/>
    <x v="47"/>
    <n v="30.599999999999998"/>
    <n v="15"/>
    <d v="2025-09-17T16:55:12"/>
    <d v="2025-11-07T13:59:51"/>
    <d v="2025-11-07T14:30:27"/>
    <n v="1"/>
    <n v="0"/>
  </r>
  <r>
    <s v="UE 22"/>
    <s v="Intervention rééducation part-5"/>
    <s v="J30"/>
    <x v="47"/>
    <n v="31.2"/>
    <n v="15"/>
    <d v="2025-09-16T17:58:24"/>
    <d v="2025-11-07T14:30:27"/>
    <d v="2025-11-07T15:01:39"/>
    <n v="1"/>
    <n v="0"/>
  </r>
  <r>
    <s v="UE5"/>
    <s v="Probabiltés"/>
    <s v="J10"/>
    <x v="47"/>
    <n v="39.6"/>
    <n v="4"/>
    <d v="2025-09-08T09:58:57"/>
    <d v="2025-11-07T15:01:39"/>
    <d v="2025-11-07T15:41:15"/>
    <n v="1"/>
    <n v="0"/>
  </r>
  <r>
    <s v="UE9"/>
    <s v="Métrologie "/>
    <s v="J10"/>
    <x v="47"/>
    <n v="66"/>
    <n v="4"/>
    <d v="2025-09-18T17:39:45"/>
    <d v="2025-11-07T15:41:15"/>
    <d v="2025-11-07T16:47:15"/>
    <n v="1"/>
    <n v="0"/>
  </r>
  <r>
    <s v="UE14"/>
    <s v="Dérivés carbonyles"/>
    <s v="J10"/>
    <x v="48"/>
    <n v="48.6"/>
    <n v="4"/>
    <d v="2025-09-15T09:50:15"/>
    <d v="2025-11-07T16:47:15"/>
    <d v="2025-11-07T17:35:51"/>
    <n v="1"/>
    <n v="0"/>
  </r>
  <r>
    <s v="UE 22"/>
    <s v="Enjeux éthiques "/>
    <s v="J10"/>
    <x v="48"/>
    <n v="64.8"/>
    <n v="4"/>
    <d v="2025-09-08T08:24:00"/>
    <d v="2025-11-07T17:35:51"/>
    <d v="2025-11-10T08:40:39"/>
    <n v="1"/>
    <n v="0"/>
  </r>
  <r>
    <s v="UE5"/>
    <s v="Prévention-Alla "/>
    <s v="J15"/>
    <x v="49"/>
    <n v="31.95"/>
    <n v="5"/>
    <d v="2025-09-12T09:06:51"/>
    <d v="2025-11-10T08:40:39"/>
    <d v="2025-11-10T09:12:36"/>
    <n v="1"/>
    <n v="0"/>
  </r>
  <r>
    <s v="UE8"/>
    <s v="Transports membranaires"/>
    <s v="J15"/>
    <x v="49"/>
    <n v="31.95"/>
    <n v="5"/>
    <d v="2025-09-12T11:57:15"/>
    <d v="2025-11-10T09:12:36"/>
    <d v="2025-11-10T09:44:33"/>
    <n v="1"/>
    <n v="0"/>
  </r>
  <r>
    <s v="UE6"/>
    <s v="Transport intracellulaire et trafic vésiculaire "/>
    <s v="J30"/>
    <x v="50"/>
    <n v="9.9"/>
    <n v="15"/>
    <d v="2025-10-09T08:44:21"/>
    <d v="2025-11-10T09:44:33"/>
    <d v="2025-11-10T09:54:27"/>
    <n v="1"/>
    <n v="0"/>
  </r>
  <r>
    <s v="UE10"/>
    <s v="Membre inférieur 1"/>
    <s v="J30"/>
    <x v="50"/>
    <n v="33"/>
    <n v="15"/>
    <d v="2025-09-18T08:12:09"/>
    <d v="2025-11-10T09:54:27"/>
    <d v="2025-11-10T10:27:27"/>
    <n v="1"/>
    <n v="0"/>
  </r>
  <r>
    <s v="UE10"/>
    <s v="intro: région, fascias et appareil "/>
    <s v="J30"/>
    <x v="50"/>
    <n v="33.6"/>
    <n v="15"/>
    <d v="2025-09-18T08:12:09"/>
    <d v="2025-11-10T10:27:27"/>
    <d v="2025-11-10T11:01:03"/>
    <n v="1"/>
    <n v="0"/>
  </r>
  <r>
    <s v="UE9"/>
    <s v="Détection des rayonnements "/>
    <s v="J15"/>
    <x v="50"/>
    <n v="16.2"/>
    <n v="5"/>
    <d v="2025-09-29T09:32:03"/>
    <d v="2025-11-10T11:01:03"/>
    <d v="2025-11-10T11:17:15"/>
    <n v="1"/>
    <n v="0"/>
  </r>
  <r>
    <s v="UE14"/>
    <s v="Atomes"/>
    <s v="J15"/>
    <x v="50"/>
    <n v="29.7"/>
    <n v="5"/>
    <d v="2025-09-19T16:58:21"/>
    <d v="2025-11-10T11:17:15"/>
    <d v="2025-11-10T11:46:57"/>
    <n v="1"/>
    <n v="0"/>
  </r>
  <r>
    <s v="UE6"/>
    <s v="Cellules souches"/>
    <s v="J15"/>
    <x v="50"/>
    <n v="37.800000000000004"/>
    <n v="5"/>
    <d v="2025-09-29T11:19:27"/>
    <d v="2025-11-10T11:46:57"/>
    <d v="2025-11-10T12:24:45"/>
    <n v="1"/>
    <n v="0"/>
  </r>
  <r>
    <s v="UE6"/>
    <s v="Mouvement molécules de surface"/>
    <s v="J15"/>
    <x v="50"/>
    <n v="45.45"/>
    <n v="5"/>
    <d v="2025-09-29T11:19:27"/>
    <d v="2025-11-10T12:24:45"/>
    <d v="2025-11-10T13:10:12"/>
    <n v="1"/>
    <n v="0"/>
  </r>
  <r>
    <s v="UE6"/>
    <s v="Molécules du vivant"/>
    <s v="J15"/>
    <x v="50"/>
    <n v="49.050000000000004"/>
    <n v="5"/>
    <d v="2025-09-29T11:19:27"/>
    <d v="2025-11-10T13:10:12"/>
    <d v="2025-11-10T13:59:15"/>
    <n v="1"/>
    <n v="0"/>
  </r>
  <r>
    <s v="UE 22"/>
    <s v="CI du fonctionnement, du handicap et de la santé "/>
    <s v="J30"/>
    <x v="51"/>
    <n v="17.399999999999999"/>
    <n v="15"/>
    <d v="2025-09-16T17:58:24"/>
    <d v="2025-11-10T13:59:15"/>
    <d v="2025-11-10T14:16:39"/>
    <n v="1"/>
    <n v="0"/>
  </r>
  <r>
    <s v="UE8"/>
    <s v="Jonction neuro-musculaire"/>
    <s v="J30"/>
    <x v="51"/>
    <n v="23.4"/>
    <n v="15"/>
    <d v="2025-09-18T09:03:00"/>
    <d v="2025-11-10T14:16:39"/>
    <d v="2025-11-10T14:40:03"/>
    <n v="1"/>
    <n v="0"/>
  </r>
  <r>
    <s v="UE4"/>
    <s v="Culture, corps et santé"/>
    <s v="J30"/>
    <x v="51"/>
    <n v="24.599999999999998"/>
    <n v="15"/>
    <d v="2025-10-14T10:43:15"/>
    <d v="2025-11-10T14:40:03"/>
    <d v="2025-11-10T15:04:39"/>
    <n v="1"/>
    <n v="0"/>
  </r>
  <r>
    <s v="UE14"/>
    <s v="Les acides aminés- les oses "/>
    <s v="J30"/>
    <x v="51"/>
    <n v="30.599999999999998"/>
    <n v="15"/>
    <d v="2025-09-30T12:06:51"/>
    <d v="2025-11-10T15:04:39"/>
    <d v="2025-11-10T15:35:15"/>
    <n v="1"/>
    <n v="0"/>
  </r>
  <r>
    <s v="UE5"/>
    <s v="évaluation des procédures diagnostiques"/>
    <s v="J15"/>
    <x v="51"/>
    <n v="18"/>
    <n v="5"/>
    <d v="2025-09-12T09:06:51"/>
    <d v="2025-11-10T15:35:15"/>
    <d v="2025-11-10T15:53:15"/>
    <n v="1"/>
    <n v="0"/>
  </r>
  <r>
    <s v="UE7"/>
    <s v="Réparation de l'ADN"/>
    <s v="J15"/>
    <x v="51"/>
    <n v="36.450000000000003"/>
    <n v="5"/>
    <d v="2025-09-24T11:06:03"/>
    <d v="2025-11-10T15:53:15"/>
    <d v="2025-11-10T16:29:42"/>
    <n v="1"/>
    <n v="0"/>
  </r>
  <r>
    <s v="UE7"/>
    <s v="Structure des glucides "/>
    <s v="J30"/>
    <x v="52"/>
    <n v="12"/>
    <n v="15"/>
    <d v="2025-10-02T14:28:30"/>
    <d v="2025-11-10T16:29:42"/>
    <d v="2025-11-10T16:41:42"/>
    <n v="1"/>
    <n v="0"/>
  </r>
  <r>
    <s v="UE6"/>
    <s v="Cytosquellette"/>
    <s v="J30"/>
    <x v="52"/>
    <n v="18"/>
    <n v="15"/>
    <d v="2025-10-09T08:44:21"/>
    <d v="2025-11-10T16:41:42"/>
    <d v="2025-11-10T16:59:42"/>
    <n v="1"/>
    <n v="0"/>
  </r>
  <r>
    <s v="UE10"/>
    <s v="Membre supérieur 3"/>
    <s v="J30"/>
    <x v="52"/>
    <n v="20.7"/>
    <n v="15"/>
    <d v="2025-09-18T08:12:09"/>
    <d v="2025-11-10T16:59:42"/>
    <d v="2025-11-10T17:20:24"/>
    <n v="1"/>
    <n v="0"/>
  </r>
  <r>
    <s v="UE10"/>
    <s v="Dos"/>
    <s v="J30"/>
    <x v="52"/>
    <n v="29.4"/>
    <n v="15"/>
    <d v="2025-09-18T08:12:09"/>
    <d v="2025-11-10T17:20:24"/>
    <d v="2025-11-10T17:49:48"/>
    <n v="1"/>
    <n v="0"/>
  </r>
  <r>
    <s v="UE9"/>
    <s v="Le domaine de l'optique "/>
    <s v="J30"/>
    <x v="52"/>
    <n v="30"/>
    <n v="15"/>
    <d v="2025-10-08T17:23:48"/>
    <d v="2025-11-10T17:49:48"/>
    <d v="2025-11-11T08:19:48"/>
    <n v="1"/>
    <n v="0"/>
  </r>
  <r>
    <s v="UE9"/>
    <s v="Rayons X et gamma-Rayonnement particulaire"/>
    <s v="J30"/>
    <x v="52"/>
    <n v="30"/>
    <n v="15"/>
    <d v="2025-10-08T17:23:48"/>
    <d v="2025-11-11T08:19:48"/>
    <d v="2025-11-11T08:49:48"/>
    <n v="1"/>
    <n v="0"/>
  </r>
  <r>
    <s v="UE10"/>
    <s v="Tête"/>
    <s v="J30"/>
    <x v="52"/>
    <n v="30"/>
    <n v="15"/>
    <d v="2025-09-18T08:12:09"/>
    <d v="2025-11-11T08:49:48"/>
    <d v="2025-11-11T09:19:48"/>
    <n v="1"/>
    <n v="0"/>
  </r>
  <r>
    <s v="UE5"/>
    <s v="Probabiltés"/>
    <s v="J15"/>
    <x v="52"/>
    <n v="29.7"/>
    <n v="5"/>
    <d v="2025-09-12T09:06:51"/>
    <d v="2025-11-11T09:19:48"/>
    <d v="2025-11-11T09:49:30"/>
    <n v="1"/>
    <n v="0"/>
  </r>
  <r>
    <s v="UE9"/>
    <s v="Métrologie "/>
    <s v="J15"/>
    <x v="52"/>
    <n v="49.5"/>
    <n v="5"/>
    <d v="2025-09-29T09:32:03"/>
    <d v="2025-11-11T09:49:30"/>
    <d v="2025-11-11T10:39:00"/>
    <n v="1"/>
    <n v="0"/>
  </r>
  <r>
    <s v="UE10"/>
    <s v="Membre supérieur 1"/>
    <s v="J30"/>
    <x v="53"/>
    <n v="10.199999999999999"/>
    <n v="15"/>
    <d v="2025-09-18T08:12:09"/>
    <d v="2025-11-11T10:39:00"/>
    <d v="2025-11-11T10:49:12"/>
    <n v="1"/>
    <n v="0"/>
  </r>
  <r>
    <s v="UE8"/>
    <s v="pH et équilibre acido basique d'une solution"/>
    <s v="J30"/>
    <x v="53"/>
    <n v="10.799999999999999"/>
    <n v="15"/>
    <d v="2025-09-18T09:03:00"/>
    <d v="2025-11-11T10:49:12"/>
    <d v="2025-11-11T11:00:00"/>
    <n v="1"/>
    <n v="0"/>
  </r>
  <r>
    <s v="UE8"/>
    <s v="système nerveux autonome "/>
    <s v="J30"/>
    <x v="53"/>
    <n v="21"/>
    <n v="15"/>
    <d v="2025-09-18T09:03:00"/>
    <d v="2025-11-11T11:00:00"/>
    <d v="2025-11-11T11:21:00"/>
    <n v="1"/>
    <n v="0"/>
  </r>
  <r>
    <s v="UE4"/>
    <s v="Maladies, itinéraire thérapeutique"/>
    <s v="J30"/>
    <x v="53"/>
    <n v="22.8"/>
    <n v="15"/>
    <d v="2025-10-14T10:43:15"/>
    <d v="2025-11-11T11:21:00"/>
    <d v="2025-11-11T11:43:48"/>
    <n v="1"/>
    <n v="0"/>
  </r>
  <r>
    <s v="UE14"/>
    <s v="Nomenclature chimique- Isomérie "/>
    <s v="J30"/>
    <x v="53"/>
    <n v="26.4"/>
    <n v="15"/>
    <d v="2025-09-30T12:06:51"/>
    <d v="2025-11-11T11:43:48"/>
    <d v="2025-11-11T12:10:12"/>
    <n v="1"/>
    <n v="0"/>
  </r>
  <r>
    <s v="UE14"/>
    <s v="Dérivés carbonyles"/>
    <s v="J15"/>
    <x v="53"/>
    <n v="36.450000000000003"/>
    <n v="5"/>
    <d v="2025-09-19T16:58:21"/>
    <d v="2025-11-11T12:10:12"/>
    <d v="2025-11-11T12:46:39"/>
    <n v="1"/>
    <n v="0"/>
  </r>
  <r>
    <s v="UE 22"/>
    <s v="Enjeux éthiques "/>
    <s v="J15"/>
    <x v="53"/>
    <n v="48.6"/>
    <n v="5"/>
    <d v="2025-09-11T16:39:15"/>
    <d v="2025-11-11T12:46:39"/>
    <d v="2025-11-11T13:35:15"/>
    <n v="1"/>
    <n v="0"/>
  </r>
  <r>
    <s v="UE10"/>
    <s v="Appareil locomoteur 1"/>
    <s v="J30"/>
    <x v="54"/>
    <n v="23.7"/>
    <n v="15"/>
    <d v="2025-09-18T08:12:09"/>
    <d v="2025-11-11T13:35:15"/>
    <d v="2025-11-11T13:58:57"/>
    <n v="1"/>
    <n v="0"/>
  </r>
  <r>
    <s v="UE7"/>
    <s v="Réplication de l'ADN"/>
    <s v="J30"/>
    <x v="54"/>
    <n v="32.4"/>
    <n v="15"/>
    <d v="2025-10-02T14:28:30"/>
    <d v="2025-11-11T13:58:57"/>
    <d v="2025-11-11T14:31:21"/>
    <n v="1"/>
    <n v="0"/>
  </r>
  <r>
    <s v="UE4"/>
    <s v="Sociologie de la profession médicale"/>
    <s v="J30"/>
    <x v="55"/>
    <n v="17.7"/>
    <n v="15"/>
    <d v="2025-10-14T10:43:15"/>
    <d v="2025-11-11T14:31:21"/>
    <d v="2025-11-11T14:49:03"/>
    <n v="1"/>
    <n v="0"/>
  </r>
  <r>
    <s v="UE7"/>
    <s v="Structure et role des nucléotides"/>
    <s v="J30"/>
    <x v="55"/>
    <n v="34.199999999999996"/>
    <n v="15"/>
    <d v="2025-10-02T14:28:30"/>
    <d v="2025-11-11T14:49:03"/>
    <d v="2025-11-11T15:23:15"/>
    <n v="1"/>
    <n v="0"/>
  </r>
  <r>
    <s v="UE4"/>
    <s v="évolution des conceptions relatives au stress"/>
    <s v="J30"/>
    <x v="55"/>
    <n v="35.4"/>
    <n v="15"/>
    <d v="2025-10-14T10:43:15"/>
    <d v="2025-11-11T15:23:15"/>
    <d v="2025-11-11T15:58:39"/>
    <n v="1"/>
    <n v="0"/>
  </r>
  <r>
    <s v="UE 22"/>
    <s v="Répercussion sociétales et empowerment "/>
    <s v="J60"/>
    <x v="56"/>
    <n v="4.8"/>
    <n v="30"/>
    <d v="2025-10-15T10:22:42"/>
    <d v="2025-11-11T15:58:39"/>
    <d v="2025-11-11T16:03:27"/>
    <n v="1"/>
    <n v="1"/>
  </r>
  <r>
    <s v="UE10"/>
    <s v="Appareil locomoteur 3"/>
    <s v="J30"/>
    <x v="56"/>
    <n v="15"/>
    <n v="15"/>
    <d v="2025-09-18T08:12:09"/>
    <d v="2025-11-11T16:03:27"/>
    <d v="2025-11-11T16:18:27"/>
    <n v="1"/>
    <n v="0"/>
  </r>
  <r>
    <s v="UE5"/>
    <s v="tests stats et méthodologie de choix de test "/>
    <s v="J30"/>
    <x v="56"/>
    <n v="18"/>
    <n v="15"/>
    <d v="2025-09-17T16:55:12"/>
    <d v="2025-11-11T16:18:27"/>
    <d v="2025-11-11T16:36:27"/>
    <n v="1"/>
    <n v="0"/>
  </r>
  <r>
    <s v="UE6"/>
    <s v="Signalisation intracellulaire part 2"/>
    <s v="J30"/>
    <x v="56"/>
    <n v="26.7"/>
    <n v="15"/>
    <d v="2025-10-09T08:44:21"/>
    <d v="2025-11-11T16:36:27"/>
    <d v="2025-11-11T17:03:09"/>
    <n v="1"/>
    <n v="0"/>
  </r>
  <r>
    <s v="UE10"/>
    <s v="Membre supérieur 2 "/>
    <s v="J30"/>
    <x v="56"/>
    <n v="30.599999999999998"/>
    <n v="15"/>
    <d v="2025-09-18T08:12:09"/>
    <d v="2025-11-11T17:03:09"/>
    <d v="2025-11-11T17:33:45"/>
    <n v="1"/>
    <n v="0"/>
  </r>
  <r>
    <s v="UE5"/>
    <s v="épidémiologie descriptive"/>
    <s v="J60"/>
    <x v="57"/>
    <n v="7.6499999999999995"/>
    <n v="30"/>
    <d v="2025-10-16T10:14:24"/>
    <d v="2025-11-11T17:33:45"/>
    <d v="2025-11-11T17:41:24"/>
    <n v="1"/>
    <n v="1"/>
  </r>
  <r>
    <s v="UE5"/>
    <s v="Économie du système de santé"/>
    <s v="J60"/>
    <x v="57"/>
    <n v="11.85"/>
    <n v="30"/>
    <d v="2025-10-16T10:14:24"/>
    <d v="2025-11-11T17:41:24"/>
    <d v="2025-11-11T17:53:15"/>
    <n v="1"/>
    <n v="1"/>
  </r>
  <r>
    <s v="UE10"/>
    <s v="Abdomen et pelvis 1"/>
    <s v="J60"/>
    <x v="57"/>
    <n v="13.799999999999999"/>
    <n v="30"/>
    <d v="2025-10-16T11:05:42"/>
    <d v="2025-11-11T17:53:15"/>
    <d v="2025-11-12T08:07:03"/>
    <n v="1"/>
    <n v="1"/>
  </r>
  <r>
    <s v="UE8"/>
    <s v="Synthèse tampons, Diagramme de Davenport"/>
    <s v="J60"/>
    <x v="57"/>
    <n v="16.95"/>
    <n v="30"/>
    <d v="2025-10-16T11:39:36"/>
    <d v="2025-11-12T08:07:03"/>
    <d v="2025-11-12T08:24:00"/>
    <n v="1"/>
    <n v="1"/>
  </r>
  <r>
    <s v="UE10"/>
    <s v="Appareil locomoteur 2"/>
    <s v="J30"/>
    <x v="57"/>
    <n v="22.8"/>
    <n v="15"/>
    <d v="2025-09-18T08:12:09"/>
    <d v="2025-11-12T08:24:00"/>
    <d v="2025-11-12T08:46:48"/>
    <n v="1"/>
    <n v="0"/>
  </r>
  <r>
    <s v="UE4"/>
    <s v="Méthode d'évaluation du stress objectif "/>
    <s v="J30"/>
    <x v="57"/>
    <n v="35.699999999999996"/>
    <n v="15"/>
    <d v="2025-10-14T10:43:15"/>
    <d v="2025-11-12T08:46:48"/>
    <d v="2025-11-12T09:22:30"/>
    <n v="1"/>
    <n v="0"/>
  </r>
  <r>
    <s v="UE8"/>
    <s v="Thermorégulation"/>
    <s v="J60"/>
    <x v="58"/>
    <n v="9.9"/>
    <n v="30"/>
    <d v="2025-10-16T11:39:36"/>
    <d v="2025-11-12T09:22:30"/>
    <d v="2025-11-12T09:32:24"/>
    <n v="1"/>
    <n v="1"/>
  </r>
  <r>
    <s v="UE8"/>
    <s v="Potentiel électrochimique "/>
    <s v="J60"/>
    <x v="58"/>
    <n v="15"/>
    <n v="30"/>
    <d v="2025-10-16T11:39:36"/>
    <d v="2025-11-12T09:32:24"/>
    <d v="2025-11-12T09:47:24"/>
    <n v="1"/>
    <n v="1"/>
  </r>
  <r>
    <s v="UE10"/>
    <s v="intro: mouvements"/>
    <s v="J60"/>
    <x v="58"/>
    <n v="15.75"/>
    <n v="30"/>
    <d v="2025-10-16T11:05:42"/>
    <d v="2025-11-12T09:47:24"/>
    <d v="2025-11-12T10:03:09"/>
    <n v="1"/>
    <n v="1"/>
  </r>
  <r>
    <s v="UE5"/>
    <s v="stats descriptives"/>
    <s v="J30"/>
    <x v="58"/>
    <n v="18.599999999999998"/>
    <n v="15"/>
    <d v="2025-09-17T16:55:12"/>
    <d v="2025-11-12T10:03:09"/>
    <d v="2025-11-12T10:21:45"/>
    <n v="1"/>
    <n v="0"/>
  </r>
  <r>
    <s v="UE10"/>
    <s v="Cou"/>
    <s v="J30"/>
    <x v="58"/>
    <n v="18.599999999999998"/>
    <n v="15"/>
    <d v="2025-09-18T08:12:09"/>
    <d v="2025-11-12T10:21:45"/>
    <d v="2025-11-12T10:40:21"/>
    <n v="1"/>
    <n v="0"/>
  </r>
  <r>
    <s v="UE7"/>
    <s v="Synthèse et dégradation des protéines"/>
    <s v="J30"/>
    <x v="58"/>
    <n v="31.799999999999997"/>
    <n v="15"/>
    <d v="2025-10-02T14:28:30"/>
    <d v="2025-11-12T10:40:21"/>
    <d v="2025-11-12T11:12:09"/>
    <n v="1"/>
    <n v="0"/>
  </r>
  <r>
    <s v="UE 22"/>
    <s v="Intervention rééducation part-1 "/>
    <s v="J60"/>
    <x v="59"/>
    <n v="9.4499999999999993"/>
    <n v="30"/>
    <d v="2025-10-15T10:22:42"/>
    <d v="2025-11-12T11:12:09"/>
    <d v="2025-11-12T11:21:36"/>
    <n v="1"/>
    <n v="1"/>
  </r>
  <r>
    <s v="UE5"/>
    <s v="Prévention-Alla "/>
    <s v="J30"/>
    <x v="60"/>
    <n v="21.3"/>
    <n v="15"/>
    <d v="2025-09-17T16:55:12"/>
    <d v="2025-11-12T11:21:36"/>
    <d v="2025-11-12T11:42:54"/>
    <n v="1"/>
    <n v="0"/>
  </r>
  <r>
    <s v="UE8"/>
    <s v="Transports membranaires"/>
    <s v="J30"/>
    <x v="60"/>
    <n v="21.3"/>
    <n v="15"/>
    <d v="2025-09-18T09:03:00"/>
    <d v="2025-11-12T11:42:54"/>
    <d v="2025-11-12T12:04:12"/>
    <n v="1"/>
    <n v="0"/>
  </r>
  <r>
    <s v="UE9"/>
    <s v="Détection des rayonnements "/>
    <s v="J30"/>
    <x v="61"/>
    <n v="10.799999999999999"/>
    <n v="15"/>
    <d v="2025-10-08T17:23:48"/>
    <d v="2025-11-12T12:04:12"/>
    <d v="2025-11-12T12:15:00"/>
    <n v="1"/>
    <n v="0"/>
  </r>
  <r>
    <s v="UE14"/>
    <s v="Atomes"/>
    <s v="J30"/>
    <x v="61"/>
    <n v="19.8"/>
    <n v="15"/>
    <d v="2025-09-30T12:06:51"/>
    <d v="2025-11-12T12:15:00"/>
    <d v="2025-11-12T12:34:48"/>
    <n v="1"/>
    <n v="0"/>
  </r>
  <r>
    <s v="UE6"/>
    <s v="Cellules souches"/>
    <s v="J30"/>
    <x v="61"/>
    <n v="25.2"/>
    <n v="15"/>
    <d v="2025-10-09T08:44:21"/>
    <d v="2025-11-12T12:34:48"/>
    <d v="2025-11-12T13:00:00"/>
    <n v="1"/>
    <n v="0"/>
  </r>
  <r>
    <s v="UE6"/>
    <s v="Mouvement molécules de surface"/>
    <s v="J30"/>
    <x v="61"/>
    <n v="30.299999999999997"/>
    <n v="15"/>
    <d v="2025-10-09T08:44:21"/>
    <d v="2025-11-12T13:00:00"/>
    <d v="2025-11-12T13:30:18"/>
    <n v="1"/>
    <n v="0"/>
  </r>
  <r>
    <s v="UE6"/>
    <s v="Molécules du vivant"/>
    <s v="J30"/>
    <x v="61"/>
    <n v="32.699999999999996"/>
    <n v="15"/>
    <d v="2025-10-09T08:44:21"/>
    <d v="2025-11-12T13:30:18"/>
    <d v="2025-11-12T14:03:00"/>
    <n v="1"/>
    <n v="0"/>
  </r>
  <r>
    <s v="UE 22"/>
    <s v="Législation handicap "/>
    <s v="J60"/>
    <x v="62"/>
    <n v="10.35"/>
    <n v="30"/>
    <d v="2025-10-15T10:22:42"/>
    <d v="2025-11-12T14:03:00"/>
    <d v="2025-11-12T14:13:21"/>
    <n v="1"/>
    <n v="1"/>
  </r>
  <r>
    <s v="UE14"/>
    <s v="Dérivés d'acides carboxylique- AG "/>
    <s v="J60"/>
    <x v="62"/>
    <n v="11.7"/>
    <n v="30"/>
    <d v="2025-10-27T14:19:12"/>
    <d v="2025-11-12T14:13:21"/>
    <d v="2025-11-12T14:25:03"/>
    <n v="1"/>
    <n v="1"/>
  </r>
  <r>
    <s v="UE 22"/>
    <s v="Intervention rééducation part-6"/>
    <s v="J60"/>
    <x v="62"/>
    <n v="12.45"/>
    <n v="30"/>
    <d v="2025-10-15T10:22:42"/>
    <d v="2025-11-12T14:25:03"/>
    <d v="2025-11-12T14:37:30"/>
    <n v="1"/>
    <n v="1"/>
  </r>
  <r>
    <s v="UE10"/>
    <s v="Abdomen et pelvis 2 "/>
    <s v="J60"/>
    <x v="62"/>
    <n v="12.75"/>
    <n v="30"/>
    <d v="2025-10-16T11:05:42"/>
    <d v="2025-11-12T14:37:30"/>
    <d v="2025-11-12T14:50:15"/>
    <n v="1"/>
    <n v="1"/>
  </r>
  <r>
    <s v="UE10"/>
    <s v="Thorax"/>
    <s v="J60"/>
    <x v="62"/>
    <n v="13.95"/>
    <n v="30"/>
    <d v="2025-10-16T11:05:42"/>
    <d v="2025-11-12T14:50:15"/>
    <d v="2025-11-12T15:04:12"/>
    <n v="1"/>
    <n v="1"/>
  </r>
  <r>
    <s v="UE14"/>
    <s v="Propriétés électroniques des liaisons chimiques"/>
    <s v="J60"/>
    <x v="62"/>
    <n v="15.149999999999999"/>
    <n v="30"/>
    <d v="2025-10-27T14:19:12"/>
    <d v="2025-11-12T15:04:12"/>
    <d v="2025-11-12T15:19:21"/>
    <n v="1"/>
    <n v="1"/>
  </r>
  <r>
    <s v="UE10"/>
    <s v="intro: référence et particularité"/>
    <s v="J60"/>
    <x v="62"/>
    <n v="15.899999999999999"/>
    <n v="30"/>
    <d v="2025-10-16T11:05:42"/>
    <d v="2025-11-12T15:19:21"/>
    <d v="2025-11-12T15:35:15"/>
    <n v="1"/>
    <n v="1"/>
  </r>
  <r>
    <s v="UE5"/>
    <s v="évaluation des procédures diagnostiques"/>
    <s v="J30"/>
    <x v="62"/>
    <n v="12"/>
    <n v="15"/>
    <d v="2025-09-17T16:55:12"/>
    <d v="2025-11-12T15:35:15"/>
    <d v="2025-11-12T15:47:15"/>
    <n v="1"/>
    <n v="0"/>
  </r>
  <r>
    <s v="UE7"/>
    <s v="Réparation de l'ADN"/>
    <s v="J30"/>
    <x v="62"/>
    <n v="24.3"/>
    <n v="15"/>
    <d v="2025-10-02T14:28:30"/>
    <d v="2025-11-12T15:47:15"/>
    <d v="2025-11-12T16:11:33"/>
    <n v="1"/>
    <n v="0"/>
  </r>
  <r>
    <s v="UE14"/>
    <s v="Thermodynamique "/>
    <s v="J60"/>
    <x v="63"/>
    <n v="10.5"/>
    <n v="30"/>
    <d v="2025-10-27T14:19:12"/>
    <d v="2025-11-12T16:11:33"/>
    <d v="2025-11-12T16:22:03"/>
    <n v="1"/>
    <n v="1"/>
  </r>
  <r>
    <s v="UE 22"/>
    <s v="Intervention rééducation part-3"/>
    <s v="J60"/>
    <x v="63"/>
    <n v="16.2"/>
    <n v="30"/>
    <d v="2025-10-15T10:22:42"/>
    <d v="2025-11-12T16:22:03"/>
    <d v="2025-11-12T16:38:15"/>
    <n v="1"/>
    <n v="1"/>
  </r>
  <r>
    <s v="UE7"/>
    <s v="Protéines "/>
    <s v="J60"/>
    <x v="63"/>
    <n v="16.649999999999999"/>
    <n v="30"/>
    <d v="2025-10-28T17:31:36"/>
    <d v="2025-11-12T16:38:15"/>
    <d v="2025-11-12T16:54:54"/>
    <n v="1"/>
    <n v="1"/>
  </r>
  <r>
    <s v="UE5"/>
    <s v="Probabiltés"/>
    <s v="J30"/>
    <x v="63"/>
    <n v="19.8"/>
    <n v="15"/>
    <d v="2025-09-17T16:55:12"/>
    <d v="2025-11-12T16:54:54"/>
    <d v="2025-11-12T17:14:42"/>
    <n v="1"/>
    <n v="0"/>
  </r>
  <r>
    <s v="UE9"/>
    <s v="Métrologie "/>
    <s v="J30"/>
    <x v="63"/>
    <n v="33"/>
    <n v="15"/>
    <d v="2025-10-08T17:23:48"/>
    <d v="2025-11-12T17:14:42"/>
    <d v="2025-11-12T17:47:42"/>
    <n v="1"/>
    <n v="0"/>
  </r>
  <r>
    <s v="UE14"/>
    <s v="Dérivés carbonyles"/>
    <s v="J30"/>
    <x v="64"/>
    <n v="24.3"/>
    <n v="15"/>
    <d v="2025-09-30T12:06:51"/>
    <d v="2025-11-12T17:47:42"/>
    <d v="2025-11-13T08:12:00"/>
    <n v="1"/>
    <n v="0"/>
  </r>
  <r>
    <s v="UE 22"/>
    <s v="Enjeux éthiques "/>
    <s v="J30"/>
    <x v="64"/>
    <n v="32.4"/>
    <n v="15"/>
    <d v="2025-09-16T17:58:24"/>
    <d v="2025-11-13T08:12:00"/>
    <d v="2025-11-13T08:44:24"/>
    <n v="1"/>
    <n v="0"/>
  </r>
  <r>
    <s v="UE 22"/>
    <s v="Intervention rééducation part-4"/>
    <s v="J60"/>
    <x v="65"/>
    <n v="8.1"/>
    <n v="30"/>
    <d v="2025-10-15T10:22:42"/>
    <d v="2025-11-13T08:44:24"/>
    <d v="2025-11-13T08:52:30"/>
    <n v="1"/>
    <n v="1"/>
  </r>
  <r>
    <s v="UE5"/>
    <s v="Elément introductif en santé publique"/>
    <s v="J60"/>
    <x v="65"/>
    <n v="9.4499999999999993"/>
    <n v="30"/>
    <d v="2025-10-16T10:14:24"/>
    <d v="2025-11-13T08:52:30"/>
    <d v="2025-11-13T09:01:57"/>
    <n v="1"/>
    <n v="1"/>
  </r>
  <r>
    <s v="UE10"/>
    <s v="Membre inférieur 3"/>
    <s v="J60"/>
    <x v="66"/>
    <n v="6.75"/>
    <n v="30"/>
    <d v="2025-10-16T11:05:42"/>
    <d v="2025-11-13T09:01:57"/>
    <d v="2025-11-13T09:08:42"/>
    <n v="1"/>
    <n v="1"/>
  </r>
  <r>
    <s v="UE9"/>
    <s v="Outils mathématique "/>
    <s v="J60"/>
    <x v="66"/>
    <n v="9.6"/>
    <n v="30"/>
    <d v="2025-11-03T11:13:57"/>
    <d v="2025-11-13T09:08:42"/>
    <d v="2025-11-13T09:18:18"/>
    <n v="1"/>
    <n v="1"/>
  </r>
  <r>
    <s v="UE7"/>
    <s v="Mutations "/>
    <s v="J60"/>
    <x v="66"/>
    <n v="13.049999999999999"/>
    <n v="30"/>
    <d v="2025-10-28T17:31:36"/>
    <d v="2025-11-13T09:18:18"/>
    <d v="2025-11-13T09:31:21"/>
    <n v="1"/>
    <n v="1"/>
  </r>
  <r>
    <s v="UE6"/>
    <s v="La composition des membranes cellulaire"/>
    <s v="J60"/>
    <x v="66"/>
    <n v="13.799999999999999"/>
    <n v="30"/>
    <d v="2025-11-03T12:07:39"/>
    <d v="2025-11-13T09:31:21"/>
    <d v="2025-11-13T09:45:09"/>
    <n v="1"/>
    <n v="1"/>
  </r>
  <r>
    <s v="UE4"/>
    <s v="La discipline anthropologique "/>
    <s v="J60"/>
    <x v="67"/>
    <n v="14.399999999999999"/>
    <n v="30"/>
    <d v="2025-11-05T09:45:27"/>
    <d v="2025-11-14T08:00:00"/>
    <d v="2025-11-14T08:14:24"/>
    <n v="0"/>
    <n v="1"/>
  </r>
  <r>
    <s v="UE10"/>
    <s v="intro: tissus"/>
    <s v="J60"/>
    <x v="67"/>
    <n v="16.95"/>
    <n v="30"/>
    <d v="2025-10-16T11:05:42"/>
    <d v="2025-11-14T08:14:24"/>
    <d v="2025-11-14T08:31:21"/>
    <n v="0"/>
    <n v="1"/>
  </r>
  <r>
    <s v="UE 22"/>
    <s v="Représentations sociales du handicap "/>
    <s v="J60"/>
    <x v="68"/>
    <n v="5.3999999999999995"/>
    <n v="30"/>
    <d v="2025-10-15T10:22:42"/>
    <d v="2025-11-15T08:00:00"/>
    <d v="2025-11-15T08:05:24"/>
    <n v="0"/>
    <n v="0"/>
  </r>
  <r>
    <s v="UE10"/>
    <s v="intro : généralités"/>
    <s v="J60"/>
    <x v="68"/>
    <n v="6.75"/>
    <n v="30"/>
    <d v="2025-10-16T11:05:42"/>
    <d v="2025-11-15T08:05:24"/>
    <d v="2025-11-15T08:12:09"/>
    <n v="0"/>
    <n v="0"/>
  </r>
  <r>
    <s v="UE6"/>
    <s v="Division cellulaire"/>
    <s v="J60"/>
    <x v="68"/>
    <n v="7.1999999999999993"/>
    <n v="30"/>
    <d v="2025-11-03T12:07:39"/>
    <d v="2025-11-15T08:12:09"/>
    <d v="2025-11-15T08:19:21"/>
    <n v="0"/>
    <n v="1"/>
  </r>
  <r>
    <s v="UE7"/>
    <s v="Transcription et régulation "/>
    <s v="J60"/>
    <x v="68"/>
    <n v="7.35"/>
    <n v="30"/>
    <d v="2025-10-28T17:31:36"/>
    <d v="2025-11-15T08:19:21"/>
    <d v="2025-11-15T08:26:42"/>
    <n v="0"/>
    <n v="1"/>
  </r>
  <r>
    <s v="UE10"/>
    <s v="Membre inférieur 2 "/>
    <s v="J60"/>
    <x v="68"/>
    <n v="9"/>
    <n v="30"/>
    <d v="2025-10-16T11:05:42"/>
    <d v="2025-11-15T08:26:42"/>
    <d v="2025-11-15T08:35:42"/>
    <n v="0"/>
    <n v="0"/>
  </r>
  <r>
    <s v="UE9"/>
    <s v="États  de la matière et leur caractérisation "/>
    <s v="J60"/>
    <x v="69"/>
    <n v="13.5"/>
    <n v="30"/>
    <d v="2025-11-03T11:13:57"/>
    <d v="2025-11-17T08:00:00"/>
    <d v="2025-11-17T08:13:30"/>
    <n v="1"/>
    <n v="1"/>
  </r>
  <r>
    <s v="UE9"/>
    <s v="Interaction rayonnement-Matière "/>
    <s v="J60"/>
    <x v="69"/>
    <n v="16.8"/>
    <n v="30"/>
    <d v="2025-11-03T11:13:57"/>
    <d v="2025-11-17T08:13:30"/>
    <d v="2025-11-17T08:30:18"/>
    <n v="1"/>
    <n v="1"/>
  </r>
  <r>
    <s v="UE5"/>
    <s v="essai thérapeutique "/>
    <s v="J60"/>
    <x v="69"/>
    <n v="16.95"/>
    <n v="30"/>
    <d v="2025-10-16T10:14:24"/>
    <d v="2025-11-17T08:30:18"/>
    <d v="2025-11-17T08:47:15"/>
    <n v="1"/>
    <n v="0"/>
  </r>
  <r>
    <s v="UE9"/>
    <s v="Les très basses fréquences du spectre électromagnétique "/>
    <s v="J60"/>
    <x v="69"/>
    <n v="18"/>
    <n v="30"/>
    <d v="2025-11-03T11:13:57"/>
    <d v="2025-11-17T08:47:15"/>
    <d v="2025-11-17T09:05:15"/>
    <n v="1"/>
    <n v="1"/>
  </r>
  <r>
    <s v="UE7"/>
    <s v="Acides Aminés- peptides "/>
    <s v="J60"/>
    <x v="70"/>
    <n v="4.6499999999999995"/>
    <n v="30"/>
    <d v="2025-10-28T17:31:36"/>
    <d v="2025-11-17T09:05:15"/>
    <d v="2025-11-17T09:09:54"/>
    <n v="0"/>
    <n v="1"/>
  </r>
  <r>
    <s v="UE 22"/>
    <s v="Intervention rééducation part-2"/>
    <s v="J60"/>
    <x v="70"/>
    <n v="6"/>
    <n v="30"/>
    <d v="2025-10-15T10:22:42"/>
    <d v="2025-11-17T09:09:54"/>
    <d v="2025-11-17T09:15:54"/>
    <n v="0"/>
    <n v="0"/>
  </r>
  <r>
    <s v="UE7"/>
    <s v="Du chromosome à l'ADN"/>
    <s v="J60"/>
    <x v="70"/>
    <n v="9"/>
    <n v="30"/>
    <d v="2025-10-28T17:31:36"/>
    <d v="2025-11-17T09:15:54"/>
    <d v="2025-11-17T09:24:54"/>
    <n v="0"/>
    <n v="1"/>
  </r>
  <r>
    <s v="UE5"/>
    <s v="corrélation et régression linéaire"/>
    <s v="J60"/>
    <x v="70"/>
    <n v="10.95"/>
    <n v="30"/>
    <d v="2025-10-16T10:14:24"/>
    <d v="2025-11-17T09:24:54"/>
    <d v="2025-11-17T09:35:51"/>
    <n v="0"/>
    <n v="0"/>
  </r>
  <r>
    <s v="UE6"/>
    <s v="Signalisation intracellulaire part 1"/>
    <s v="J60"/>
    <x v="70"/>
    <n v="12.299999999999999"/>
    <n v="30"/>
    <d v="2025-11-03T12:07:39"/>
    <d v="2025-11-17T09:35:51"/>
    <d v="2025-11-17T09:48:09"/>
    <n v="0"/>
    <n v="1"/>
  </r>
  <r>
    <s v="UE8"/>
    <s v="Régulation et rôle du rein "/>
    <s v="J60"/>
    <x v="70"/>
    <n v="14.85"/>
    <n v="30"/>
    <d v="2025-10-16T11:39:36"/>
    <d v="2025-11-17T09:48:09"/>
    <d v="2025-11-17T10:03:00"/>
    <n v="0"/>
    <n v="0"/>
  </r>
  <r>
    <s v="UE14"/>
    <s v="Liaisons chimique et interactions moléculaires"/>
    <s v="J60"/>
    <x v="70"/>
    <n v="16.05"/>
    <n v="30"/>
    <d v="2025-10-27T14:19:12"/>
    <d v="2025-11-17T10:03:00"/>
    <d v="2025-11-17T10:19:03"/>
    <n v="0"/>
    <n v="1"/>
  </r>
  <r>
    <s v="UE8"/>
    <s v="Physiologie et compartiments liquidiens "/>
    <s v="J60"/>
    <x v="70"/>
    <n v="16.5"/>
    <n v="30"/>
    <d v="2025-10-16T11:39:36"/>
    <d v="2025-11-17T10:19:03"/>
    <d v="2025-11-17T10:35:33"/>
    <n v="0"/>
    <n v="0"/>
  </r>
  <r>
    <s v="UE4"/>
    <s v="psychologie générale "/>
    <s v="J60"/>
    <x v="71"/>
    <n v="4.8"/>
    <n v="30"/>
    <d v="2025-11-05T09:45:27"/>
    <d v="2025-11-18T08:00:00"/>
    <d v="2025-11-18T08:04:48"/>
    <n v="0"/>
    <n v="1"/>
  </r>
  <r>
    <s v="UE5"/>
    <s v="schéma d'étude "/>
    <s v="J60"/>
    <x v="71"/>
    <n v="8.4"/>
    <n v="30"/>
    <d v="2025-10-16T10:14:24"/>
    <d v="2025-11-18T08:04:48"/>
    <d v="2025-11-18T08:13:12"/>
    <n v="0"/>
    <n v="0"/>
  </r>
  <r>
    <s v="UE14"/>
    <s v="Les alcools- les amines"/>
    <s v="J60"/>
    <x v="71"/>
    <n v="8.4"/>
    <n v="30"/>
    <d v="2025-10-27T14:19:12"/>
    <d v="2025-11-18T08:13:12"/>
    <d v="2025-11-18T08:21:36"/>
    <n v="0"/>
    <n v="1"/>
  </r>
  <r>
    <s v="UE5"/>
    <s v="Introduction épidémiologie et stats"/>
    <s v="J60"/>
    <x v="71"/>
    <n v="15.299999999999999"/>
    <n v="30"/>
    <d v="2025-10-16T10:14:24"/>
    <d v="2025-11-18T08:21:36"/>
    <d v="2025-11-18T08:36:54"/>
    <n v="0"/>
    <n v="0"/>
  </r>
  <r>
    <s v="UE 22"/>
    <s v="Intervention rééducation part-5"/>
    <s v="J60"/>
    <x v="71"/>
    <n v="15.6"/>
    <n v="30"/>
    <d v="2025-10-15T10:22:42"/>
    <d v="2025-11-18T08:36:54"/>
    <d v="2025-11-18T08:52:30"/>
    <n v="0"/>
    <n v="0"/>
  </r>
  <r>
    <s v="UE6"/>
    <s v="Transport intracellulaire et trafic vésiculaire "/>
    <s v="J60"/>
    <x v="72"/>
    <n v="4.95"/>
    <n v="30"/>
    <d v="2025-11-03T12:07:39"/>
    <d v="2025-11-21T08:00:00"/>
    <d v="2025-11-21T08:04:57"/>
    <n v="0"/>
    <n v="1"/>
  </r>
  <r>
    <s v="UE10"/>
    <s v="Membre inférieur 1"/>
    <s v="J60"/>
    <x v="72"/>
    <n v="16.5"/>
    <n v="30"/>
    <d v="2025-10-16T11:05:42"/>
    <d v="2025-11-21T08:04:57"/>
    <d v="2025-11-21T08:21:27"/>
    <n v="0"/>
    <n v="0"/>
  </r>
  <r>
    <s v="UE10"/>
    <s v="intro: région, fascias et appareil "/>
    <s v="J60"/>
    <x v="72"/>
    <n v="16.8"/>
    <n v="30"/>
    <d v="2025-10-16T11:05:42"/>
    <d v="2025-11-21T08:21:27"/>
    <d v="2025-11-21T08:38:15"/>
    <n v="0"/>
    <n v="0"/>
  </r>
  <r>
    <s v="UE 22"/>
    <s v="CI du fonctionnement, du handicap et de la santé "/>
    <s v="J60"/>
    <x v="73"/>
    <n v="8.6999999999999993"/>
    <n v="30"/>
    <d v="2025-10-15T10:22:42"/>
    <d v="2025-11-22T08:00:00"/>
    <d v="2025-11-22T08:08:42"/>
    <n v="0"/>
    <n v="0"/>
  </r>
  <r>
    <s v="UE8"/>
    <s v="Jonction neuro-musculaire"/>
    <s v="J60"/>
    <x v="73"/>
    <n v="11.7"/>
    <n v="30"/>
    <d v="2025-10-16T11:39:36"/>
    <d v="2025-11-22T08:08:42"/>
    <d v="2025-11-22T08:20:24"/>
    <n v="0"/>
    <n v="0"/>
  </r>
  <r>
    <s v="UE4"/>
    <s v="Culture, corps et santé"/>
    <s v="J60"/>
    <x v="73"/>
    <n v="12.299999999999999"/>
    <n v="30"/>
    <d v="2025-11-05T09:45:27"/>
    <d v="2025-11-22T08:20:24"/>
    <d v="2025-11-22T08:32:42"/>
    <n v="0"/>
    <n v="1"/>
  </r>
  <r>
    <s v="UE14"/>
    <s v="Les acides aminés- les oses "/>
    <s v="J60"/>
    <x v="73"/>
    <n v="15.299999999999999"/>
    <n v="30"/>
    <d v="2025-10-27T14:19:12"/>
    <d v="2025-11-22T08:32:42"/>
    <d v="2025-11-22T08:48:00"/>
    <n v="0"/>
    <n v="1"/>
  </r>
  <r>
    <s v="UE7"/>
    <s v="Structure des glucides "/>
    <s v="J60"/>
    <x v="74"/>
    <n v="6"/>
    <n v="30"/>
    <d v="2025-10-28T17:31:36"/>
    <d v="2025-11-24T08:00:00"/>
    <d v="2025-11-24T08:06:00"/>
    <n v="1"/>
    <n v="1"/>
  </r>
  <r>
    <s v="UE6"/>
    <s v="Cytosquellette"/>
    <s v="J60"/>
    <x v="74"/>
    <n v="9"/>
    <n v="30"/>
    <d v="2025-11-03T12:07:39"/>
    <d v="2025-11-24T08:06:00"/>
    <d v="2025-11-24T08:15:00"/>
    <n v="1"/>
    <n v="1"/>
  </r>
  <r>
    <s v="UE10"/>
    <s v="Membre supérieur 3"/>
    <s v="J60"/>
    <x v="74"/>
    <n v="10.35"/>
    <n v="30"/>
    <d v="2025-10-16T11:05:42"/>
    <d v="2025-11-24T08:15:00"/>
    <d v="2025-11-24T08:25:21"/>
    <n v="1"/>
    <n v="0"/>
  </r>
  <r>
    <s v="UE10"/>
    <s v="Dos"/>
    <s v="J60"/>
    <x v="74"/>
    <n v="14.7"/>
    <n v="30"/>
    <d v="2025-10-16T11:05:42"/>
    <d v="2025-11-24T08:25:21"/>
    <d v="2025-11-24T08:40:03"/>
    <n v="1"/>
    <n v="0"/>
  </r>
  <r>
    <s v="UE9"/>
    <s v="Le domaine de l'optique "/>
    <s v="J60"/>
    <x v="74"/>
    <n v="15"/>
    <n v="30"/>
    <d v="2025-11-03T11:13:57"/>
    <d v="2025-11-24T08:40:03"/>
    <d v="2025-11-24T08:55:03"/>
    <n v="1"/>
    <n v="1"/>
  </r>
  <r>
    <s v="UE9"/>
    <s v="Rayons X et gamma-Rayonnement particulaire"/>
    <s v="J60"/>
    <x v="74"/>
    <n v="15"/>
    <n v="30"/>
    <d v="2025-11-03T11:13:57"/>
    <d v="2025-11-24T08:55:03"/>
    <d v="2025-11-24T09:10:03"/>
    <n v="1"/>
    <n v="1"/>
  </r>
  <r>
    <s v="UE10"/>
    <s v="Tête"/>
    <s v="J60"/>
    <x v="74"/>
    <n v="15"/>
    <n v="30"/>
    <d v="2025-10-16T11:05:42"/>
    <d v="2025-11-24T09:10:03"/>
    <d v="2025-11-24T09:25:03"/>
    <n v="1"/>
    <n v="0"/>
  </r>
  <r>
    <s v="UE10"/>
    <s v="Membre supérieur 1"/>
    <s v="J60"/>
    <x v="75"/>
    <n v="5.0999999999999996"/>
    <n v="30"/>
    <d v="2025-10-16T11:05:42"/>
    <d v="2025-11-24T09:25:03"/>
    <d v="2025-11-24T09:30:09"/>
    <n v="0"/>
    <n v="0"/>
  </r>
  <r>
    <s v="UE8"/>
    <s v="pH et équilibre acido basique d'une solution"/>
    <s v="J60"/>
    <x v="75"/>
    <n v="5.3999999999999995"/>
    <n v="30"/>
    <d v="2025-10-16T11:39:36"/>
    <d v="2025-11-24T09:30:09"/>
    <d v="2025-11-24T09:35:33"/>
    <n v="0"/>
    <n v="0"/>
  </r>
  <r>
    <s v="UE8"/>
    <s v="système nerveux autonome "/>
    <s v="J60"/>
    <x v="75"/>
    <n v="10.5"/>
    <n v="30"/>
    <d v="2025-10-16T11:39:36"/>
    <d v="2025-11-24T09:35:33"/>
    <d v="2025-11-24T09:46:03"/>
    <n v="0"/>
    <n v="0"/>
  </r>
  <r>
    <s v="UE4"/>
    <s v="Maladies, itinéraire thérapeutique"/>
    <s v="J60"/>
    <x v="75"/>
    <n v="11.4"/>
    <n v="30"/>
    <d v="2025-11-05T09:45:27"/>
    <d v="2025-11-24T09:46:03"/>
    <d v="2025-11-24T09:57:27"/>
    <n v="0"/>
    <n v="1"/>
  </r>
  <r>
    <s v="UE14"/>
    <s v="Nomenclature chimique- Isomérie "/>
    <s v="J60"/>
    <x v="75"/>
    <n v="13.2"/>
    <n v="30"/>
    <d v="2025-10-27T14:19:12"/>
    <d v="2025-11-24T09:57:27"/>
    <d v="2025-11-24T10:10:39"/>
    <n v="0"/>
    <n v="1"/>
  </r>
  <r>
    <s v="UE10"/>
    <s v="Appareil locomoteur 1"/>
    <s v="J60"/>
    <x v="76"/>
    <n v="11.85"/>
    <n v="30"/>
    <d v="2025-10-16T11:05:42"/>
    <d v="2025-11-28T08:00:00"/>
    <d v="2025-11-28T08:11:51"/>
    <n v="0"/>
    <n v="0"/>
  </r>
  <r>
    <s v="UE7"/>
    <s v="Réplication de l'ADN"/>
    <s v="J60"/>
    <x v="76"/>
    <n v="16.2"/>
    <n v="30"/>
    <d v="2025-10-28T17:31:36"/>
    <d v="2025-11-28T08:11:51"/>
    <d v="2025-11-28T08:28:03"/>
    <n v="0"/>
    <n v="0"/>
  </r>
  <r>
    <s v="UE4"/>
    <s v="Sociologie de la profession médicale"/>
    <s v="J60"/>
    <x v="77"/>
    <n v="8.85"/>
    <n v="30"/>
    <d v="2025-11-05T09:45:27"/>
    <d v="2025-11-29T08:00:00"/>
    <d v="2025-11-29T08:08:51"/>
    <n v="0"/>
    <n v="1"/>
  </r>
  <r>
    <s v="UE7"/>
    <s v="Structure et role des nucléotides"/>
    <s v="J60"/>
    <x v="77"/>
    <n v="17.099999999999998"/>
    <n v="30"/>
    <d v="2025-10-28T17:31:36"/>
    <d v="2025-11-29T08:08:51"/>
    <d v="2025-11-29T08:25:57"/>
    <n v="0"/>
    <n v="0"/>
  </r>
  <r>
    <s v="UE4"/>
    <s v="évolution des conceptions relatives au stress"/>
    <s v="J60"/>
    <x v="77"/>
    <n v="17.7"/>
    <n v="30"/>
    <d v="2025-11-05T09:45:27"/>
    <d v="2025-11-29T08:25:57"/>
    <d v="2025-11-29T08:43:39"/>
    <n v="0"/>
    <n v="1"/>
  </r>
  <r>
    <s v="UE10"/>
    <s v="Appareil locomoteur 3"/>
    <s v="J60"/>
    <x v="78"/>
    <n v="7.5"/>
    <n v="30"/>
    <d v="2025-10-16T11:05:42"/>
    <d v="2025-12-01T08:00:00"/>
    <d v="2025-12-01T08:07:30"/>
    <n v="1"/>
    <n v="0"/>
  </r>
  <r>
    <s v="UE5"/>
    <s v="tests stats et méthodologie de choix de test "/>
    <s v="J60"/>
    <x v="78"/>
    <n v="9"/>
    <n v="30"/>
    <d v="2025-10-16T10:14:24"/>
    <d v="2025-12-01T08:07:30"/>
    <d v="2025-12-01T08:16:30"/>
    <n v="1"/>
    <n v="0"/>
  </r>
  <r>
    <s v="UE6"/>
    <s v="Signalisation intracellulaire part 2"/>
    <s v="J60"/>
    <x v="78"/>
    <n v="13.35"/>
    <n v="30"/>
    <d v="2025-11-03T12:07:39"/>
    <d v="2025-12-01T08:16:30"/>
    <d v="2025-12-01T08:29:51"/>
    <n v="1"/>
    <n v="1"/>
  </r>
  <r>
    <s v="UE10"/>
    <s v="Membre supérieur 2 "/>
    <s v="J60"/>
    <x v="78"/>
    <n v="15.299999999999999"/>
    <n v="30"/>
    <d v="2025-10-16T11:05:42"/>
    <d v="2025-12-01T08:29:51"/>
    <d v="2025-12-01T08:45:09"/>
    <n v="1"/>
    <n v="0"/>
  </r>
  <r>
    <s v="UE10"/>
    <s v="Appareil locomoteur 2"/>
    <s v="J60"/>
    <x v="79"/>
    <n v="11.4"/>
    <n v="30"/>
    <d v="2025-10-16T11:05:42"/>
    <d v="2025-12-01T08:45:09"/>
    <d v="2025-12-01T08:56:33"/>
    <n v="0"/>
    <n v="0"/>
  </r>
  <r>
    <s v="UE4"/>
    <s v="Méthode d'évaluation du stress objectif "/>
    <s v="J60"/>
    <x v="79"/>
    <n v="17.849999999999998"/>
    <n v="30"/>
    <d v="2025-11-05T09:45:27"/>
    <d v="2025-12-01T08:56:33"/>
    <d v="2025-12-01T09:14:24"/>
    <n v="0"/>
    <n v="1"/>
  </r>
  <r>
    <s v="UE5"/>
    <s v="stats descriptives"/>
    <s v="J60"/>
    <x v="80"/>
    <n v="9.2999999999999989"/>
    <n v="30"/>
    <d v="2025-10-16T10:14:24"/>
    <d v="2025-12-02T08:00:00"/>
    <d v="2025-12-02T08:09:18"/>
    <n v="0"/>
    <n v="0"/>
  </r>
  <r>
    <s v="UE10"/>
    <s v="Cou"/>
    <s v="J60"/>
    <x v="80"/>
    <n v="9.2999999999999989"/>
    <n v="30"/>
    <d v="2025-10-16T11:05:42"/>
    <d v="2025-12-02T08:09:18"/>
    <d v="2025-12-02T08:18:36"/>
    <n v="0"/>
    <n v="0"/>
  </r>
  <r>
    <s v="UE7"/>
    <s v="Synthèse et dégradation des protéines"/>
    <s v="J60"/>
    <x v="80"/>
    <n v="15.899999999999999"/>
    <n v="30"/>
    <d v="2025-10-28T17:31:36"/>
    <d v="2025-12-02T08:18:36"/>
    <d v="2025-12-02T08:34:30"/>
    <n v="0"/>
    <n v="0"/>
  </r>
  <r>
    <s v="UE5"/>
    <s v="Prévention-Alla "/>
    <s v="J60"/>
    <x v="81"/>
    <n v="10.65"/>
    <n v="30"/>
    <d v="2025-10-16T10:14:24"/>
    <d v="2025-12-05T08:00:00"/>
    <d v="2025-12-05T08:10:39"/>
    <n v="0"/>
    <n v="0"/>
  </r>
  <r>
    <s v="UE8"/>
    <s v="Transports membranaires"/>
    <s v="J60"/>
    <x v="81"/>
    <n v="10.65"/>
    <n v="30"/>
    <d v="2025-10-16T11:39:36"/>
    <d v="2025-12-05T08:10:39"/>
    <d v="2025-12-05T08:21:18"/>
    <n v="0"/>
    <n v="0"/>
  </r>
  <r>
    <s v="UE9"/>
    <s v="Détection des rayonnements "/>
    <s v="J60"/>
    <x v="82"/>
    <n v="5.3999999999999995"/>
    <n v="30"/>
    <d v="2025-11-03T11:13:57"/>
    <d v="2025-12-06T08:00:00"/>
    <d v="2025-12-06T08:05:24"/>
    <n v="0"/>
    <n v="0"/>
  </r>
  <r>
    <s v="UE14"/>
    <s v="Atomes"/>
    <s v="J60"/>
    <x v="82"/>
    <n v="9.9"/>
    <n v="30"/>
    <d v="2025-10-27T14:19:12"/>
    <d v="2025-12-06T08:05:24"/>
    <d v="2025-12-06T08:15:18"/>
    <n v="0"/>
    <n v="0"/>
  </r>
  <r>
    <s v="UE6"/>
    <s v="Cellules souches"/>
    <s v="J60"/>
    <x v="82"/>
    <n v="12.6"/>
    <n v="30"/>
    <d v="2025-11-03T12:07:39"/>
    <d v="2025-12-06T08:15:18"/>
    <d v="2025-12-06T08:27:54"/>
    <n v="0"/>
    <n v="0"/>
  </r>
  <r>
    <s v="UE6"/>
    <s v="Mouvement molécules de surface"/>
    <s v="J60"/>
    <x v="82"/>
    <n v="15.149999999999999"/>
    <n v="30"/>
    <d v="2025-11-03T12:07:39"/>
    <d v="2025-12-06T08:27:54"/>
    <d v="2025-12-06T08:43:03"/>
    <n v="0"/>
    <n v="0"/>
  </r>
  <r>
    <s v="UE6"/>
    <s v="Molécules du vivant"/>
    <s v="J60"/>
    <x v="82"/>
    <n v="16.349999999999998"/>
    <n v="30"/>
    <d v="2025-11-03T12:07:39"/>
    <d v="2025-12-06T08:43:03"/>
    <d v="2025-12-06T08:59:24"/>
    <n v="0"/>
    <n v="0"/>
  </r>
  <r>
    <s v="UE5"/>
    <s v="évaluation des procédures diagnostiques"/>
    <s v="J60"/>
    <x v="83"/>
    <n v="6"/>
    <n v="30"/>
    <d v="2025-10-16T10:14:24"/>
    <d v="2025-12-08T08:00:00"/>
    <d v="2025-12-08T08:06:00"/>
    <n v="1"/>
    <n v="0"/>
  </r>
  <r>
    <s v="UE7"/>
    <s v="Réparation de l'ADN"/>
    <s v="J60"/>
    <x v="83"/>
    <n v="12.15"/>
    <n v="30"/>
    <d v="2025-10-28T17:31:36"/>
    <d v="2025-12-08T08:06:00"/>
    <d v="2025-12-08T08:18:09"/>
    <n v="1"/>
    <n v="0"/>
  </r>
  <r>
    <s v="UE5"/>
    <s v="Probabiltés"/>
    <s v="J60"/>
    <x v="84"/>
    <n v="9.9"/>
    <n v="30"/>
    <d v="2025-10-16T10:14:24"/>
    <d v="2025-12-08T08:18:09"/>
    <d v="2025-12-08T08:28:03"/>
    <n v="0"/>
    <n v="0"/>
  </r>
  <r>
    <s v="UE9"/>
    <s v="Métrologie "/>
    <s v="J60"/>
    <x v="84"/>
    <n v="16.5"/>
    <n v="30"/>
    <d v="2025-11-03T11:13:57"/>
    <d v="2025-12-08T08:28:03"/>
    <d v="2025-12-08T08:44:33"/>
    <n v="0"/>
    <n v="0"/>
  </r>
  <r>
    <s v="UE14"/>
    <s v="Dérivés carbonyles"/>
    <s v="J60"/>
    <x v="85"/>
    <n v="12.15"/>
    <n v="30"/>
    <d v="2025-10-27T14:19:12"/>
    <d v="2025-12-09T08:00:00"/>
    <d v="2025-12-09T08:12:09"/>
    <n v="0"/>
    <n v="0"/>
  </r>
  <r>
    <s v="UE 22"/>
    <s v="Enjeux éthiques "/>
    <s v="J60"/>
    <x v="85"/>
    <n v="16.2"/>
    <n v="30"/>
    <d v="2025-10-15T10:22:42"/>
    <d v="2025-12-09T08:12:09"/>
    <d v="2025-12-09T08:28:21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0F22-A110-44FA-B1CD-9AC98692199D}" name="Draaitabel1" cacheId="0" applyNumberFormats="0" applyBorderFormats="0" applyFontFormats="0" applyPatternFormats="0" applyAlignmentFormats="0" applyWidthHeightFormats="1" dataCaption="Waarden" updatedVersion="8" minRefreshableVersion="3" useAutoFormatting="1" rowGrandTotals="0" itemPrintTitles="1" createdVersion="8" indent="0" compact="0" compactData="0" gridDropZones="1" multipleFieldFilters="0">
  <location ref="Y4:AA91" firstHeaderRow="1" firstDataRow="2" firstDataCol="1"/>
  <pivotFields count="11"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 sortType="ascending">
      <items count="94">
        <item x="0"/>
        <item x="1"/>
        <item x="2"/>
        <item x="3"/>
        <item x="4"/>
        <item m="1" x="86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m="1" x="87"/>
        <item m="1" x="88"/>
        <item x="54"/>
        <item x="55"/>
        <item x="56"/>
        <item x="57"/>
        <item x="58"/>
        <item m="1" x="89"/>
        <item x="59"/>
        <item x="60"/>
        <item x="61"/>
        <item x="62"/>
        <item x="63"/>
        <item x="64"/>
        <item x="65"/>
        <item x="66"/>
        <item m="1" x="90"/>
        <item x="67"/>
        <item x="68"/>
        <item x="69"/>
        <item x="70"/>
        <item x="71"/>
        <item x="72"/>
        <item x="73"/>
        <item x="74"/>
        <item x="75"/>
        <item m="1" x="91"/>
        <item x="76"/>
        <item x="77"/>
        <item x="78"/>
        <item x="79"/>
        <item x="80"/>
        <item x="81"/>
        <item x="82"/>
        <item x="83"/>
        <item x="84"/>
        <item x="85"/>
        <item m="1" x="9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1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1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9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3"/>
  </rowFields>
  <rowItems count="86">
    <i>
      <x/>
    </i>
    <i>
      <x v="1"/>
    </i>
    <i>
      <x v="2"/>
    </i>
    <i>
      <x v="3"/>
    </i>
    <i>
      <x v="4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7"/>
    </i>
    <i>
      <x v="58"/>
    </i>
    <i>
      <x v="59"/>
    </i>
    <i>
      <x v="60"/>
    </i>
    <i>
      <x v="61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</rowItems>
  <colFields count="1">
    <field x="-2"/>
  </colFields>
  <colItems count="2">
    <i>
      <x/>
    </i>
    <i i="1">
      <x v="1"/>
    </i>
  </colItems>
  <dataFields count="2">
    <dataField name="Somme duree" fld="4" baseField="0" baseItem="0"/>
    <dataField name="nombre" fld="2" subtotal="count" baseField="0" baseItem="0"/>
  </dataFields>
  <formats count="4">
    <format dxfId="34">
      <pivotArea type="origin" dataOnly="0" labelOnly="1" outline="0" fieldPosition="0"/>
    </format>
    <format dxfId="33">
      <pivotArea field="3" type="button" dataOnly="0" labelOnly="1" outline="0" axis="axisRow" fieldPosition="0"/>
    </format>
    <format dxfId="32">
      <pivotArea dataOnly="0" labelOnly="1" outline="0" fieldPosition="0">
        <references count="1">
          <reference field="3" count="50">
            <x v="0"/>
            <x v="1"/>
            <x v="2"/>
            <x v="3"/>
            <x v="4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</reference>
        </references>
      </pivotArea>
    </format>
    <format dxfId="31">
      <pivotArea dataOnly="0" labelOnly="1" outline="0" fieldPosition="0">
        <references count="1">
          <reference field="3" count="36">
            <x v="51"/>
            <x v="52"/>
            <x v="53"/>
            <x v="54"/>
            <x v="57"/>
            <x v="58"/>
            <x v="59"/>
            <x v="60"/>
            <x v="61"/>
            <x v="63"/>
            <x v="64"/>
            <x v="65"/>
            <x v="66"/>
            <x v="67"/>
            <x v="68"/>
            <x v="69"/>
            <x v="70"/>
            <x v="72"/>
            <x v="73"/>
            <x v="74"/>
            <x v="75"/>
            <x v="76"/>
            <x v="77"/>
            <x v="78"/>
            <x v="79"/>
            <x v="80"/>
            <x v="82"/>
            <x v="83"/>
            <x v="84"/>
            <x v="85"/>
            <x v="86"/>
            <x v="87"/>
            <x v="88"/>
            <x v="89"/>
            <x v="90"/>
            <x v="91"/>
          </reference>
        </references>
      </pivotArea>
    </format>
  </formats>
  <conditionalFormats count="1">
    <conditionalFormat priority="3">
      <pivotAreas count="1">
        <pivotArea type="data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evoirs" displayName="Devoirs" ref="A4:I108" totalsRowShown="0" headerRowDxfId="30">
  <autoFilter ref="A4:I108" xr:uid="{00000000-0009-0000-0100-000001000000}"/>
  <tableColumns count="9">
    <tableColumn id="1" xr3:uid="{00000000-0010-0000-0000-000001000000}" name="Nom du cours" dataDxfId="29"/>
    <tableColumn id="7" xr3:uid="{2CB39F58-F4B5-4A18-9D48-27A60DB9B9C1}" name="durée" dataDxfId="28"/>
    <tableColumn id="2" xr3:uid="{00000000-0010-0000-0000-000002000000}" name="J0" dataDxfId="27"/>
    <tableColumn id="3" xr3:uid="{00000000-0010-0000-0000-000003000000}" name="J2" dataDxfId="26">
      <calculatedColumnFormula>IF($C5&gt;0,$C5+D$2,"")</calculatedColumnFormula>
    </tableColumn>
    <tableColumn id="4" xr3:uid="{00000000-0010-0000-0000-000004000000}" name="J6" dataDxfId="25">
      <calculatedColumnFormula>IF($C5&gt;0,$C5+E$2,"")</calculatedColumnFormula>
    </tableColumn>
    <tableColumn id="5" xr3:uid="{00000000-0010-0000-0000-000005000000}" name="J10" dataDxfId="24">
      <calculatedColumnFormula>IF($C5&gt;0,$C5+F$2,"")</calculatedColumnFormula>
    </tableColumn>
    <tableColumn id="6" xr3:uid="{00000000-0010-0000-0000-000006000000}" name="J15" dataDxfId="23">
      <calculatedColumnFormula>IF($C5&gt;0,$C5+G$2,"")</calculatedColumnFormula>
    </tableColumn>
    <tableColumn id="8" xr3:uid="{00000000-0010-0000-0000-000008000000}" name="J30" dataDxfId="22">
      <calculatedColumnFormula>IF($C5&gt;0,$C5+H$2,"")</calculatedColumnFormula>
    </tableColumn>
    <tableColumn id="9" xr3:uid="{00000000-0010-0000-0000-000009000000}" name="J60" dataDxfId="21">
      <calculatedColumnFormula>IF($C5&gt;0,$C5+I$2,"")</calculatedColumnFormula>
    </tableColumn>
  </tableColumns>
  <tableStyleInfo name="Student Planner" showFirstColumn="0" showLastColumn="0" showRowStripes="1" showColumnStripes="0"/>
  <extLst>
    <ext xmlns:x14="http://schemas.microsoft.com/office/spreadsheetml/2009/9/main" uri="{504A1905-F514-4f6f-8877-14C23A59335A}">
      <x14:table altText="Devoirs" altTextSummary="Listes des affectations et échéance.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610A30-50CA-4C76-9FA3-9AC1BFB5E8A3}" name="Tabel3" displayName="Tabel3" ref="L4:V669" totalsRowShown="0" headerRowDxfId="20" dataDxfId="19">
  <tableColumns count="11">
    <tableColumn id="1" xr3:uid="{B5332BC1-42CF-4510-AF16-DB8637507F3B}" name="UE" dataDxfId="18"/>
    <tableColumn id="11" xr3:uid="{42B1C832-13BE-4D4F-B70E-D4BFCF7DDC84}" name="Nom du cours2" dataDxfId="17"/>
    <tableColumn id="2" xr3:uid="{3258E883-0DD9-46DF-8B7F-1DE164A6F413}" name="Type" dataDxfId="16"/>
    <tableColumn id="3" xr3:uid="{D59F404D-CE6C-4C27-B51C-146A5900029D}" name="jour" dataDxfId="15"/>
    <tableColumn id="4" xr3:uid="{483C4F13-EC73-4440-A699-1A504E8664C5}" name="duree" dataDxfId="14"/>
    <tableColumn id="8" xr3:uid="{A37D0511-E3FC-45A3-AD56-1D303C06865C}" name="delai" dataDxfId="13">
      <calculatedColumnFormula>INDEX($C$1:$I$1,MATCH(Tabel3[[#This Row],[Type]],Devoirs[[#Headers],[J0]:[J60]],0))</calculatedColumnFormula>
    </tableColumn>
    <tableColumn id="9" xr3:uid="{EDFCC5CC-FD3D-4D09-8237-CEFA3F1E792C}" name="fin precedent" dataDxfId="12">
      <calculatedColumnFormula array="1">IF(Tabel3[[#This Row],[Type]]="j0","-",INDEX(Tabel3[fin],MATCH(Tabel3[[#This Row],[UE]]&amp;"|"&amp; INDEX(Devoirs[[#Headers],[J0]:[J60]],MATCH(Tabel3[[#This Row],[Type]],Devoirs[[#Headers],[J0]:[J60]],0)-1),Tabel3[UE] &amp; "|" &amp;Tabel3[Type],0)))</calculatedColumnFormula>
    </tableColumn>
    <tableColumn id="5" xr3:uid="{92A3EAB8-8062-40AD-B910-2DEC02023C8C}" name="debut" dataDxfId="11">
      <calculatedColumnFormula>_xlfn.LET(_xlpm.x,MAX(Tabel3[[#This Row],[jour]]+$R$3,IF(ROW()-ROW(Tabel3[[#Headers],[debut]])=1,DATE(2025,9,1)+$R$3,OFFSET(Tabel3[[#This Row],[fin]],-1,))),IF(WEEKDAY(_xlpm.x,2)&gt;6,WORKDAY.INTL(_xlpm.x,1,"0000001")+$R$3,_xlpm.x))</calculatedColumnFormula>
    </tableColumn>
    <tableColumn id="6" xr3:uid="{2A396559-91E5-4474-BC82-EB639BB4EF17}" name="fin" dataDxfId="10">
      <calculatedColumnFormula>_xlfn.LET(_xlpm.debut,Tabel3[[#This Row],[debut]],_xlpm.Trop,MAX(0,MOD(_xlpm.debut,1)+Tabel3[[#This Row],[duree]]/1440-$S$3),IF(_xlpm.Trop&gt;0,WORKDAY.INTL(Tabel3[[#This Row],[debut]],1,"0000001")+$R$3+_xlpm.Trop,Tabel3[[#This Row],[debut]]+Tabel3[[#This Row],[duree]]/1440))</calculatedColumnFormula>
    </tableColumn>
    <tableColumn id="7" xr3:uid="{7B3AE27B-BB76-4004-A7F9-2858525252F0}" name="problème" dataDxfId="9">
      <calculatedColumnFormula>--(Tabel3[[#This Row],[jour]]&lt;&gt;TRUNC(Tabel3[[#This Row],[fin]]))</calculatedColumnFormula>
    </tableColumn>
    <tableColumn id="10" xr3:uid="{4341CFF4-73D1-4889-98C0-85895F6BC183}" name="trop tot" dataDxfId="8">
      <calculatedColumnFormula>IF(Tabel3[[#This Row],[Type]]="j0",0,--(TRUNC(Tabel3[[#This Row],[debut]])-TRUNC(Tabel3[[#This Row],[fin precedent]])&lt;Tabel3[[#This Row],[delai]]))</calculatedColumnFormula>
    </tableColumn>
  </tableColumns>
  <tableStyleInfo name="Student Planner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JF_P" displayName="JF_P" ref="B1:C33" totalsRowShown="0" headerRowDxfId="2">
  <autoFilter ref="B1:C33" xr:uid="{00000000-0009-0000-0100-000002000000}"/>
  <tableColumns count="2">
    <tableColumn id="1" xr3:uid="{00000000-0010-0000-0100-000001000000}" name="DATE_JFP" dataDxfId="1"/>
    <tableColumn id="2" xr3:uid="{00000000-0010-0000-0100-000002000000}" name="JF_Ponts" dataDxfId="0"/>
  </tableColumns>
  <tableStyleInfo name="TableStyleLight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5"/>
    <pageSetUpPr autoPageBreaks="0"/>
  </sheetPr>
  <dimension ref="A1:AA669"/>
  <sheetViews>
    <sheetView showGridLines="0" topLeftCell="B1" zoomScaleNormal="100" workbookViewId="0">
      <pane ySplit="4" topLeftCell="A100" activePane="bottomLeft" state="frozen"/>
      <selection pane="bottomLeft" activeCell="T119" sqref="T119"/>
    </sheetView>
  </sheetViews>
  <sheetFormatPr defaultColWidth="9.140625" defaultRowHeight="18" customHeight="1" x14ac:dyDescent="0.2"/>
  <cols>
    <col min="1" max="1" width="47.140625" bestFit="1" customWidth="1"/>
    <col min="2" max="2" width="12" style="59" bestFit="1" customWidth="1"/>
    <col min="3" max="8" width="11.5703125" style="59" bestFit="1" customWidth="1"/>
    <col min="9" max="9" width="11.5703125" bestFit="1" customWidth="1"/>
    <col min="11" max="11" width="28.28515625" customWidth="1"/>
    <col min="12" max="12" width="5.5703125" style="78" bestFit="1" customWidth="1"/>
    <col min="13" max="13" width="47.140625" style="78" bestFit="1" customWidth="1"/>
    <col min="14" max="14" width="6.42578125" style="78" bestFit="1" customWidth="1"/>
    <col min="15" max="15" width="11.5703125" style="78" bestFit="1" customWidth="1"/>
    <col min="16" max="16" width="6.140625" style="78" bestFit="1" customWidth="1"/>
    <col min="17" max="17" width="5.28515625" style="78" bestFit="1" customWidth="1"/>
    <col min="18" max="18" width="14.5703125" style="78" bestFit="1" customWidth="1"/>
    <col min="19" max="19" width="13.7109375" style="78" bestFit="1" customWidth="1"/>
    <col min="20" max="20" width="14.5703125" style="78" bestFit="1" customWidth="1"/>
    <col min="21" max="21" width="9.42578125" style="78" bestFit="1" customWidth="1"/>
    <col min="22" max="22" width="7.5703125" bestFit="1" customWidth="1"/>
    <col min="24" max="24" width="11.5703125" style="75" bestFit="1" customWidth="1"/>
    <col min="25" max="25" width="11.5703125" bestFit="1" customWidth="1"/>
    <col min="26" max="26" width="13.140625" bestFit="1" customWidth="1"/>
    <col min="27" max="27" width="7.85546875" bestFit="1" customWidth="1"/>
  </cols>
  <sheetData>
    <row r="1" spans="1:27" ht="18" customHeight="1" x14ac:dyDescent="0.2">
      <c r="D1" s="59">
        <f>+D2-C2</f>
        <v>2</v>
      </c>
      <c r="E1" s="59">
        <f t="shared" ref="E1:I1" si="0">+E2-D2</f>
        <v>4</v>
      </c>
      <c r="F1" s="59">
        <f t="shared" si="0"/>
        <v>4</v>
      </c>
      <c r="G1" s="59">
        <f t="shared" si="0"/>
        <v>5</v>
      </c>
      <c r="H1" s="59">
        <f t="shared" si="0"/>
        <v>15</v>
      </c>
      <c r="I1" s="59">
        <f t="shared" si="0"/>
        <v>30</v>
      </c>
    </row>
    <row r="2" spans="1:27" ht="18" customHeight="1" x14ac:dyDescent="0.2">
      <c r="A2" t="s">
        <v>155</v>
      </c>
      <c r="C2" s="59">
        <v>0</v>
      </c>
      <c r="D2" s="59">
        <v>2</v>
      </c>
      <c r="E2" s="59">
        <v>6</v>
      </c>
      <c r="F2" s="59">
        <v>10</v>
      </c>
      <c r="G2" s="59">
        <v>15</v>
      </c>
      <c r="H2" s="59">
        <v>30</v>
      </c>
      <c r="I2" s="59">
        <v>60</v>
      </c>
      <c r="R2" s="79" t="s">
        <v>160</v>
      </c>
      <c r="S2" s="79" t="s">
        <v>161</v>
      </c>
      <c r="Y2">
        <f>+(S3-R3)*1440</f>
        <v>600</v>
      </c>
    </row>
    <row r="3" spans="1:27" ht="18" customHeight="1" thickBot="1" x14ac:dyDescent="0.25">
      <c r="A3" t="s">
        <v>154</v>
      </c>
      <c r="C3" s="73">
        <v>1</v>
      </c>
      <c r="D3" s="73">
        <v>0.9</v>
      </c>
      <c r="E3" s="73">
        <v>0.75</v>
      </c>
      <c r="F3" s="73">
        <v>0.6</v>
      </c>
      <c r="G3" s="73">
        <v>0.45</v>
      </c>
      <c r="H3" s="73">
        <v>0.3</v>
      </c>
      <c r="I3" s="74">
        <v>0.15</v>
      </c>
      <c r="O3" s="78" t="s">
        <v>162</v>
      </c>
      <c r="Q3" s="80"/>
      <c r="R3" s="81">
        <v>0.33333333333333331</v>
      </c>
      <c r="S3" s="81">
        <v>0.75</v>
      </c>
      <c r="T3" s="82">
        <f ca="1">SUM(Tabel3[problème])</f>
        <v>523</v>
      </c>
      <c r="U3" s="82">
        <f ca="1">SUM(Tabel3[trop tot])</f>
        <v>42</v>
      </c>
    </row>
    <row r="4" spans="1:27" ht="18" customHeight="1" thickTop="1" thickBot="1" x14ac:dyDescent="0.25">
      <c r="A4" s="4" t="s">
        <v>0</v>
      </c>
      <c r="B4" s="4" t="s">
        <v>143</v>
      </c>
      <c r="C4" s="4" t="s">
        <v>1</v>
      </c>
      <c r="D4" s="4" t="s">
        <v>37</v>
      </c>
      <c r="E4" s="4" t="s">
        <v>38</v>
      </c>
      <c r="F4" s="4" t="s">
        <v>39</v>
      </c>
      <c r="G4" s="4" t="s">
        <v>40</v>
      </c>
      <c r="H4" s="4" t="s">
        <v>41</v>
      </c>
      <c r="I4" s="4" t="s">
        <v>42</v>
      </c>
      <c r="L4" s="83" t="s">
        <v>166</v>
      </c>
      <c r="M4" s="83" t="s">
        <v>165</v>
      </c>
      <c r="N4" s="83" t="s">
        <v>146</v>
      </c>
      <c r="O4" s="78" t="s">
        <v>147</v>
      </c>
      <c r="P4" s="78" t="s">
        <v>148</v>
      </c>
      <c r="Q4" s="78" t="s">
        <v>150</v>
      </c>
      <c r="R4" s="78" t="s">
        <v>151</v>
      </c>
      <c r="S4" s="78" t="s">
        <v>144</v>
      </c>
      <c r="T4" s="78" t="s">
        <v>145</v>
      </c>
      <c r="U4" s="78" t="s">
        <v>149</v>
      </c>
      <c r="V4" s="78" t="s">
        <v>152</v>
      </c>
      <c r="X4"/>
      <c r="Y4" s="75"/>
      <c r="Z4" s="76" t="s">
        <v>163</v>
      </c>
    </row>
    <row r="5" spans="1:27" ht="18" customHeight="1" thickTop="1" x14ac:dyDescent="0.2">
      <c r="A5" s="42" t="s">
        <v>43</v>
      </c>
      <c r="B5" s="42"/>
      <c r="C5" s="77"/>
      <c r="D5" s="77" t="str">
        <f>IF($C5&gt;0,$C5+D$2,"")</f>
        <v/>
      </c>
      <c r="E5" s="77" t="str">
        <f t="shared" ref="E5:I20" si="1">IF($C5&gt;0,$C5+E$2,"")</f>
        <v/>
      </c>
      <c r="F5" s="77" t="str">
        <f t="shared" si="1"/>
        <v/>
      </c>
      <c r="G5" s="77" t="str">
        <f t="shared" si="1"/>
        <v/>
      </c>
      <c r="H5" s="77" t="str">
        <f t="shared" si="1"/>
        <v/>
      </c>
      <c r="I5" s="77" t="str">
        <f t="shared" si="1"/>
        <v/>
      </c>
      <c r="L5" s="78" t="s">
        <v>135</v>
      </c>
      <c r="M5" s="78" t="s">
        <v>138</v>
      </c>
      <c r="N5" s="78" t="s">
        <v>1</v>
      </c>
      <c r="O5" s="84">
        <v>45901</v>
      </c>
      <c r="P5" s="78">
        <v>32</v>
      </c>
      <c r="Q5" s="78">
        <f>INDEX($C$1:$I$1,MATCH(Tabel3[[#This Row],[Type]],Devoirs[[#Headers],[J0]:[J60]],0))</f>
        <v>0</v>
      </c>
      <c r="R5" s="85" t="str" cm="1">
        <f t="array" ref="R5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45901.333333333336</v>
      </c>
      <c r="T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45901.355555555558</v>
      </c>
      <c r="U5" s="82">
        <f ca="1">--(Tabel3[[#This Row],[jour]]&lt;&gt;TRUNC(Tabel3[[#This Row],[fin]]))</f>
        <v>0</v>
      </c>
      <c r="V5" s="82">
        <f>IF(Tabel3[[#This Row],[Type]]="j0",0,--(TRUNC(Tabel3[[#This Row],[debut]])-TRUNC(Tabel3[[#This Row],[fin precedent]])&lt;Tabel3[[#This Row],[delai]]))</f>
        <v>0</v>
      </c>
      <c r="X5"/>
      <c r="Y5" s="87" t="s">
        <v>147</v>
      </c>
      <c r="Z5" t="s">
        <v>153</v>
      </c>
      <c r="AA5" t="s">
        <v>164</v>
      </c>
    </row>
    <row r="6" spans="1:27" ht="18" customHeight="1" x14ac:dyDescent="0.2">
      <c r="A6" s="37" t="s">
        <v>44</v>
      </c>
      <c r="B6" s="65">
        <v>96</v>
      </c>
      <c r="C6" s="77">
        <v>45915</v>
      </c>
      <c r="D6" s="77">
        <f>IF($C6&gt;0,$C6+D$2,"")</f>
        <v>45917</v>
      </c>
      <c r="E6" s="77">
        <f t="shared" si="1"/>
        <v>45921</v>
      </c>
      <c r="F6" s="77">
        <f t="shared" si="1"/>
        <v>45925</v>
      </c>
      <c r="G6" s="77">
        <f t="shared" si="1"/>
        <v>45930</v>
      </c>
      <c r="H6" s="77">
        <f t="shared" si="1"/>
        <v>45945</v>
      </c>
      <c r="I6" s="77">
        <f t="shared" si="1"/>
        <v>45975</v>
      </c>
      <c r="L6" s="78" t="s">
        <v>51</v>
      </c>
      <c r="M6" s="78" t="s">
        <v>55</v>
      </c>
      <c r="N6" s="78" t="s">
        <v>1</v>
      </c>
      <c r="O6" s="84">
        <v>45902</v>
      </c>
      <c r="P6" s="78">
        <v>51</v>
      </c>
      <c r="Q6" s="78">
        <f>INDEX($C$1:$I$1,MATCH(Tabel3[[#This Row],[Type]],Devoirs[[#Headers],[J0]:[J60]],0))</f>
        <v>0</v>
      </c>
      <c r="R6" s="85" t="str" cm="1">
        <f t="array" ref="R6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45902.333333333336</v>
      </c>
      <c r="T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45902.368750000001</v>
      </c>
      <c r="U6" s="82">
        <f ca="1">--(Tabel3[[#This Row],[jour]]&lt;&gt;TRUNC(Tabel3[[#This Row],[fin]]))</f>
        <v>0</v>
      </c>
      <c r="V6" s="82">
        <f>IF(Tabel3[[#This Row],[Type]]="j0",0,--(TRUNC(Tabel3[[#This Row],[debut]])-TRUNC(Tabel3[[#This Row],[fin precedent]])&lt;Tabel3[[#This Row],[delai]]))</f>
        <v>0</v>
      </c>
      <c r="X6"/>
      <c r="Y6" s="75">
        <v>45901</v>
      </c>
      <c r="Z6">
        <v>32</v>
      </c>
      <c r="AA6">
        <v>1</v>
      </c>
    </row>
    <row r="7" spans="1:27" ht="18" customHeight="1" x14ac:dyDescent="0.2">
      <c r="A7" s="37" t="s">
        <v>45</v>
      </c>
      <c r="B7" s="65">
        <v>82</v>
      </c>
      <c r="C7" s="77">
        <v>45923</v>
      </c>
      <c r="D7" s="77">
        <f t="shared" ref="D7:I21" si="2">IF($C7&gt;0,$C7+D$2,"")</f>
        <v>45925</v>
      </c>
      <c r="E7" s="77">
        <f t="shared" si="1"/>
        <v>45929</v>
      </c>
      <c r="F7" s="77">
        <f t="shared" si="1"/>
        <v>45933</v>
      </c>
      <c r="G7" s="77">
        <f t="shared" si="1"/>
        <v>45938</v>
      </c>
      <c r="H7" s="77">
        <f t="shared" si="1"/>
        <v>45953</v>
      </c>
      <c r="I7" s="77">
        <f t="shared" si="1"/>
        <v>45983</v>
      </c>
      <c r="L7" s="78" t="s">
        <v>51</v>
      </c>
      <c r="M7" s="78" t="s">
        <v>62</v>
      </c>
      <c r="N7" s="78" t="s">
        <v>1</v>
      </c>
      <c r="O7" s="84">
        <v>45902</v>
      </c>
      <c r="P7" s="78">
        <v>79</v>
      </c>
      <c r="Q7" s="78">
        <f>INDEX($C$1:$I$1,MATCH(Tabel3[[#This Row],[Type]],Devoirs[[#Headers],[J0]:[J60]],0))</f>
        <v>0</v>
      </c>
      <c r="R7" s="85" t="str" cm="1">
        <f t="array" ref="R7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45902.368750000001</v>
      </c>
      <c r="T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45902.423611111109</v>
      </c>
      <c r="U7" s="82">
        <f ca="1">--(Tabel3[[#This Row],[jour]]&lt;&gt;TRUNC(Tabel3[[#This Row],[fin]]))</f>
        <v>0</v>
      </c>
      <c r="V7" s="82">
        <f>IF(Tabel3[[#This Row],[Type]]="j0",0,--(TRUNC(Tabel3[[#This Row],[debut]])-TRUNC(Tabel3[[#This Row],[fin precedent]])&lt;Tabel3[[#This Row],[delai]]))</f>
        <v>0</v>
      </c>
      <c r="X7"/>
      <c r="Y7" s="75">
        <v>45902</v>
      </c>
      <c r="Z7">
        <v>335</v>
      </c>
      <c r="AA7">
        <v>4</v>
      </c>
    </row>
    <row r="8" spans="1:27" ht="18" customHeight="1" x14ac:dyDescent="0.2">
      <c r="A8" s="37" t="s">
        <v>46</v>
      </c>
      <c r="B8" s="65">
        <v>76</v>
      </c>
      <c r="C8" s="77">
        <v>45925</v>
      </c>
      <c r="D8" s="77">
        <f t="shared" si="2"/>
        <v>45927</v>
      </c>
      <c r="E8" s="77">
        <f t="shared" si="1"/>
        <v>45931</v>
      </c>
      <c r="F8" s="77">
        <f t="shared" si="1"/>
        <v>45935</v>
      </c>
      <c r="G8" s="77">
        <f t="shared" si="1"/>
        <v>45940</v>
      </c>
      <c r="H8" s="77">
        <f t="shared" si="1"/>
        <v>45955</v>
      </c>
      <c r="I8" s="77">
        <f t="shared" si="1"/>
        <v>45985</v>
      </c>
      <c r="L8" s="78" t="s">
        <v>104</v>
      </c>
      <c r="M8" s="78" t="s">
        <v>114</v>
      </c>
      <c r="N8" s="78" t="s">
        <v>1</v>
      </c>
      <c r="O8" s="84">
        <v>45902</v>
      </c>
      <c r="P8" s="78">
        <v>92</v>
      </c>
      <c r="Q8" s="78">
        <f>INDEX($C$1:$I$1,MATCH(Tabel3[[#This Row],[Type]],Devoirs[[#Headers],[J0]:[J60]],0))</f>
        <v>0</v>
      </c>
      <c r="R8" s="85" t="str" cm="1">
        <f t="array" ref="R8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45902.423611111109</v>
      </c>
      <c r="T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45902.487499999996</v>
      </c>
      <c r="U8" s="82">
        <f ca="1">--(Tabel3[[#This Row],[jour]]&lt;&gt;TRUNC(Tabel3[[#This Row],[fin]]))</f>
        <v>0</v>
      </c>
      <c r="V8" s="82">
        <f>IF(Tabel3[[#This Row],[Type]]="j0",0,--(TRUNC(Tabel3[[#This Row],[debut]])-TRUNC(Tabel3[[#This Row],[fin precedent]])&lt;Tabel3[[#This Row],[delai]]))</f>
        <v>0</v>
      </c>
      <c r="X8"/>
      <c r="Y8" s="75">
        <v>45903</v>
      </c>
      <c r="Z8">
        <v>299.8</v>
      </c>
      <c r="AA8">
        <v>4</v>
      </c>
    </row>
    <row r="9" spans="1:27" ht="18" customHeight="1" x14ac:dyDescent="0.2">
      <c r="A9" s="37" t="s">
        <v>47</v>
      </c>
      <c r="B9" s="65">
        <v>59</v>
      </c>
      <c r="C9" s="77">
        <v>45930</v>
      </c>
      <c r="D9" s="77">
        <f t="shared" si="2"/>
        <v>45932</v>
      </c>
      <c r="E9" s="77">
        <f t="shared" si="1"/>
        <v>45936</v>
      </c>
      <c r="F9" s="77">
        <f t="shared" si="1"/>
        <v>45940</v>
      </c>
      <c r="G9" s="77">
        <f t="shared" si="1"/>
        <v>45945</v>
      </c>
      <c r="H9" s="77">
        <f t="shared" si="1"/>
        <v>45960</v>
      </c>
      <c r="I9" s="77">
        <f t="shared" si="1"/>
        <v>45990</v>
      </c>
      <c r="L9" s="78" t="s">
        <v>85</v>
      </c>
      <c r="M9" s="78" t="s">
        <v>88</v>
      </c>
      <c r="N9" s="78" t="s">
        <v>1</v>
      </c>
      <c r="O9" s="84">
        <v>45902</v>
      </c>
      <c r="P9" s="78">
        <v>113</v>
      </c>
      <c r="Q9" s="78">
        <f>INDEX($C$1:$I$1,MATCH(Tabel3[[#This Row],[Type]],Devoirs[[#Headers],[J0]:[J60]],0))</f>
        <v>0</v>
      </c>
      <c r="R9" s="85" t="str" cm="1">
        <f t="array" ref="R9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45902.487499999996</v>
      </c>
      <c r="T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45902.565972222219</v>
      </c>
      <c r="U9" s="82">
        <f ca="1">--(Tabel3[[#This Row],[jour]]&lt;&gt;TRUNC(Tabel3[[#This Row],[fin]]))</f>
        <v>0</v>
      </c>
      <c r="V9" s="82">
        <f>IF(Tabel3[[#This Row],[Type]]="j0",0,--(TRUNC(Tabel3[[#This Row],[debut]])-TRUNC(Tabel3[[#This Row],[fin precedent]])&lt;Tabel3[[#This Row],[delai]]))</f>
        <v>0</v>
      </c>
      <c r="X9"/>
      <c r="Y9" s="75">
        <v>45904</v>
      </c>
      <c r="Z9">
        <v>301.5</v>
      </c>
      <c r="AA9">
        <v>4</v>
      </c>
    </row>
    <row r="10" spans="1:27" ht="18" customHeight="1" x14ac:dyDescent="0.2">
      <c r="A10" s="37" t="s">
        <v>48</v>
      </c>
      <c r="B10" s="65">
        <v>32</v>
      </c>
      <c r="C10" s="77">
        <v>45919</v>
      </c>
      <c r="D10" s="77">
        <f t="shared" si="2"/>
        <v>45921</v>
      </c>
      <c r="E10" s="77">
        <f t="shared" si="1"/>
        <v>45925</v>
      </c>
      <c r="F10" s="77">
        <f t="shared" si="1"/>
        <v>45929</v>
      </c>
      <c r="G10" s="77">
        <f t="shared" si="1"/>
        <v>45934</v>
      </c>
      <c r="H10" s="77">
        <f t="shared" si="1"/>
        <v>45949</v>
      </c>
      <c r="I10" s="77">
        <f t="shared" si="1"/>
        <v>45979</v>
      </c>
      <c r="L10" s="78" t="s">
        <v>135</v>
      </c>
      <c r="M10" s="78" t="s">
        <v>138</v>
      </c>
      <c r="N10" s="78" t="s">
        <v>37</v>
      </c>
      <c r="O10" s="84">
        <v>45903</v>
      </c>
      <c r="P10" s="78">
        <v>28.8</v>
      </c>
      <c r="Q10" s="78">
        <f>INDEX($C$1:$I$1,MATCH(Tabel3[[#This Row],[Type]],Devoirs[[#Headers],[J0]:[J60]],0))</f>
        <v>2</v>
      </c>
      <c r="R10" s="85" cm="1">
        <f t="array" aca="1" ref="R1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45901.355555555558</v>
      </c>
      <c r="S1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45903.333333333336</v>
      </c>
      <c r="T1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45903.353333333333</v>
      </c>
      <c r="U10" s="82">
        <f ca="1">--(Tabel3[[#This Row],[jour]]&lt;&gt;TRUNC(Tabel3[[#This Row],[fin]]))</f>
        <v>0</v>
      </c>
      <c r="V10" s="82">
        <f ca="1">IF(Tabel3[[#This Row],[Type]]="j0",0,--(TRUNC(Tabel3[[#This Row],[debut]])-TRUNC(Tabel3[[#This Row],[fin precedent]])&lt;Tabel3[[#This Row],[delai]]))</f>
        <v>0</v>
      </c>
      <c r="X10"/>
      <c r="Y10" s="75">
        <v>45905</v>
      </c>
      <c r="Z10">
        <v>306.89999999999998</v>
      </c>
      <c r="AA10">
        <v>4</v>
      </c>
    </row>
    <row r="11" spans="1:27" ht="18" customHeight="1" x14ac:dyDescent="0.2">
      <c r="A11" s="37" t="s">
        <v>49</v>
      </c>
      <c r="B11" s="65">
        <v>118</v>
      </c>
      <c r="C11" s="77">
        <v>45930</v>
      </c>
      <c r="D11" s="77">
        <f t="shared" si="2"/>
        <v>45932</v>
      </c>
      <c r="E11" s="77">
        <f t="shared" si="1"/>
        <v>45936</v>
      </c>
      <c r="F11" s="77">
        <f t="shared" si="1"/>
        <v>45940</v>
      </c>
      <c r="G11" s="77">
        <f t="shared" si="1"/>
        <v>45945</v>
      </c>
      <c r="H11" s="77">
        <f t="shared" si="1"/>
        <v>45960</v>
      </c>
      <c r="I11" s="77">
        <f t="shared" si="1"/>
        <v>45990</v>
      </c>
      <c r="L11" s="78" t="s">
        <v>85</v>
      </c>
      <c r="M11" s="78" t="s">
        <v>89</v>
      </c>
      <c r="N11" s="78" t="s">
        <v>1</v>
      </c>
      <c r="O11" s="84">
        <v>45903</v>
      </c>
      <c r="P11" s="78">
        <v>66</v>
      </c>
      <c r="Q11" s="78">
        <f>INDEX($C$1:$I$1,MATCH(Tabel3[[#This Row],[Type]],Devoirs[[#Headers],[J0]:[J60]],0))</f>
        <v>0</v>
      </c>
      <c r="R11" s="85" t="str" cm="1">
        <f t="array" ref="R11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1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45903.353333333333</v>
      </c>
      <c r="T1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45903.399166666662</v>
      </c>
      <c r="U11" s="82">
        <f ca="1">--(Tabel3[[#This Row],[jour]]&lt;&gt;TRUNC(Tabel3[[#This Row],[fin]]))</f>
        <v>0</v>
      </c>
      <c r="V11" s="82">
        <f>IF(Tabel3[[#This Row],[Type]]="j0",0,--(TRUNC(Tabel3[[#This Row],[debut]])-TRUNC(Tabel3[[#This Row],[fin precedent]])&lt;Tabel3[[#This Row],[delai]]))</f>
        <v>0</v>
      </c>
      <c r="X11"/>
      <c r="Y11" s="75">
        <v>45907</v>
      </c>
      <c r="Z11">
        <v>80.7</v>
      </c>
      <c r="AA11">
        <v>2</v>
      </c>
    </row>
    <row r="12" spans="1:27" ht="18" customHeight="1" x14ac:dyDescent="0.2">
      <c r="A12" s="38" t="s">
        <v>50</v>
      </c>
      <c r="B12" s="65">
        <v>119</v>
      </c>
      <c r="C12" s="77">
        <v>45932</v>
      </c>
      <c r="D12" s="77">
        <f t="shared" si="2"/>
        <v>45934</v>
      </c>
      <c r="E12" s="77">
        <f t="shared" si="1"/>
        <v>45938</v>
      </c>
      <c r="F12" s="77">
        <f t="shared" si="1"/>
        <v>45942</v>
      </c>
      <c r="G12" s="77">
        <f t="shared" si="1"/>
        <v>45947</v>
      </c>
      <c r="H12" s="77">
        <f t="shared" si="1"/>
        <v>45962</v>
      </c>
      <c r="I12" s="77">
        <f t="shared" si="1"/>
        <v>45992</v>
      </c>
      <c r="L12" s="78" t="s">
        <v>85</v>
      </c>
      <c r="M12" s="78" t="s">
        <v>90</v>
      </c>
      <c r="N12" s="78" t="s">
        <v>1</v>
      </c>
      <c r="O12" s="84">
        <v>45903</v>
      </c>
      <c r="P12" s="78">
        <v>100</v>
      </c>
      <c r="Q12" s="78">
        <f>INDEX($C$1:$I$1,MATCH(Tabel3[[#This Row],[Type]],Devoirs[[#Headers],[J0]:[J60]],0))</f>
        <v>0</v>
      </c>
      <c r="R12" s="85" t="str" cm="1">
        <f t="array" ref="R12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1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45903.399166666662</v>
      </c>
      <c r="T1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45903.468611111108</v>
      </c>
      <c r="U12" s="82">
        <f ca="1">--(Tabel3[[#This Row],[jour]]&lt;&gt;TRUNC(Tabel3[[#This Row],[fin]]))</f>
        <v>0</v>
      </c>
      <c r="V12" s="82">
        <f>IF(Tabel3[[#This Row],[Type]]="j0",0,--(TRUNC(Tabel3[[#This Row],[debut]])-TRUNC(Tabel3[[#This Row],[fin precedent]])&lt;Tabel3[[#This Row],[delai]]))</f>
        <v>0</v>
      </c>
      <c r="X12"/>
      <c r="Y12" s="75">
        <v>45908</v>
      </c>
      <c r="Z12">
        <v>866.25</v>
      </c>
      <c r="AA12">
        <v>11</v>
      </c>
    </row>
    <row r="13" spans="1:27" ht="18" customHeight="1" x14ac:dyDescent="0.2">
      <c r="A13" s="42" t="s">
        <v>51</v>
      </c>
      <c r="B13" s="42"/>
      <c r="C13" s="77"/>
      <c r="D13" s="77" t="str">
        <f t="shared" si="2"/>
        <v/>
      </c>
      <c r="E13" s="77" t="str">
        <f t="shared" si="1"/>
        <v/>
      </c>
      <c r="F13" s="77" t="str">
        <f t="shared" si="1"/>
        <v/>
      </c>
      <c r="G13" s="77" t="str">
        <f t="shared" si="1"/>
        <v/>
      </c>
      <c r="H13" s="77" t="str">
        <f t="shared" si="1"/>
        <v/>
      </c>
      <c r="I13" s="77" t="str">
        <f t="shared" si="1"/>
        <v/>
      </c>
      <c r="L13" s="78" t="s">
        <v>104</v>
      </c>
      <c r="M13" s="78" t="s">
        <v>107</v>
      </c>
      <c r="N13" s="78" t="s">
        <v>1</v>
      </c>
      <c r="O13" s="84">
        <v>45903</v>
      </c>
      <c r="P13" s="78">
        <v>105</v>
      </c>
      <c r="Q13" s="78">
        <f>INDEX($C$1:$I$1,MATCH(Tabel3[[#This Row],[Type]],Devoirs[[#Headers],[J0]:[J60]],0))</f>
        <v>0</v>
      </c>
      <c r="R13" s="85" t="str" cm="1">
        <f t="array" ref="R13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1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45903.468611111108</v>
      </c>
      <c r="T1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45903.541527777772</v>
      </c>
      <c r="U13" s="82">
        <f ca="1">--(Tabel3[[#This Row],[jour]]&lt;&gt;TRUNC(Tabel3[[#This Row],[fin]]))</f>
        <v>0</v>
      </c>
      <c r="V13" s="82">
        <f>IF(Tabel3[[#This Row],[Type]]="j0",0,--(TRUNC(Tabel3[[#This Row],[debut]])-TRUNC(Tabel3[[#This Row],[fin precedent]])&lt;Tabel3[[#This Row],[delai]]))</f>
        <v>0</v>
      </c>
      <c r="X13"/>
      <c r="Y13" s="75">
        <v>45909</v>
      </c>
      <c r="Z13">
        <v>492.25</v>
      </c>
      <c r="AA13">
        <v>6</v>
      </c>
    </row>
    <row r="14" spans="1:27" ht="18" customHeight="1" x14ac:dyDescent="0.2">
      <c r="A14" s="39" t="s">
        <v>52</v>
      </c>
      <c r="B14" s="66">
        <v>102</v>
      </c>
      <c r="C14" s="77">
        <v>45919</v>
      </c>
      <c r="D14" s="77">
        <f t="shared" si="2"/>
        <v>45921</v>
      </c>
      <c r="E14" s="77">
        <f t="shared" si="1"/>
        <v>45925</v>
      </c>
      <c r="F14" s="77">
        <f t="shared" si="1"/>
        <v>45929</v>
      </c>
      <c r="G14" s="77">
        <f t="shared" si="1"/>
        <v>45934</v>
      </c>
      <c r="H14" s="77">
        <f t="shared" si="1"/>
        <v>45949</v>
      </c>
      <c r="I14" s="77">
        <f t="shared" si="1"/>
        <v>45979</v>
      </c>
      <c r="L14" s="78" t="s">
        <v>51</v>
      </c>
      <c r="M14" s="78" t="s">
        <v>55</v>
      </c>
      <c r="N14" s="78" t="s">
        <v>37</v>
      </c>
      <c r="O14" s="84">
        <v>45904</v>
      </c>
      <c r="P14" s="78">
        <v>45.9</v>
      </c>
      <c r="Q14" s="78">
        <f>INDEX($C$1:$I$1,MATCH(Tabel3[[#This Row],[Type]],Devoirs[[#Headers],[J0]:[J60]],0))</f>
        <v>2</v>
      </c>
      <c r="R14" s="85" cm="1">
        <f t="array" aca="1" ref="R1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45902.368750000001</v>
      </c>
      <c r="S1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45904.333333333336</v>
      </c>
      <c r="T1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45904.365208333336</v>
      </c>
      <c r="U14" s="82">
        <f ca="1">--(Tabel3[[#This Row],[jour]]&lt;&gt;TRUNC(Tabel3[[#This Row],[fin]]))</f>
        <v>0</v>
      </c>
      <c r="V14" s="82">
        <f ca="1">IF(Tabel3[[#This Row],[Type]]="j0",0,--(TRUNC(Tabel3[[#This Row],[debut]])-TRUNC(Tabel3[[#This Row],[fin precedent]])&lt;Tabel3[[#This Row],[delai]]))</f>
        <v>0</v>
      </c>
      <c r="X14"/>
      <c r="Y14" s="75">
        <v>45910</v>
      </c>
      <c r="Z14">
        <v>553.5</v>
      </c>
      <c r="AA14">
        <v>7</v>
      </c>
    </row>
    <row r="15" spans="1:27" ht="18" customHeight="1" x14ac:dyDescent="0.2">
      <c r="A15" s="40" t="s">
        <v>53</v>
      </c>
      <c r="B15" s="66">
        <v>62</v>
      </c>
      <c r="C15" s="77">
        <v>45933</v>
      </c>
      <c r="D15" s="77">
        <f t="shared" si="2"/>
        <v>45935</v>
      </c>
      <c r="E15" s="77">
        <f t="shared" si="1"/>
        <v>45939</v>
      </c>
      <c r="F15" s="77">
        <f t="shared" si="1"/>
        <v>45943</v>
      </c>
      <c r="G15" s="77">
        <f t="shared" si="1"/>
        <v>45948</v>
      </c>
      <c r="H15" s="77">
        <f t="shared" si="1"/>
        <v>45963</v>
      </c>
      <c r="I15" s="77">
        <f t="shared" si="1"/>
        <v>45993</v>
      </c>
      <c r="L15" s="78" t="s">
        <v>51</v>
      </c>
      <c r="M15" s="78" t="s">
        <v>62</v>
      </c>
      <c r="N15" s="78" t="s">
        <v>37</v>
      </c>
      <c r="O15" s="84">
        <v>45904</v>
      </c>
      <c r="P15" s="78">
        <v>71.100000000000009</v>
      </c>
      <c r="Q15" s="78">
        <f>INDEX($C$1:$I$1,MATCH(Tabel3[[#This Row],[Type]],Devoirs[[#Headers],[J0]:[J60]],0))</f>
        <v>2</v>
      </c>
      <c r="R15" s="85" cm="1">
        <f t="array" aca="1" ref="R1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45902.368750000001</v>
      </c>
      <c r="S1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45904.365208333336</v>
      </c>
      <c r="T1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45904.414583333339</v>
      </c>
      <c r="U15" s="82">
        <f ca="1">--(Tabel3[[#This Row],[jour]]&lt;&gt;TRUNC(Tabel3[[#This Row],[fin]]))</f>
        <v>0</v>
      </c>
      <c r="V15" s="82">
        <f ca="1">IF(Tabel3[[#This Row],[Type]]="j0",0,--(TRUNC(Tabel3[[#This Row],[debut]])-TRUNC(Tabel3[[#This Row],[fin precedent]])&lt;Tabel3[[#This Row],[delai]]))</f>
        <v>0</v>
      </c>
      <c r="X15"/>
      <c r="Y15" s="75">
        <v>45911</v>
      </c>
      <c r="Z15">
        <v>443.55</v>
      </c>
      <c r="AA15">
        <v>7</v>
      </c>
    </row>
    <row r="16" spans="1:27" ht="18" customHeight="1" x14ac:dyDescent="0.2">
      <c r="A16" s="40" t="s">
        <v>54</v>
      </c>
      <c r="B16" s="66">
        <v>66</v>
      </c>
      <c r="C16" s="77">
        <v>45939</v>
      </c>
      <c r="D16" s="77">
        <f t="shared" si="2"/>
        <v>45941</v>
      </c>
      <c r="E16" s="77">
        <f t="shared" si="1"/>
        <v>45945</v>
      </c>
      <c r="F16" s="77">
        <f t="shared" si="1"/>
        <v>45949</v>
      </c>
      <c r="G16" s="77">
        <f t="shared" si="1"/>
        <v>45954</v>
      </c>
      <c r="H16" s="77">
        <f t="shared" si="1"/>
        <v>45969</v>
      </c>
      <c r="I16" s="77">
        <f t="shared" si="1"/>
        <v>45999</v>
      </c>
      <c r="L16" s="78" t="s">
        <v>104</v>
      </c>
      <c r="M16" s="78" t="s">
        <v>114</v>
      </c>
      <c r="N16" s="78" t="s">
        <v>37</v>
      </c>
      <c r="O16" s="84">
        <v>45904</v>
      </c>
      <c r="P16" s="78">
        <v>82.8</v>
      </c>
      <c r="Q16" s="78">
        <f>INDEX($C$1:$I$1,MATCH(Tabel3[[#This Row],[Type]],Devoirs[[#Headers],[J0]:[J60]],0))</f>
        <v>2</v>
      </c>
      <c r="R16" s="85" cm="1">
        <f t="array" aca="1" ref="R1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45902.487499999996</v>
      </c>
      <c r="S1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45904.414583333339</v>
      </c>
      <c r="T1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45904.472083333341</v>
      </c>
      <c r="U16" s="82">
        <f ca="1">--(Tabel3[[#This Row],[jour]]&lt;&gt;TRUNC(Tabel3[[#This Row],[fin]]))</f>
        <v>0</v>
      </c>
      <c r="V16" s="82">
        <f ca="1">IF(Tabel3[[#This Row],[Type]]="j0",0,--(TRUNC(Tabel3[[#This Row],[debut]])-TRUNC(Tabel3[[#This Row],[fin precedent]])&lt;Tabel3[[#This Row],[delai]]))</f>
        <v>0</v>
      </c>
      <c r="X16"/>
      <c r="Y16" s="75">
        <v>45912</v>
      </c>
      <c r="Z16">
        <v>489</v>
      </c>
      <c r="AA16">
        <v>8</v>
      </c>
    </row>
    <row r="17" spans="1:27" ht="18" customHeight="1" x14ac:dyDescent="0.2">
      <c r="A17" s="40" t="s">
        <v>55</v>
      </c>
      <c r="B17" s="66">
        <v>51</v>
      </c>
      <c r="C17" s="77">
        <v>45902</v>
      </c>
      <c r="D17" s="77">
        <f t="shared" si="2"/>
        <v>45904</v>
      </c>
      <c r="E17" s="77">
        <f t="shared" si="1"/>
        <v>45908</v>
      </c>
      <c r="F17" s="77">
        <f t="shared" si="1"/>
        <v>45912</v>
      </c>
      <c r="G17" s="77">
        <f t="shared" si="1"/>
        <v>45917</v>
      </c>
      <c r="H17" s="77">
        <f t="shared" si="1"/>
        <v>45932</v>
      </c>
      <c r="I17" s="77">
        <f t="shared" si="1"/>
        <v>45962</v>
      </c>
      <c r="L17" s="78" t="s">
        <v>85</v>
      </c>
      <c r="M17" s="78" t="s">
        <v>88</v>
      </c>
      <c r="N17" s="78" t="s">
        <v>37</v>
      </c>
      <c r="O17" s="84">
        <v>45904</v>
      </c>
      <c r="P17" s="78">
        <v>101.7</v>
      </c>
      <c r="Q17" s="78">
        <f>INDEX($C$1:$I$1,MATCH(Tabel3[[#This Row],[Type]],Devoirs[[#Headers],[J0]:[J60]],0))</f>
        <v>2</v>
      </c>
      <c r="R17" s="85" cm="1">
        <f t="array" aca="1" ref="R1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45902.565972222219</v>
      </c>
      <c r="S1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45904.472083333341</v>
      </c>
      <c r="T1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45904.542708333342</v>
      </c>
      <c r="U17" s="82">
        <f ca="1">--(Tabel3[[#This Row],[jour]]&lt;&gt;TRUNC(Tabel3[[#This Row],[fin]]))</f>
        <v>0</v>
      </c>
      <c r="V17" s="82">
        <f ca="1">IF(Tabel3[[#This Row],[Type]]="j0",0,--(TRUNC(Tabel3[[#This Row],[debut]])-TRUNC(Tabel3[[#This Row],[fin precedent]])&lt;Tabel3[[#This Row],[delai]]))</f>
        <v>0</v>
      </c>
      <c r="X17"/>
      <c r="Y17" s="75">
        <v>45913</v>
      </c>
      <c r="Z17">
        <v>267.89999999999998</v>
      </c>
      <c r="AA17">
        <v>5</v>
      </c>
    </row>
    <row r="18" spans="1:27" ht="18" customHeight="1" x14ac:dyDescent="0.2">
      <c r="A18" s="40" t="s">
        <v>56</v>
      </c>
      <c r="B18" s="66">
        <v>60</v>
      </c>
      <c r="C18" s="77">
        <v>45931</v>
      </c>
      <c r="D18" s="77">
        <f t="shared" si="2"/>
        <v>45933</v>
      </c>
      <c r="E18" s="77">
        <f t="shared" si="1"/>
        <v>45937</v>
      </c>
      <c r="F18" s="77">
        <f t="shared" si="1"/>
        <v>45941</v>
      </c>
      <c r="G18" s="77">
        <f t="shared" si="1"/>
        <v>45946</v>
      </c>
      <c r="H18" s="77">
        <f t="shared" si="1"/>
        <v>45961</v>
      </c>
      <c r="I18" s="77">
        <f t="shared" si="1"/>
        <v>45991</v>
      </c>
      <c r="L18" s="78" t="s">
        <v>85</v>
      </c>
      <c r="M18" s="78" t="s">
        <v>89</v>
      </c>
      <c r="N18" s="78" t="s">
        <v>37</v>
      </c>
      <c r="O18" s="84">
        <v>45905</v>
      </c>
      <c r="P18" s="78">
        <v>59.4</v>
      </c>
      <c r="Q18" s="78">
        <f>INDEX($C$1:$I$1,MATCH(Tabel3[[#This Row],[Type]],Devoirs[[#Headers],[J0]:[J60]],0))</f>
        <v>2</v>
      </c>
      <c r="R18" s="85" cm="1">
        <f t="array" aca="1" ref="R1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45902.565972222219</v>
      </c>
      <c r="S1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45905.333333333336</v>
      </c>
      <c r="T1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45905.374583333338</v>
      </c>
      <c r="U18" s="82">
        <f ca="1">--(Tabel3[[#This Row],[jour]]&lt;&gt;TRUNC(Tabel3[[#This Row],[fin]]))</f>
        <v>0</v>
      </c>
      <c r="V18" s="82">
        <f ca="1">IF(Tabel3[[#This Row],[Type]]="j0",0,--(TRUNC(Tabel3[[#This Row],[debut]])-TRUNC(Tabel3[[#This Row],[fin precedent]])&lt;Tabel3[[#This Row],[delai]]))</f>
        <v>0</v>
      </c>
      <c r="X18"/>
      <c r="Y18" s="75">
        <v>45914</v>
      </c>
      <c r="Z18">
        <v>720.44999999999993</v>
      </c>
      <c r="AA18">
        <v>11</v>
      </c>
    </row>
    <row r="19" spans="1:27" ht="18" customHeight="1" x14ac:dyDescent="0.2">
      <c r="A19" s="40" t="s">
        <v>57</v>
      </c>
      <c r="B19" s="66">
        <v>73</v>
      </c>
      <c r="C19" s="77">
        <v>45918</v>
      </c>
      <c r="D19" s="77">
        <f t="shared" si="2"/>
        <v>45920</v>
      </c>
      <c r="E19" s="77">
        <f t="shared" si="1"/>
        <v>45924</v>
      </c>
      <c r="F19" s="77">
        <f t="shared" si="1"/>
        <v>45928</v>
      </c>
      <c r="G19" s="77">
        <f t="shared" si="1"/>
        <v>45933</v>
      </c>
      <c r="H19" s="77">
        <f t="shared" si="1"/>
        <v>45948</v>
      </c>
      <c r="I19" s="77">
        <f t="shared" si="1"/>
        <v>45978</v>
      </c>
      <c r="L19" s="78" t="s">
        <v>85</v>
      </c>
      <c r="M19" s="78" t="s">
        <v>90</v>
      </c>
      <c r="N19" s="78" t="s">
        <v>37</v>
      </c>
      <c r="O19" s="84">
        <v>45905</v>
      </c>
      <c r="P19" s="78">
        <v>90</v>
      </c>
      <c r="Q19" s="78">
        <f>INDEX($C$1:$I$1,MATCH(Tabel3[[#This Row],[Type]],Devoirs[[#Headers],[J0]:[J60]],0))</f>
        <v>2</v>
      </c>
      <c r="R19" s="85" cm="1">
        <f t="array" aca="1" ref="R1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45902.565972222219</v>
      </c>
      <c r="S1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45905.374583333338</v>
      </c>
      <c r="T1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45905.437083333338</v>
      </c>
      <c r="U19" s="82">
        <f ca="1">--(Tabel3[[#This Row],[jour]]&lt;&gt;TRUNC(Tabel3[[#This Row],[fin]]))</f>
        <v>0</v>
      </c>
      <c r="V19" s="82">
        <f ca="1">IF(Tabel3[[#This Row],[Type]]="j0",0,--(TRUNC(Tabel3[[#This Row],[debut]])-TRUNC(Tabel3[[#This Row],[fin precedent]])&lt;Tabel3[[#This Row],[delai]]))</f>
        <v>0</v>
      </c>
      <c r="X19"/>
      <c r="Y19" s="75">
        <v>45915</v>
      </c>
      <c r="Z19">
        <v>463.55</v>
      </c>
      <c r="AA19">
        <v>6</v>
      </c>
    </row>
    <row r="20" spans="1:27" ht="18" customHeight="1" x14ac:dyDescent="0.2">
      <c r="A20" s="40" t="s">
        <v>58</v>
      </c>
      <c r="B20" s="66">
        <v>56</v>
      </c>
      <c r="C20" s="77">
        <v>45919</v>
      </c>
      <c r="D20" s="77">
        <f t="shared" si="2"/>
        <v>45921</v>
      </c>
      <c r="E20" s="77">
        <f t="shared" si="1"/>
        <v>45925</v>
      </c>
      <c r="F20" s="77">
        <f t="shared" si="1"/>
        <v>45929</v>
      </c>
      <c r="G20" s="77">
        <f t="shared" si="1"/>
        <v>45934</v>
      </c>
      <c r="H20" s="77">
        <f t="shared" si="1"/>
        <v>45949</v>
      </c>
      <c r="I20" s="77">
        <f t="shared" si="1"/>
        <v>45979</v>
      </c>
      <c r="L20" s="78" t="s">
        <v>104</v>
      </c>
      <c r="M20" s="78" t="s">
        <v>107</v>
      </c>
      <c r="N20" s="78" t="s">
        <v>37</v>
      </c>
      <c r="O20" s="84">
        <v>45905</v>
      </c>
      <c r="P20" s="78">
        <v>94.5</v>
      </c>
      <c r="Q20" s="78">
        <f>INDEX($C$1:$I$1,MATCH(Tabel3[[#This Row],[Type]],Devoirs[[#Headers],[J0]:[J60]],0))</f>
        <v>2</v>
      </c>
      <c r="R20" s="85" cm="1">
        <f t="array" aca="1" ref="R2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45902.487499999996</v>
      </c>
      <c r="S2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45905.437083333338</v>
      </c>
      <c r="T2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45905.502708333341</v>
      </c>
      <c r="U20" s="82">
        <f ca="1">--(Tabel3[[#This Row],[jour]]&lt;&gt;TRUNC(Tabel3[[#This Row],[fin]]))</f>
        <v>0</v>
      </c>
      <c r="V20" s="82">
        <f ca="1">IF(Tabel3[[#This Row],[Type]]="j0",0,--(TRUNC(Tabel3[[#This Row],[debut]])-TRUNC(Tabel3[[#This Row],[fin precedent]])&lt;Tabel3[[#This Row],[delai]]))</f>
        <v>0</v>
      </c>
      <c r="X20"/>
      <c r="Y20" s="75">
        <v>45916</v>
      </c>
      <c r="Z20">
        <v>252.4</v>
      </c>
      <c r="AA20">
        <v>6</v>
      </c>
    </row>
    <row r="21" spans="1:27" ht="18" customHeight="1" x14ac:dyDescent="0.2">
      <c r="A21" s="40" t="s">
        <v>59</v>
      </c>
      <c r="B21" s="66">
        <v>113</v>
      </c>
      <c r="C21" s="77">
        <v>45917</v>
      </c>
      <c r="D21" s="77">
        <f t="shared" si="2"/>
        <v>45919</v>
      </c>
      <c r="E21" s="77">
        <f t="shared" si="2"/>
        <v>45923</v>
      </c>
      <c r="F21" s="77">
        <f t="shared" si="2"/>
        <v>45927</v>
      </c>
      <c r="G21" s="77">
        <f t="shared" si="2"/>
        <v>45932</v>
      </c>
      <c r="H21" s="77">
        <f t="shared" si="2"/>
        <v>45947</v>
      </c>
      <c r="I21" s="77">
        <f t="shared" si="2"/>
        <v>45977</v>
      </c>
      <c r="L21" s="78" t="s">
        <v>135</v>
      </c>
      <c r="M21" s="78" t="s">
        <v>141</v>
      </c>
      <c r="N21" s="78" t="s">
        <v>1</v>
      </c>
      <c r="O21" s="84">
        <v>45905</v>
      </c>
      <c r="P21" s="78">
        <v>63</v>
      </c>
      <c r="Q21" s="78">
        <f>INDEX($C$1:$I$1,MATCH(Tabel3[[#This Row],[Type]],Devoirs[[#Headers],[J0]:[J60]],0))</f>
        <v>0</v>
      </c>
      <c r="R21" s="85" t="str" cm="1">
        <f t="array" ref="R21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2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45905.502708333341</v>
      </c>
      <c r="T2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45905.546458333338</v>
      </c>
      <c r="U21" s="82">
        <f ca="1">--(Tabel3[[#This Row],[jour]]&lt;&gt;TRUNC(Tabel3[[#This Row],[fin]]))</f>
        <v>0</v>
      </c>
      <c r="V21" s="82">
        <f>IF(Tabel3[[#This Row],[Type]]="j0",0,--(TRUNC(Tabel3[[#This Row],[debut]])-TRUNC(Tabel3[[#This Row],[fin precedent]])&lt;Tabel3[[#This Row],[delai]]))</f>
        <v>0</v>
      </c>
      <c r="X21"/>
      <c r="Y21" s="75">
        <v>45917</v>
      </c>
      <c r="Z21">
        <v>861.6</v>
      </c>
      <c r="AA21">
        <v>12</v>
      </c>
    </row>
    <row r="22" spans="1:27" ht="18" customHeight="1" x14ac:dyDescent="0.2">
      <c r="A22" s="40" t="s">
        <v>60</v>
      </c>
      <c r="B22" s="66">
        <v>40</v>
      </c>
      <c r="C22" s="77">
        <v>45938</v>
      </c>
      <c r="D22" s="77">
        <f t="shared" ref="D22:I37" si="3">IF($C22&gt;0,$C22+D$2,"")</f>
        <v>45940</v>
      </c>
      <c r="E22" s="77">
        <f t="shared" si="3"/>
        <v>45944</v>
      </c>
      <c r="F22" s="77">
        <f t="shared" si="3"/>
        <v>45948</v>
      </c>
      <c r="G22" s="77">
        <f t="shared" si="3"/>
        <v>45953</v>
      </c>
      <c r="H22" s="77">
        <f t="shared" si="3"/>
        <v>45968</v>
      </c>
      <c r="I22" s="77">
        <f t="shared" si="3"/>
        <v>45998</v>
      </c>
      <c r="L22" s="78" t="s">
        <v>135</v>
      </c>
      <c r="M22" s="78" t="s">
        <v>138</v>
      </c>
      <c r="N22" s="78" t="s">
        <v>38</v>
      </c>
      <c r="O22" s="84">
        <v>45907</v>
      </c>
      <c r="P22" s="78">
        <v>24</v>
      </c>
      <c r="Q22" s="78">
        <f>INDEX($C$1:$I$1,MATCH(Tabel3[[#This Row],[Type]],Devoirs[[#Headers],[J0]:[J60]],0))</f>
        <v>4</v>
      </c>
      <c r="R22" s="85" cm="1">
        <f t="array" aca="1" ref="R2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45903.353333333333</v>
      </c>
      <c r="S2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45908.333333333336</v>
      </c>
      <c r="T2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45908.350000000006</v>
      </c>
      <c r="U22" s="82">
        <f ca="1">--(Tabel3[[#This Row],[jour]]&lt;&gt;TRUNC(Tabel3[[#This Row],[fin]]))</f>
        <v>1</v>
      </c>
      <c r="V22" s="82">
        <f ca="1">IF(Tabel3[[#This Row],[Type]]="j0",0,--(TRUNC(Tabel3[[#This Row],[debut]])-TRUNC(Tabel3[[#This Row],[fin precedent]])&lt;Tabel3[[#This Row],[delai]]))</f>
        <v>0</v>
      </c>
      <c r="X22"/>
      <c r="Y22" s="75">
        <v>45918</v>
      </c>
      <c r="Z22">
        <v>1523.1499999999999</v>
      </c>
      <c r="AA22">
        <v>27</v>
      </c>
    </row>
    <row r="23" spans="1:27" ht="18" customHeight="1" x14ac:dyDescent="0.2">
      <c r="A23" s="40" t="s">
        <v>61</v>
      </c>
      <c r="B23" s="66">
        <v>63</v>
      </c>
      <c r="C23" s="77">
        <v>45911</v>
      </c>
      <c r="D23" s="77">
        <f t="shared" si="3"/>
        <v>45913</v>
      </c>
      <c r="E23" s="77">
        <f t="shared" si="3"/>
        <v>45917</v>
      </c>
      <c r="F23" s="77">
        <f t="shared" si="3"/>
        <v>45921</v>
      </c>
      <c r="G23" s="77">
        <f t="shared" si="3"/>
        <v>45926</v>
      </c>
      <c r="H23" s="77">
        <f t="shared" si="3"/>
        <v>45941</v>
      </c>
      <c r="I23" s="77">
        <f t="shared" si="3"/>
        <v>45971</v>
      </c>
      <c r="L23" s="78" t="s">
        <v>135</v>
      </c>
      <c r="M23" s="78" t="s">
        <v>141</v>
      </c>
      <c r="N23" s="78" t="s">
        <v>37</v>
      </c>
      <c r="O23" s="84">
        <v>45907</v>
      </c>
      <c r="P23" s="78">
        <v>56.7</v>
      </c>
      <c r="Q23" s="78">
        <f>INDEX($C$1:$I$1,MATCH(Tabel3[[#This Row],[Type]],Devoirs[[#Headers],[J0]:[J60]],0))</f>
        <v>2</v>
      </c>
      <c r="R23" s="85" cm="1">
        <f t="array" aca="1" ref="R2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45901.355555555558</v>
      </c>
      <c r="S2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45908.350000000006</v>
      </c>
      <c r="T2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45908.389375000006</v>
      </c>
      <c r="U23" s="82">
        <f ca="1">--(Tabel3[[#This Row],[jour]]&lt;&gt;TRUNC(Tabel3[[#This Row],[fin]]))</f>
        <v>1</v>
      </c>
      <c r="V23" s="82">
        <f ca="1">IF(Tabel3[[#This Row],[Type]]="j0",0,--(TRUNC(Tabel3[[#This Row],[debut]])-TRUNC(Tabel3[[#This Row],[fin precedent]])&lt;Tabel3[[#This Row],[delai]]))</f>
        <v>0</v>
      </c>
      <c r="X23"/>
      <c r="Y23" s="75">
        <v>45919</v>
      </c>
      <c r="Z23">
        <v>914.9</v>
      </c>
      <c r="AA23">
        <v>12</v>
      </c>
    </row>
    <row r="24" spans="1:27" ht="18" customHeight="1" x14ac:dyDescent="0.2">
      <c r="A24" s="40" t="s">
        <v>62</v>
      </c>
      <c r="B24" s="66">
        <v>79</v>
      </c>
      <c r="C24" s="77">
        <v>45902</v>
      </c>
      <c r="D24" s="77">
        <f t="shared" si="3"/>
        <v>45904</v>
      </c>
      <c r="E24" s="77">
        <f t="shared" si="3"/>
        <v>45908</v>
      </c>
      <c r="F24" s="77">
        <f t="shared" si="3"/>
        <v>45912</v>
      </c>
      <c r="G24" s="77">
        <f t="shared" si="3"/>
        <v>45917</v>
      </c>
      <c r="H24" s="77">
        <f t="shared" si="3"/>
        <v>45932</v>
      </c>
      <c r="I24" s="77">
        <f t="shared" si="3"/>
        <v>45962</v>
      </c>
      <c r="L24" s="78" t="s">
        <v>51</v>
      </c>
      <c r="M24" s="78" t="s">
        <v>55</v>
      </c>
      <c r="N24" s="78" t="s">
        <v>38</v>
      </c>
      <c r="O24" s="84">
        <v>45908</v>
      </c>
      <c r="P24" s="78">
        <v>38.25</v>
      </c>
      <c r="Q24" s="78">
        <f>INDEX($C$1:$I$1,MATCH(Tabel3[[#This Row],[Type]],Devoirs[[#Headers],[J0]:[J60]],0))</f>
        <v>4</v>
      </c>
      <c r="R24" s="85" cm="1">
        <f t="array" aca="1" ref="R2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45904.365208333336</v>
      </c>
      <c r="S2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45908.389375000006</v>
      </c>
      <c r="T2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45908.415937500009</v>
      </c>
      <c r="U24" s="82">
        <f ca="1">--(Tabel3[[#This Row],[jour]]&lt;&gt;TRUNC(Tabel3[[#This Row],[fin]]))</f>
        <v>0</v>
      </c>
      <c r="V24" s="82">
        <f ca="1">IF(Tabel3[[#This Row],[Type]]="j0",0,--(TRUNC(Tabel3[[#This Row],[debut]])-TRUNC(Tabel3[[#This Row],[fin precedent]])&lt;Tabel3[[#This Row],[delai]]))</f>
        <v>0</v>
      </c>
      <c r="X24"/>
      <c r="Y24" s="75">
        <v>45920</v>
      </c>
      <c r="Z24">
        <v>570.15000000000009</v>
      </c>
      <c r="AA24">
        <v>9</v>
      </c>
    </row>
    <row r="25" spans="1:27" ht="18" customHeight="1" x14ac:dyDescent="0.2">
      <c r="A25" s="41" t="s">
        <v>63</v>
      </c>
      <c r="B25" s="66">
        <v>71</v>
      </c>
      <c r="C25" s="77">
        <v>45936</v>
      </c>
      <c r="D25" s="77">
        <f t="shared" si="3"/>
        <v>45938</v>
      </c>
      <c r="E25" s="77">
        <f t="shared" si="3"/>
        <v>45942</v>
      </c>
      <c r="F25" s="77">
        <f t="shared" si="3"/>
        <v>45946</v>
      </c>
      <c r="G25" s="77">
        <f t="shared" si="3"/>
        <v>45951</v>
      </c>
      <c r="H25" s="77">
        <f t="shared" si="3"/>
        <v>45966</v>
      </c>
      <c r="I25" s="77">
        <f t="shared" si="3"/>
        <v>45996</v>
      </c>
      <c r="L25" s="78" t="s">
        <v>51</v>
      </c>
      <c r="M25" s="78" t="s">
        <v>62</v>
      </c>
      <c r="N25" s="78" t="s">
        <v>38</v>
      </c>
      <c r="O25" s="84">
        <v>45908</v>
      </c>
      <c r="P25" s="78">
        <v>59.25</v>
      </c>
      <c r="Q25" s="78">
        <f>INDEX($C$1:$I$1,MATCH(Tabel3[[#This Row],[Type]],Devoirs[[#Headers],[J0]:[J60]],0))</f>
        <v>4</v>
      </c>
      <c r="R25" s="85" cm="1">
        <f t="array" aca="1" ref="R2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45904.365208333336</v>
      </c>
      <c r="S2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45908.415937500009</v>
      </c>
      <c r="T2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45908.457083333342</v>
      </c>
      <c r="U25" s="82">
        <f ca="1">--(Tabel3[[#This Row],[jour]]&lt;&gt;TRUNC(Tabel3[[#This Row],[fin]]))</f>
        <v>0</v>
      </c>
      <c r="V25" s="82">
        <f ca="1">IF(Tabel3[[#This Row],[Type]]="j0",0,--(TRUNC(Tabel3[[#This Row],[debut]])-TRUNC(Tabel3[[#This Row],[fin precedent]])&lt;Tabel3[[#This Row],[delai]]))</f>
        <v>0</v>
      </c>
      <c r="X25"/>
      <c r="Y25" s="75">
        <v>45921</v>
      </c>
      <c r="Z25">
        <v>541.95000000000005</v>
      </c>
      <c r="AA25">
        <v>9</v>
      </c>
    </row>
    <row r="26" spans="1:27" ht="18" customHeight="1" x14ac:dyDescent="0.2">
      <c r="A26" s="42" t="s">
        <v>64</v>
      </c>
      <c r="B26" s="42"/>
      <c r="C26" s="77"/>
      <c r="D26" s="77" t="str">
        <f t="shared" si="3"/>
        <v/>
      </c>
      <c r="E26" s="77" t="str">
        <f t="shared" si="3"/>
        <v/>
      </c>
      <c r="F26" s="77" t="str">
        <f t="shared" si="3"/>
        <v/>
      </c>
      <c r="G26" s="77" t="str">
        <f t="shared" si="3"/>
        <v/>
      </c>
      <c r="H26" s="77" t="str">
        <f t="shared" si="3"/>
        <v/>
      </c>
      <c r="I26" s="77" t="str">
        <f t="shared" si="3"/>
        <v/>
      </c>
      <c r="L26" s="78" t="s">
        <v>104</v>
      </c>
      <c r="M26" s="78" t="s">
        <v>114</v>
      </c>
      <c r="N26" s="78" t="s">
        <v>38</v>
      </c>
      <c r="O26" s="84">
        <v>45908</v>
      </c>
      <c r="P26" s="78">
        <v>69</v>
      </c>
      <c r="Q26" s="78">
        <f>INDEX($C$1:$I$1,MATCH(Tabel3[[#This Row],[Type]],Devoirs[[#Headers],[J0]:[J60]],0))</f>
        <v>4</v>
      </c>
      <c r="R26" s="85" cm="1">
        <f t="array" aca="1" ref="R2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45904.472083333341</v>
      </c>
      <c r="S2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45908.457083333342</v>
      </c>
      <c r="T2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45908.505000000012</v>
      </c>
      <c r="U26" s="82">
        <f ca="1">--(Tabel3[[#This Row],[jour]]&lt;&gt;TRUNC(Tabel3[[#This Row],[fin]]))</f>
        <v>0</v>
      </c>
      <c r="V26" s="82">
        <f ca="1">IF(Tabel3[[#This Row],[Type]]="j0",0,--(TRUNC(Tabel3[[#This Row],[debut]])-TRUNC(Tabel3[[#This Row],[fin precedent]])&lt;Tabel3[[#This Row],[delai]]))</f>
        <v>0</v>
      </c>
      <c r="X26"/>
      <c r="Y26" s="75">
        <v>45922</v>
      </c>
      <c r="Z26">
        <v>606.29999999999995</v>
      </c>
      <c r="AA26">
        <v>12</v>
      </c>
    </row>
    <row r="27" spans="1:27" ht="18" customHeight="1" x14ac:dyDescent="0.2">
      <c r="A27" s="43" t="s">
        <v>65</v>
      </c>
      <c r="B27" s="67">
        <v>109</v>
      </c>
      <c r="C27" s="77">
        <v>45937</v>
      </c>
      <c r="D27" s="77">
        <f t="shared" si="3"/>
        <v>45939</v>
      </c>
      <c r="E27" s="77">
        <f t="shared" si="3"/>
        <v>45943</v>
      </c>
      <c r="F27" s="77">
        <f t="shared" si="3"/>
        <v>45947</v>
      </c>
      <c r="G27" s="77">
        <f t="shared" si="3"/>
        <v>45952</v>
      </c>
      <c r="H27" s="77">
        <f t="shared" si="3"/>
        <v>45967</v>
      </c>
      <c r="I27" s="77">
        <f t="shared" si="3"/>
        <v>45997</v>
      </c>
      <c r="L27" s="78" t="s">
        <v>85</v>
      </c>
      <c r="M27" s="78" t="s">
        <v>88</v>
      </c>
      <c r="N27" s="78" t="s">
        <v>38</v>
      </c>
      <c r="O27" s="84">
        <v>45908</v>
      </c>
      <c r="P27" s="78">
        <v>84.75</v>
      </c>
      <c r="Q27" s="78">
        <f>INDEX($C$1:$I$1,MATCH(Tabel3[[#This Row],[Type]],Devoirs[[#Headers],[J0]:[J60]],0))</f>
        <v>4</v>
      </c>
      <c r="R27" s="85" cm="1">
        <f t="array" aca="1" ref="R2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45904.542708333342</v>
      </c>
      <c r="S2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45908.505000000012</v>
      </c>
      <c r="T2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45908.563854166678</v>
      </c>
      <c r="U27" s="82">
        <f ca="1">--(Tabel3[[#This Row],[jour]]&lt;&gt;TRUNC(Tabel3[[#This Row],[fin]]))</f>
        <v>0</v>
      </c>
      <c r="V27" s="82">
        <f ca="1">IF(Tabel3[[#This Row],[Type]]="j0",0,--(TRUNC(Tabel3[[#This Row],[debut]])-TRUNC(Tabel3[[#This Row],[fin precedent]])&lt;Tabel3[[#This Row],[delai]]))</f>
        <v>0</v>
      </c>
      <c r="X27"/>
      <c r="Y27" s="75">
        <v>45923</v>
      </c>
      <c r="Z27">
        <v>923.00000000000011</v>
      </c>
      <c r="AA27">
        <v>15</v>
      </c>
    </row>
    <row r="28" spans="1:27" ht="18" customHeight="1" x14ac:dyDescent="0.2">
      <c r="A28" s="44" t="s">
        <v>66</v>
      </c>
      <c r="B28" s="67">
        <v>92</v>
      </c>
      <c r="C28" s="77">
        <v>45912</v>
      </c>
      <c r="D28" s="77">
        <f t="shared" si="3"/>
        <v>45914</v>
      </c>
      <c r="E28" s="77">
        <f t="shared" si="3"/>
        <v>45918</v>
      </c>
      <c r="F28" s="77">
        <f t="shared" si="3"/>
        <v>45922</v>
      </c>
      <c r="G28" s="77">
        <f t="shared" si="3"/>
        <v>45927</v>
      </c>
      <c r="H28" s="77">
        <f t="shared" si="3"/>
        <v>45942</v>
      </c>
      <c r="I28" s="77">
        <f t="shared" si="3"/>
        <v>45972</v>
      </c>
      <c r="L28" s="78" t="s">
        <v>135</v>
      </c>
      <c r="M28" s="78" t="s">
        <v>140</v>
      </c>
      <c r="N28" s="78" t="s">
        <v>1</v>
      </c>
      <c r="O28" s="84">
        <v>45908</v>
      </c>
      <c r="P28" s="78">
        <v>69</v>
      </c>
      <c r="Q28" s="78">
        <f>INDEX($C$1:$I$1,MATCH(Tabel3[[#This Row],[Type]],Devoirs[[#Headers],[J0]:[J60]],0))</f>
        <v>0</v>
      </c>
      <c r="R28" s="85" t="str" cm="1">
        <f t="array" ref="R28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2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45908.563854166678</v>
      </c>
      <c r="T2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45908.611770833348</v>
      </c>
      <c r="U28" s="82">
        <f ca="1">--(Tabel3[[#This Row],[jour]]&lt;&gt;TRUNC(Tabel3[[#This Row],[fin]]))</f>
        <v>0</v>
      </c>
      <c r="V28" s="82">
        <f>IF(Tabel3[[#This Row],[Type]]="j0",0,--(TRUNC(Tabel3[[#This Row],[debut]])-TRUNC(Tabel3[[#This Row],[fin precedent]])&lt;Tabel3[[#This Row],[delai]]))</f>
        <v>0</v>
      </c>
      <c r="X28"/>
      <c r="Y28" s="75">
        <v>45924</v>
      </c>
      <c r="Z28">
        <v>1378.0500000000002</v>
      </c>
      <c r="AA28">
        <v>21</v>
      </c>
    </row>
    <row r="29" spans="1:27" ht="18" customHeight="1" x14ac:dyDescent="0.2">
      <c r="A29" s="44" t="s">
        <v>67</v>
      </c>
      <c r="B29" s="67">
        <v>33</v>
      </c>
      <c r="C29" s="77">
        <v>45922</v>
      </c>
      <c r="D29" s="77">
        <f t="shared" si="3"/>
        <v>45924</v>
      </c>
      <c r="E29" s="77">
        <f t="shared" si="3"/>
        <v>45928</v>
      </c>
      <c r="F29" s="77">
        <f t="shared" si="3"/>
        <v>45932</v>
      </c>
      <c r="G29" s="77">
        <f t="shared" si="3"/>
        <v>45937</v>
      </c>
      <c r="H29" s="77">
        <f t="shared" si="3"/>
        <v>45952</v>
      </c>
      <c r="I29" s="77">
        <f t="shared" si="3"/>
        <v>45982</v>
      </c>
      <c r="L29" s="78" t="s">
        <v>125</v>
      </c>
      <c r="M29" s="78" t="s">
        <v>133</v>
      </c>
      <c r="N29" s="78" t="s">
        <v>1</v>
      </c>
      <c r="O29" s="84">
        <v>45908</v>
      </c>
      <c r="P29" s="78">
        <v>78</v>
      </c>
      <c r="Q29" s="78">
        <f>INDEX($C$1:$I$1,MATCH(Tabel3[[#This Row],[Type]],Devoirs[[#Headers],[J0]:[J60]],0))</f>
        <v>0</v>
      </c>
      <c r="R29" s="85" t="str" cm="1">
        <f t="array" ref="R29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2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45908.611770833348</v>
      </c>
      <c r="T2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45908.665937500016</v>
      </c>
      <c r="U29" s="82">
        <f ca="1">--(Tabel3[[#This Row],[jour]]&lt;&gt;TRUNC(Tabel3[[#This Row],[fin]]))</f>
        <v>0</v>
      </c>
      <c r="V29" s="82">
        <f>IF(Tabel3[[#This Row],[Type]]="j0",0,--(TRUNC(Tabel3[[#This Row],[debut]])-TRUNC(Tabel3[[#This Row],[fin precedent]])&lt;Tabel3[[#This Row],[delai]]))</f>
        <v>0</v>
      </c>
      <c r="X29"/>
      <c r="Y29" s="75">
        <v>45925</v>
      </c>
      <c r="Z29">
        <v>979.9</v>
      </c>
      <c r="AA29">
        <v>16</v>
      </c>
    </row>
    <row r="30" spans="1:27" ht="18" customHeight="1" x14ac:dyDescent="0.2">
      <c r="A30" s="44" t="s">
        <v>68</v>
      </c>
      <c r="B30" s="67">
        <v>60</v>
      </c>
      <c r="C30" s="77">
        <v>45924</v>
      </c>
      <c r="D30" s="77">
        <f t="shared" si="3"/>
        <v>45926</v>
      </c>
      <c r="E30" s="77">
        <f t="shared" si="3"/>
        <v>45930</v>
      </c>
      <c r="F30" s="77">
        <f t="shared" si="3"/>
        <v>45934</v>
      </c>
      <c r="G30" s="77">
        <f t="shared" si="3"/>
        <v>45939</v>
      </c>
      <c r="H30" s="77">
        <f t="shared" si="3"/>
        <v>45954</v>
      </c>
      <c r="I30" s="77">
        <f t="shared" si="3"/>
        <v>45984</v>
      </c>
      <c r="L30" s="78" t="s">
        <v>135</v>
      </c>
      <c r="M30" s="78" t="s">
        <v>159</v>
      </c>
      <c r="N30" s="78" t="s">
        <v>1</v>
      </c>
      <c r="O30" s="84">
        <v>45908</v>
      </c>
      <c r="P30" s="78">
        <v>83</v>
      </c>
      <c r="Q30" s="78">
        <f>INDEX($C$1:$I$1,MATCH(Tabel3[[#This Row],[Type]],Devoirs[[#Headers],[J0]:[J60]],0))</f>
        <v>0</v>
      </c>
      <c r="R30" s="85" t="str" cm="1">
        <f t="array" ref="R30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3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45908.665937500016</v>
      </c>
      <c r="T3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45908.723576388904</v>
      </c>
      <c r="U30" s="82">
        <f ca="1">--(Tabel3[[#This Row],[jour]]&lt;&gt;TRUNC(Tabel3[[#This Row],[fin]]))</f>
        <v>0</v>
      </c>
      <c r="V30" s="82">
        <f>IF(Tabel3[[#This Row],[Type]]="j0",0,--(TRUNC(Tabel3[[#This Row],[debut]])-TRUNC(Tabel3[[#This Row],[fin precedent]])&lt;Tabel3[[#This Row],[delai]]))</f>
        <v>0</v>
      </c>
      <c r="X30"/>
      <c r="Y30" s="75">
        <v>45926</v>
      </c>
      <c r="Z30">
        <v>705.75</v>
      </c>
      <c r="AA30">
        <v>14</v>
      </c>
    </row>
    <row r="31" spans="1:27" ht="18" customHeight="1" x14ac:dyDescent="0.2">
      <c r="A31" s="44" t="s">
        <v>69</v>
      </c>
      <c r="B31" s="67">
        <v>48</v>
      </c>
      <c r="C31" s="77">
        <v>45916</v>
      </c>
      <c r="D31" s="77">
        <f t="shared" si="3"/>
        <v>45918</v>
      </c>
      <c r="E31" s="77">
        <f t="shared" si="3"/>
        <v>45922</v>
      </c>
      <c r="F31" s="77">
        <f t="shared" si="3"/>
        <v>45926</v>
      </c>
      <c r="G31" s="77">
        <f t="shared" si="3"/>
        <v>45931</v>
      </c>
      <c r="H31" s="77">
        <f t="shared" si="3"/>
        <v>45946</v>
      </c>
      <c r="I31" s="77">
        <f t="shared" si="3"/>
        <v>45976</v>
      </c>
      <c r="L31" s="78" t="s">
        <v>104</v>
      </c>
      <c r="M31" s="78" t="s">
        <v>115</v>
      </c>
      <c r="N31" s="78" t="s">
        <v>1</v>
      </c>
      <c r="O31" s="84">
        <v>45908</v>
      </c>
      <c r="P31" s="78">
        <v>85</v>
      </c>
      <c r="Q31" s="78">
        <f>INDEX($C$1:$I$1,MATCH(Tabel3[[#This Row],[Type]],Devoirs[[#Headers],[J0]:[J60]],0))</f>
        <v>0</v>
      </c>
      <c r="R31" s="85" t="str" cm="1">
        <f t="array" ref="R31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3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45908.723576388904</v>
      </c>
      <c r="T3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45909.365937500021</v>
      </c>
      <c r="U31" s="82">
        <f ca="1">--(Tabel3[[#This Row],[jour]]&lt;&gt;TRUNC(Tabel3[[#This Row],[fin]]))</f>
        <v>1</v>
      </c>
      <c r="V31" s="82">
        <f>IF(Tabel3[[#This Row],[Type]]="j0",0,--(TRUNC(Tabel3[[#This Row],[debut]])-TRUNC(Tabel3[[#This Row],[fin precedent]])&lt;Tabel3[[#This Row],[delai]]))</f>
        <v>0</v>
      </c>
      <c r="X31"/>
      <c r="Y31" s="75">
        <v>45927</v>
      </c>
      <c r="Z31">
        <v>664.19999999999993</v>
      </c>
      <c r="AA31">
        <v>13</v>
      </c>
    </row>
    <row r="32" spans="1:27" ht="18" customHeight="1" x14ac:dyDescent="0.2">
      <c r="A32" s="44" t="s">
        <v>70</v>
      </c>
      <c r="B32" s="67">
        <v>84</v>
      </c>
      <c r="C32" s="77">
        <v>45937</v>
      </c>
      <c r="D32" s="77">
        <f t="shared" si="3"/>
        <v>45939</v>
      </c>
      <c r="E32" s="77">
        <f t="shared" si="3"/>
        <v>45943</v>
      </c>
      <c r="F32" s="77">
        <f t="shared" si="3"/>
        <v>45947</v>
      </c>
      <c r="G32" s="77">
        <f t="shared" si="3"/>
        <v>45952</v>
      </c>
      <c r="H32" s="77">
        <f t="shared" si="3"/>
        <v>45967</v>
      </c>
      <c r="I32" s="77">
        <f t="shared" si="3"/>
        <v>45997</v>
      </c>
      <c r="L32" s="78" t="s">
        <v>104</v>
      </c>
      <c r="M32" s="78" t="s">
        <v>113</v>
      </c>
      <c r="N32" s="78" t="s">
        <v>1</v>
      </c>
      <c r="O32" s="84">
        <v>45908</v>
      </c>
      <c r="P32" s="78">
        <v>93</v>
      </c>
      <c r="Q32" s="78">
        <f>INDEX($C$1:$I$1,MATCH(Tabel3[[#This Row],[Type]],Devoirs[[#Headers],[J0]:[J60]],0))</f>
        <v>0</v>
      </c>
      <c r="R32" s="85" t="str" cm="1">
        <f t="array" ref="R32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3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45909.365937500021</v>
      </c>
      <c r="T3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45909.430520833354</v>
      </c>
      <c r="U32" s="82">
        <f ca="1">--(Tabel3[[#This Row],[jour]]&lt;&gt;TRUNC(Tabel3[[#This Row],[fin]]))</f>
        <v>1</v>
      </c>
      <c r="V32" s="82">
        <f>IF(Tabel3[[#This Row],[Type]]="j0",0,--(TRUNC(Tabel3[[#This Row],[debut]])-TRUNC(Tabel3[[#This Row],[fin precedent]])&lt;Tabel3[[#This Row],[delai]]))</f>
        <v>0</v>
      </c>
      <c r="X32"/>
      <c r="Y32" s="75">
        <v>45928</v>
      </c>
      <c r="Z32">
        <v>552.45000000000005</v>
      </c>
      <c r="AA32">
        <v>11</v>
      </c>
    </row>
    <row r="33" spans="1:27" ht="18" customHeight="1" x14ac:dyDescent="0.2">
      <c r="A33" s="44" t="s">
        <v>71</v>
      </c>
      <c r="B33" s="67">
        <v>101</v>
      </c>
      <c r="C33" s="77">
        <v>45937</v>
      </c>
      <c r="D33" s="77">
        <f t="shared" si="3"/>
        <v>45939</v>
      </c>
      <c r="E33" s="77">
        <f t="shared" si="3"/>
        <v>45943</v>
      </c>
      <c r="F33" s="77">
        <f t="shared" si="3"/>
        <v>45947</v>
      </c>
      <c r="G33" s="77">
        <f t="shared" si="3"/>
        <v>45952</v>
      </c>
      <c r="H33" s="77">
        <f t="shared" si="3"/>
        <v>45967</v>
      </c>
      <c r="I33" s="77">
        <f t="shared" si="3"/>
        <v>45997</v>
      </c>
      <c r="L33" s="78" t="s">
        <v>125</v>
      </c>
      <c r="M33" s="78" t="s">
        <v>130</v>
      </c>
      <c r="N33" s="78" t="s">
        <v>1</v>
      </c>
      <c r="O33" s="84">
        <v>45908</v>
      </c>
      <c r="P33" s="78">
        <v>101</v>
      </c>
      <c r="Q33" s="78">
        <f>INDEX($C$1:$I$1,MATCH(Tabel3[[#This Row],[Type]],Devoirs[[#Headers],[J0]:[J60]],0))</f>
        <v>0</v>
      </c>
      <c r="R33" s="85" t="str" cm="1">
        <f t="array" ref="R33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3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45909.430520833354</v>
      </c>
      <c r="T3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45909.500659722245</v>
      </c>
      <c r="U33" s="82">
        <f ca="1">--(Tabel3[[#This Row],[jour]]&lt;&gt;TRUNC(Tabel3[[#This Row],[fin]]))</f>
        <v>1</v>
      </c>
      <c r="V33" s="82">
        <f>IF(Tabel3[[#This Row],[Type]]="j0",0,--(TRUNC(Tabel3[[#This Row],[debut]])-TRUNC(Tabel3[[#This Row],[fin precedent]])&lt;Tabel3[[#This Row],[delai]]))</f>
        <v>0</v>
      </c>
      <c r="X33"/>
      <c r="Y33" s="75">
        <v>45929</v>
      </c>
      <c r="Z33">
        <v>637</v>
      </c>
      <c r="AA33">
        <v>11</v>
      </c>
    </row>
    <row r="34" spans="1:27" ht="18" customHeight="1" x14ac:dyDescent="0.2">
      <c r="A34" s="45" t="s">
        <v>72</v>
      </c>
      <c r="B34" s="68">
        <v>82</v>
      </c>
      <c r="C34" s="77">
        <v>45918</v>
      </c>
      <c r="D34" s="77">
        <f t="shared" si="3"/>
        <v>45920</v>
      </c>
      <c r="E34" s="77">
        <f t="shared" si="3"/>
        <v>45924</v>
      </c>
      <c r="F34" s="77">
        <f t="shared" si="3"/>
        <v>45928</v>
      </c>
      <c r="G34" s="77">
        <f t="shared" si="3"/>
        <v>45933</v>
      </c>
      <c r="H34" s="77">
        <f t="shared" si="3"/>
        <v>45948</v>
      </c>
      <c r="I34" s="77">
        <f t="shared" si="3"/>
        <v>45978</v>
      </c>
      <c r="L34" s="78" t="s">
        <v>104</v>
      </c>
      <c r="M34" s="78" t="s">
        <v>106</v>
      </c>
      <c r="N34" s="78" t="s">
        <v>1</v>
      </c>
      <c r="O34" s="84">
        <v>45908</v>
      </c>
      <c r="P34" s="78">
        <v>106</v>
      </c>
      <c r="Q34" s="78">
        <f>INDEX($C$1:$I$1,MATCH(Tabel3[[#This Row],[Type]],Devoirs[[#Headers],[J0]:[J60]],0))</f>
        <v>0</v>
      </c>
      <c r="R34" s="85" t="str" cm="1">
        <f t="array" ref="R34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3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45909.500659722245</v>
      </c>
      <c r="T3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45909.574270833356</v>
      </c>
      <c r="U34" s="82">
        <f ca="1">--(Tabel3[[#This Row],[jour]]&lt;&gt;TRUNC(Tabel3[[#This Row],[fin]]))</f>
        <v>1</v>
      </c>
      <c r="V34" s="82">
        <f>IF(Tabel3[[#This Row],[Type]]="j0",0,--(TRUNC(Tabel3[[#This Row],[debut]])-TRUNC(Tabel3[[#This Row],[fin precedent]])&lt;Tabel3[[#This Row],[delai]]))</f>
        <v>0</v>
      </c>
      <c r="X34"/>
      <c r="Y34" s="75">
        <v>45930</v>
      </c>
      <c r="Z34">
        <v>810.3</v>
      </c>
      <c r="AA34">
        <v>12</v>
      </c>
    </row>
    <row r="35" spans="1:27" ht="18" customHeight="1" x14ac:dyDescent="0.2">
      <c r="A35" s="46" t="s">
        <v>73</v>
      </c>
      <c r="B35" s="68">
        <v>89</v>
      </c>
      <c r="C35" s="77">
        <v>45931</v>
      </c>
      <c r="D35" s="77">
        <f t="shared" si="3"/>
        <v>45933</v>
      </c>
      <c r="E35" s="77">
        <f t="shared" si="3"/>
        <v>45937</v>
      </c>
      <c r="F35" s="77">
        <f t="shared" si="3"/>
        <v>45941</v>
      </c>
      <c r="G35" s="77">
        <f t="shared" si="3"/>
        <v>45946</v>
      </c>
      <c r="H35" s="77">
        <f t="shared" si="3"/>
        <v>45961</v>
      </c>
      <c r="I35" s="77">
        <f t="shared" si="3"/>
        <v>45991</v>
      </c>
      <c r="L35" s="78" t="s">
        <v>85</v>
      </c>
      <c r="M35" s="78" t="s">
        <v>89</v>
      </c>
      <c r="N35" s="78" t="s">
        <v>38</v>
      </c>
      <c r="O35" s="84">
        <v>45909</v>
      </c>
      <c r="P35" s="78">
        <v>49.5</v>
      </c>
      <c r="Q35" s="78">
        <f>INDEX($C$1:$I$1,MATCH(Tabel3[[#This Row],[Type]],Devoirs[[#Headers],[J0]:[J60]],0))</f>
        <v>4</v>
      </c>
      <c r="R35" s="85" cm="1">
        <f t="array" aca="1" ref="R3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45904.542708333342</v>
      </c>
      <c r="S3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45909.574270833356</v>
      </c>
      <c r="T3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45909.608645833359</v>
      </c>
      <c r="U35" s="82">
        <f ca="1">--(Tabel3[[#This Row],[jour]]&lt;&gt;TRUNC(Tabel3[[#This Row],[fin]]))</f>
        <v>0</v>
      </c>
      <c r="V35" s="82">
        <f ca="1">IF(Tabel3[[#This Row],[Type]]="j0",0,--(TRUNC(Tabel3[[#This Row],[debut]])-TRUNC(Tabel3[[#This Row],[fin precedent]])&lt;Tabel3[[#This Row],[delai]]))</f>
        <v>0</v>
      </c>
      <c r="X35"/>
      <c r="Y35" s="75">
        <v>45931</v>
      </c>
      <c r="Z35">
        <v>814</v>
      </c>
      <c r="AA35">
        <v>17</v>
      </c>
    </row>
    <row r="36" spans="1:27" ht="18" customHeight="1" x14ac:dyDescent="0.2">
      <c r="A36" s="42" t="s">
        <v>74</v>
      </c>
      <c r="B36" s="42"/>
      <c r="C36" s="77"/>
      <c r="D36" s="77" t="str">
        <f t="shared" si="3"/>
        <v/>
      </c>
      <c r="E36" s="77" t="str">
        <f t="shared" si="3"/>
        <v/>
      </c>
      <c r="F36" s="77" t="str">
        <f t="shared" si="3"/>
        <v/>
      </c>
      <c r="G36" s="77" t="str">
        <f t="shared" si="3"/>
        <v/>
      </c>
      <c r="H36" s="77" t="str">
        <f t="shared" si="3"/>
        <v/>
      </c>
      <c r="I36" s="77" t="str">
        <f t="shared" si="3"/>
        <v/>
      </c>
      <c r="L36" s="78" t="s">
        <v>85</v>
      </c>
      <c r="M36" s="78" t="s">
        <v>90</v>
      </c>
      <c r="N36" s="78" t="s">
        <v>38</v>
      </c>
      <c r="O36" s="84">
        <v>45909</v>
      </c>
      <c r="P36" s="78">
        <v>75</v>
      </c>
      <c r="Q36" s="78">
        <f>INDEX($C$1:$I$1,MATCH(Tabel3[[#This Row],[Type]],Devoirs[[#Headers],[J0]:[J60]],0))</f>
        <v>4</v>
      </c>
      <c r="R36" s="85" cm="1">
        <f t="array" aca="1" ref="R3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45904.542708333342</v>
      </c>
      <c r="S3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45909.608645833359</v>
      </c>
      <c r="T3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45909.660729166695</v>
      </c>
      <c r="U36" s="82">
        <f ca="1">--(Tabel3[[#This Row],[jour]]&lt;&gt;TRUNC(Tabel3[[#This Row],[fin]]))</f>
        <v>0</v>
      </c>
      <c r="V36" s="82">
        <f ca="1">IF(Tabel3[[#This Row],[Type]]="j0",0,--(TRUNC(Tabel3[[#This Row],[debut]])-TRUNC(Tabel3[[#This Row],[fin precedent]])&lt;Tabel3[[#This Row],[delai]]))</f>
        <v>0</v>
      </c>
      <c r="X36"/>
      <c r="Y36" s="75">
        <v>45932</v>
      </c>
      <c r="Z36">
        <v>906.15</v>
      </c>
      <c r="AA36">
        <v>16</v>
      </c>
    </row>
    <row r="37" spans="1:27" ht="18" customHeight="1" x14ac:dyDescent="0.2">
      <c r="A37" s="47" t="s">
        <v>75</v>
      </c>
      <c r="B37" s="69">
        <v>60</v>
      </c>
      <c r="C37" s="77">
        <v>45918</v>
      </c>
      <c r="D37" s="77">
        <f t="shared" si="3"/>
        <v>45920</v>
      </c>
      <c r="E37" s="77">
        <f t="shared" si="3"/>
        <v>45924</v>
      </c>
      <c r="F37" s="77">
        <f t="shared" si="3"/>
        <v>45928</v>
      </c>
      <c r="G37" s="77">
        <f t="shared" si="3"/>
        <v>45933</v>
      </c>
      <c r="H37" s="77">
        <f t="shared" si="3"/>
        <v>45948</v>
      </c>
      <c r="I37" s="77">
        <f t="shared" si="3"/>
        <v>45978</v>
      </c>
      <c r="L37" s="78" t="s">
        <v>104</v>
      </c>
      <c r="M37" s="78" t="s">
        <v>107</v>
      </c>
      <c r="N37" s="78" t="s">
        <v>38</v>
      </c>
      <c r="O37" s="84">
        <v>45909</v>
      </c>
      <c r="P37" s="78">
        <v>78.75</v>
      </c>
      <c r="Q37" s="78">
        <f>INDEX($C$1:$I$1,MATCH(Tabel3[[#This Row],[Type]],Devoirs[[#Headers],[J0]:[J60]],0))</f>
        <v>4</v>
      </c>
      <c r="R37" s="85" cm="1">
        <f t="array" aca="1" ref="R3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45904.472083333341</v>
      </c>
      <c r="S3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45909.660729166695</v>
      </c>
      <c r="T3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45909.715416666695</v>
      </c>
      <c r="U37" s="82">
        <f ca="1">--(Tabel3[[#This Row],[jour]]&lt;&gt;TRUNC(Tabel3[[#This Row],[fin]]))</f>
        <v>0</v>
      </c>
      <c r="V37" s="82">
        <f ca="1">IF(Tabel3[[#This Row],[Type]]="j0",0,--(TRUNC(Tabel3[[#This Row],[debut]])-TRUNC(Tabel3[[#This Row],[fin precedent]])&lt;Tabel3[[#This Row],[delai]]))</f>
        <v>0</v>
      </c>
      <c r="X37"/>
      <c r="Y37" s="75">
        <v>45933</v>
      </c>
      <c r="Z37">
        <v>1045.0999999999999</v>
      </c>
      <c r="AA37">
        <v>22</v>
      </c>
    </row>
    <row r="38" spans="1:27" ht="18" customHeight="1" x14ac:dyDescent="0.2">
      <c r="A38" s="48" t="s">
        <v>76</v>
      </c>
      <c r="B38" s="69">
        <v>114</v>
      </c>
      <c r="C38" s="77">
        <v>45930</v>
      </c>
      <c r="D38" s="77">
        <f t="shared" ref="D38:I53" si="4">IF($C38&gt;0,$C38+D$2,"")</f>
        <v>45932</v>
      </c>
      <c r="E38" s="77">
        <f t="shared" si="4"/>
        <v>45936</v>
      </c>
      <c r="F38" s="77">
        <f t="shared" si="4"/>
        <v>45940</v>
      </c>
      <c r="G38" s="77">
        <f t="shared" si="4"/>
        <v>45945</v>
      </c>
      <c r="H38" s="77">
        <f t="shared" si="4"/>
        <v>45960</v>
      </c>
      <c r="I38" s="77">
        <f t="shared" si="4"/>
        <v>45990</v>
      </c>
      <c r="L38" s="78" t="s">
        <v>125</v>
      </c>
      <c r="M38" s="78" t="s">
        <v>128</v>
      </c>
      <c r="N38" s="78" t="s">
        <v>1</v>
      </c>
      <c r="O38" s="84">
        <v>45909</v>
      </c>
      <c r="P38" s="78">
        <v>70</v>
      </c>
      <c r="Q38" s="78">
        <f>INDEX($C$1:$I$1,MATCH(Tabel3[[#This Row],[Type]],Devoirs[[#Headers],[J0]:[J60]],0))</f>
        <v>0</v>
      </c>
      <c r="R38" s="85" t="str" cm="1">
        <f t="array" ref="R38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3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45909.715416666695</v>
      </c>
      <c r="T3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45910.34736111114</v>
      </c>
      <c r="U38" s="82">
        <f ca="1">--(Tabel3[[#This Row],[jour]]&lt;&gt;TRUNC(Tabel3[[#This Row],[fin]]))</f>
        <v>1</v>
      </c>
      <c r="V38" s="82">
        <f>IF(Tabel3[[#This Row],[Type]]="j0",0,--(TRUNC(Tabel3[[#This Row],[debut]])-TRUNC(Tabel3[[#This Row],[fin precedent]])&lt;Tabel3[[#This Row],[delai]]))</f>
        <v>0</v>
      </c>
      <c r="X38"/>
      <c r="Y38" s="75">
        <v>45934</v>
      </c>
      <c r="Z38">
        <v>673.2</v>
      </c>
      <c r="AA38">
        <v>14</v>
      </c>
    </row>
    <row r="39" spans="1:27" ht="18" customHeight="1" x14ac:dyDescent="0.2">
      <c r="A39" s="48" t="s">
        <v>77</v>
      </c>
      <c r="B39" s="69">
        <v>108</v>
      </c>
      <c r="C39" s="77">
        <v>45929</v>
      </c>
      <c r="D39" s="77">
        <f t="shared" si="4"/>
        <v>45931</v>
      </c>
      <c r="E39" s="77">
        <f t="shared" si="4"/>
        <v>45935</v>
      </c>
      <c r="F39" s="77">
        <f t="shared" si="4"/>
        <v>45939</v>
      </c>
      <c r="G39" s="77">
        <f t="shared" si="4"/>
        <v>45944</v>
      </c>
      <c r="H39" s="77">
        <f t="shared" si="4"/>
        <v>45959</v>
      </c>
      <c r="I39" s="77">
        <f t="shared" si="4"/>
        <v>45989</v>
      </c>
      <c r="L39" s="78" t="s">
        <v>135</v>
      </c>
      <c r="M39" s="78" t="s">
        <v>156</v>
      </c>
      <c r="N39" s="78" t="s">
        <v>1</v>
      </c>
      <c r="O39" s="84">
        <v>45909</v>
      </c>
      <c r="P39" s="78">
        <v>108</v>
      </c>
      <c r="Q39" s="78">
        <f>INDEX($C$1:$I$1,MATCH(Tabel3[[#This Row],[Type]],Devoirs[[#Headers],[J0]:[J60]],0))</f>
        <v>0</v>
      </c>
      <c r="R39" s="85" t="str" cm="1">
        <f t="array" ref="R39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3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45910.34736111114</v>
      </c>
      <c r="T3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45910.422361111137</v>
      </c>
      <c r="U39" s="82">
        <f ca="1">--(Tabel3[[#This Row],[jour]]&lt;&gt;TRUNC(Tabel3[[#This Row],[fin]]))</f>
        <v>1</v>
      </c>
      <c r="V39" s="82">
        <f>IF(Tabel3[[#This Row],[Type]]="j0",0,--(TRUNC(Tabel3[[#This Row],[debut]])-TRUNC(Tabel3[[#This Row],[fin precedent]])&lt;Tabel3[[#This Row],[delai]]))</f>
        <v>0</v>
      </c>
      <c r="X39"/>
      <c r="Y39" s="75">
        <v>45935</v>
      </c>
      <c r="Z39">
        <v>548.54999999999995</v>
      </c>
      <c r="AA39">
        <v>11</v>
      </c>
    </row>
    <row r="40" spans="1:27" ht="18" customHeight="1" x14ac:dyDescent="0.2">
      <c r="A40" s="48" t="s">
        <v>78</v>
      </c>
      <c r="B40" s="69">
        <v>87</v>
      </c>
      <c r="C40" s="77">
        <v>45912</v>
      </c>
      <c r="D40" s="77">
        <f t="shared" si="4"/>
        <v>45914</v>
      </c>
      <c r="E40" s="77">
        <f t="shared" si="4"/>
        <v>45918</v>
      </c>
      <c r="F40" s="77">
        <f t="shared" si="4"/>
        <v>45922</v>
      </c>
      <c r="G40" s="77">
        <f t="shared" si="4"/>
        <v>45927</v>
      </c>
      <c r="H40" s="77">
        <f t="shared" si="4"/>
        <v>45942</v>
      </c>
      <c r="I40" s="77">
        <f t="shared" si="4"/>
        <v>45972</v>
      </c>
      <c r="L40" s="78" t="s">
        <v>74</v>
      </c>
      <c r="M40" s="78" t="s">
        <v>83</v>
      </c>
      <c r="N40" s="78" t="s">
        <v>1</v>
      </c>
      <c r="O40" s="84">
        <v>45909</v>
      </c>
      <c r="P40" s="78">
        <v>111</v>
      </c>
      <c r="Q40" s="78">
        <f>INDEX($C$1:$I$1,MATCH(Tabel3[[#This Row],[Type]],Devoirs[[#Headers],[J0]:[J60]],0))</f>
        <v>0</v>
      </c>
      <c r="R40" s="85" t="str" cm="1">
        <f t="array" ref="R40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4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45910.422361111137</v>
      </c>
      <c r="T4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45910.499444444467</v>
      </c>
      <c r="U40" s="82">
        <f ca="1">--(Tabel3[[#This Row],[jour]]&lt;&gt;TRUNC(Tabel3[[#This Row],[fin]]))</f>
        <v>1</v>
      </c>
      <c r="V40" s="82">
        <f>IF(Tabel3[[#This Row],[Type]]="j0",0,--(TRUNC(Tabel3[[#This Row],[debut]])-TRUNC(Tabel3[[#This Row],[fin precedent]])&lt;Tabel3[[#This Row],[delai]]))</f>
        <v>0</v>
      </c>
      <c r="X40"/>
      <c r="Y40" s="75">
        <v>45936</v>
      </c>
      <c r="Z40">
        <v>360.25</v>
      </c>
      <c r="AA40">
        <v>5</v>
      </c>
    </row>
    <row r="41" spans="1:27" ht="18" customHeight="1" x14ac:dyDescent="0.2">
      <c r="A41" s="48" t="s">
        <v>79</v>
      </c>
      <c r="B41" s="69">
        <v>81</v>
      </c>
      <c r="C41" s="77">
        <v>45938</v>
      </c>
      <c r="D41" s="77">
        <f t="shared" si="4"/>
        <v>45940</v>
      </c>
      <c r="E41" s="77">
        <f t="shared" si="4"/>
        <v>45944</v>
      </c>
      <c r="F41" s="77">
        <f t="shared" si="4"/>
        <v>45948</v>
      </c>
      <c r="G41" s="77">
        <f t="shared" si="4"/>
        <v>45953</v>
      </c>
      <c r="H41" s="77">
        <f t="shared" si="4"/>
        <v>45968</v>
      </c>
      <c r="I41" s="77">
        <f t="shared" si="4"/>
        <v>45998</v>
      </c>
      <c r="L41" s="78" t="s">
        <v>135</v>
      </c>
      <c r="M41" s="78" t="s">
        <v>140</v>
      </c>
      <c r="N41" s="78" t="s">
        <v>37</v>
      </c>
      <c r="O41" s="84">
        <v>45910</v>
      </c>
      <c r="P41" s="78">
        <v>62.1</v>
      </c>
      <c r="Q41" s="78">
        <f>INDEX($C$1:$I$1,MATCH(Tabel3[[#This Row],[Type]],Devoirs[[#Headers],[J0]:[J60]],0))</f>
        <v>2</v>
      </c>
      <c r="R41" s="85" cm="1">
        <f t="array" aca="1" ref="R4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45901.355555555558</v>
      </c>
      <c r="S4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45910.499444444467</v>
      </c>
      <c r="T4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45910.542569444464</v>
      </c>
      <c r="U41" s="82">
        <f ca="1">--(Tabel3[[#This Row],[jour]]&lt;&gt;TRUNC(Tabel3[[#This Row],[fin]]))</f>
        <v>0</v>
      </c>
      <c r="V41" s="82">
        <f ca="1">IF(Tabel3[[#This Row],[Type]]="j0",0,--(TRUNC(Tabel3[[#This Row],[debut]])-TRUNC(Tabel3[[#This Row],[fin precedent]])&lt;Tabel3[[#This Row],[delai]]))</f>
        <v>0</v>
      </c>
      <c r="X41"/>
      <c r="Y41" s="75">
        <v>45937</v>
      </c>
      <c r="Z41">
        <v>736.5</v>
      </c>
      <c r="AA41">
        <v>12</v>
      </c>
    </row>
    <row r="42" spans="1:27" ht="18" customHeight="1" x14ac:dyDescent="0.2">
      <c r="A42" s="48" t="s">
        <v>80</v>
      </c>
      <c r="B42" s="69">
        <v>49</v>
      </c>
      <c r="C42" s="77">
        <v>45916</v>
      </c>
      <c r="D42" s="77">
        <f t="shared" si="4"/>
        <v>45918</v>
      </c>
      <c r="E42" s="77">
        <f t="shared" si="4"/>
        <v>45922</v>
      </c>
      <c r="F42" s="77">
        <f t="shared" si="4"/>
        <v>45926</v>
      </c>
      <c r="G42" s="77">
        <f t="shared" si="4"/>
        <v>45931</v>
      </c>
      <c r="H42" s="77">
        <f t="shared" si="4"/>
        <v>45946</v>
      </c>
      <c r="I42" s="77">
        <f t="shared" si="4"/>
        <v>45976</v>
      </c>
      <c r="L42" s="78" t="s">
        <v>125</v>
      </c>
      <c r="M42" s="78" t="s">
        <v>133</v>
      </c>
      <c r="N42" s="78" t="s">
        <v>37</v>
      </c>
      <c r="O42" s="84">
        <v>45910</v>
      </c>
      <c r="P42" s="78">
        <v>70.2</v>
      </c>
      <c r="Q42" s="78">
        <f>INDEX($C$1:$I$1,MATCH(Tabel3[[#This Row],[Type]],Devoirs[[#Headers],[J0]:[J60]],0))</f>
        <v>2</v>
      </c>
      <c r="R42" s="85" cm="1">
        <f t="array" aca="1" ref="R4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45908.665937500016</v>
      </c>
      <c r="S4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45910.542569444464</v>
      </c>
      <c r="T4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45910.591319444466</v>
      </c>
      <c r="U42" s="82">
        <f ca="1">--(Tabel3[[#This Row],[jour]]&lt;&gt;TRUNC(Tabel3[[#This Row],[fin]]))</f>
        <v>0</v>
      </c>
      <c r="V42" s="82">
        <f ca="1">IF(Tabel3[[#This Row],[Type]]="j0",0,--(TRUNC(Tabel3[[#This Row],[debut]])-TRUNC(Tabel3[[#This Row],[fin precedent]])&lt;Tabel3[[#This Row],[delai]]))</f>
        <v>0</v>
      </c>
      <c r="X42"/>
      <c r="Y42" s="75">
        <v>45938</v>
      </c>
      <c r="Z42">
        <v>723.55</v>
      </c>
      <c r="AA42">
        <v>17</v>
      </c>
    </row>
    <row r="43" spans="1:27" ht="18" customHeight="1" x14ac:dyDescent="0.2">
      <c r="A43" s="48" t="s">
        <v>81</v>
      </c>
      <c r="B43" s="69">
        <v>106</v>
      </c>
      <c r="C43" s="77">
        <v>45933</v>
      </c>
      <c r="D43" s="77">
        <f t="shared" si="4"/>
        <v>45935</v>
      </c>
      <c r="E43" s="77">
        <f t="shared" si="4"/>
        <v>45939</v>
      </c>
      <c r="F43" s="77">
        <f t="shared" si="4"/>
        <v>45943</v>
      </c>
      <c r="G43" s="77">
        <f t="shared" si="4"/>
        <v>45948</v>
      </c>
      <c r="H43" s="77">
        <f t="shared" si="4"/>
        <v>45963</v>
      </c>
      <c r="I43" s="77">
        <f t="shared" si="4"/>
        <v>45993</v>
      </c>
      <c r="L43" s="78" t="s">
        <v>135</v>
      </c>
      <c r="M43" s="78" t="s">
        <v>159</v>
      </c>
      <c r="N43" s="78" t="s">
        <v>37</v>
      </c>
      <c r="O43" s="84">
        <v>45910</v>
      </c>
      <c r="P43" s="78">
        <v>74.7</v>
      </c>
      <c r="Q43" s="78">
        <f>INDEX($C$1:$I$1,MATCH(Tabel3[[#This Row],[Type]],Devoirs[[#Headers],[J0]:[J60]],0))</f>
        <v>2</v>
      </c>
      <c r="R43" s="85" cm="1">
        <f t="array" aca="1" ref="R4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45901.355555555558</v>
      </c>
      <c r="S4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45910.591319444466</v>
      </c>
      <c r="T4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45910.643194444463</v>
      </c>
      <c r="U43" s="82">
        <f ca="1">--(Tabel3[[#This Row],[jour]]&lt;&gt;TRUNC(Tabel3[[#This Row],[fin]]))</f>
        <v>0</v>
      </c>
      <c r="V43" s="82">
        <f ca="1">IF(Tabel3[[#This Row],[Type]]="j0",0,--(TRUNC(Tabel3[[#This Row],[debut]])-TRUNC(Tabel3[[#This Row],[fin precedent]])&lt;Tabel3[[#This Row],[delai]]))</f>
        <v>0</v>
      </c>
      <c r="X43"/>
      <c r="Y43" s="75">
        <v>45939</v>
      </c>
      <c r="Z43">
        <v>1158.9499999999998</v>
      </c>
      <c r="AA43">
        <v>22</v>
      </c>
    </row>
    <row r="44" spans="1:27" ht="18" customHeight="1" x14ac:dyDescent="0.2">
      <c r="A44" s="48" t="s">
        <v>82</v>
      </c>
      <c r="B44" s="69">
        <v>31</v>
      </c>
      <c r="C44" s="77">
        <v>45918</v>
      </c>
      <c r="D44" s="77">
        <f t="shared" si="4"/>
        <v>45920</v>
      </c>
      <c r="E44" s="77">
        <f t="shared" si="4"/>
        <v>45924</v>
      </c>
      <c r="F44" s="77">
        <f t="shared" si="4"/>
        <v>45928</v>
      </c>
      <c r="G44" s="77">
        <f t="shared" si="4"/>
        <v>45933</v>
      </c>
      <c r="H44" s="77">
        <f t="shared" si="4"/>
        <v>45948</v>
      </c>
      <c r="I44" s="77">
        <f t="shared" si="4"/>
        <v>45978</v>
      </c>
      <c r="L44" s="78" t="s">
        <v>104</v>
      </c>
      <c r="M44" s="78" t="s">
        <v>115</v>
      </c>
      <c r="N44" s="78" t="s">
        <v>37</v>
      </c>
      <c r="O44" s="84">
        <v>45910</v>
      </c>
      <c r="P44" s="78">
        <v>76.5</v>
      </c>
      <c r="Q44" s="78">
        <f>INDEX($C$1:$I$1,MATCH(Tabel3[[#This Row],[Type]],Devoirs[[#Headers],[J0]:[J60]],0))</f>
        <v>2</v>
      </c>
      <c r="R44" s="85" cm="1">
        <f t="array" aca="1" ref="R4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45902.487499999996</v>
      </c>
      <c r="S4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45910.643194444463</v>
      </c>
      <c r="T4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45910.696319444462</v>
      </c>
      <c r="U44" s="82">
        <f ca="1">--(Tabel3[[#This Row],[jour]]&lt;&gt;TRUNC(Tabel3[[#This Row],[fin]]))</f>
        <v>0</v>
      </c>
      <c r="V44" s="82">
        <f ca="1">IF(Tabel3[[#This Row],[Type]]="j0",0,--(TRUNC(Tabel3[[#This Row],[debut]])-TRUNC(Tabel3[[#This Row],[fin precedent]])&lt;Tabel3[[#This Row],[delai]]))</f>
        <v>0</v>
      </c>
      <c r="X44"/>
      <c r="Y44" s="75">
        <v>45940</v>
      </c>
      <c r="Z44">
        <v>609.29999999999995</v>
      </c>
      <c r="AA44">
        <v>12</v>
      </c>
    </row>
    <row r="45" spans="1:27" ht="18" customHeight="1" x14ac:dyDescent="0.2">
      <c r="A45" s="48" t="s">
        <v>83</v>
      </c>
      <c r="B45" s="69">
        <v>111</v>
      </c>
      <c r="C45" s="77">
        <v>45909</v>
      </c>
      <c r="D45" s="77">
        <f t="shared" si="4"/>
        <v>45911</v>
      </c>
      <c r="E45" s="77">
        <f t="shared" si="4"/>
        <v>45915</v>
      </c>
      <c r="F45" s="77">
        <f t="shared" si="4"/>
        <v>45919</v>
      </c>
      <c r="G45" s="77">
        <f t="shared" si="4"/>
        <v>45924</v>
      </c>
      <c r="H45" s="77">
        <f t="shared" si="4"/>
        <v>45939</v>
      </c>
      <c r="I45" s="77">
        <f t="shared" si="4"/>
        <v>45969</v>
      </c>
      <c r="L45" s="78" t="s">
        <v>104</v>
      </c>
      <c r="M45" s="78" t="s">
        <v>113</v>
      </c>
      <c r="N45" s="78" t="s">
        <v>37</v>
      </c>
      <c r="O45" s="84">
        <v>45910</v>
      </c>
      <c r="P45" s="78">
        <v>83.7</v>
      </c>
      <c r="Q45" s="78">
        <f>INDEX($C$1:$I$1,MATCH(Tabel3[[#This Row],[Type]],Devoirs[[#Headers],[J0]:[J60]],0))</f>
        <v>2</v>
      </c>
      <c r="R45" s="85" cm="1">
        <f t="array" aca="1" ref="R4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45902.487499999996</v>
      </c>
      <c r="S4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45910.696319444462</v>
      </c>
      <c r="T4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45911.337777777801</v>
      </c>
      <c r="U45" s="82">
        <f ca="1">--(Tabel3[[#This Row],[jour]]&lt;&gt;TRUNC(Tabel3[[#This Row],[fin]]))</f>
        <v>1</v>
      </c>
      <c r="V45" s="82">
        <f ca="1">IF(Tabel3[[#This Row],[Type]]="j0",0,--(TRUNC(Tabel3[[#This Row],[debut]])-TRUNC(Tabel3[[#This Row],[fin precedent]])&lt;Tabel3[[#This Row],[delai]]))</f>
        <v>0</v>
      </c>
      <c r="X45"/>
      <c r="Y45" s="75">
        <v>45941</v>
      </c>
      <c r="Z45">
        <v>374.09999999999997</v>
      </c>
      <c r="AA45">
        <v>8</v>
      </c>
    </row>
    <row r="46" spans="1:27" ht="18" customHeight="1" x14ac:dyDescent="0.2">
      <c r="A46" s="49" t="s">
        <v>84</v>
      </c>
      <c r="B46" s="69">
        <v>40</v>
      </c>
      <c r="C46" s="77">
        <v>45924</v>
      </c>
      <c r="D46" s="77">
        <f t="shared" si="4"/>
        <v>45926</v>
      </c>
      <c r="E46" s="77">
        <f t="shared" si="4"/>
        <v>45930</v>
      </c>
      <c r="F46" s="77">
        <f t="shared" si="4"/>
        <v>45934</v>
      </c>
      <c r="G46" s="77">
        <f t="shared" si="4"/>
        <v>45939</v>
      </c>
      <c r="H46" s="77">
        <f t="shared" si="4"/>
        <v>45954</v>
      </c>
      <c r="I46" s="77">
        <f t="shared" si="4"/>
        <v>45984</v>
      </c>
      <c r="L46" s="78" t="s">
        <v>125</v>
      </c>
      <c r="M46" s="78" t="s">
        <v>130</v>
      </c>
      <c r="N46" s="78" t="s">
        <v>37</v>
      </c>
      <c r="O46" s="84">
        <v>45910</v>
      </c>
      <c r="P46" s="78">
        <v>90.9</v>
      </c>
      <c r="Q46" s="78">
        <f>INDEX($C$1:$I$1,MATCH(Tabel3[[#This Row],[Type]],Devoirs[[#Headers],[J0]:[J60]],0))</f>
        <v>2</v>
      </c>
      <c r="R46" s="85" cm="1">
        <f t="array" aca="1" ref="R4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45908.665937500016</v>
      </c>
      <c r="S4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45911.337777777801</v>
      </c>
      <c r="T4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45911.400902777801</v>
      </c>
      <c r="U46" s="82">
        <f ca="1">--(Tabel3[[#This Row],[jour]]&lt;&gt;TRUNC(Tabel3[[#This Row],[fin]]))</f>
        <v>1</v>
      </c>
      <c r="V46" s="82">
        <f ca="1">IF(Tabel3[[#This Row],[Type]]="j0",0,--(TRUNC(Tabel3[[#This Row],[debut]])-TRUNC(Tabel3[[#This Row],[fin precedent]])&lt;Tabel3[[#This Row],[delai]]))</f>
        <v>0</v>
      </c>
      <c r="X46"/>
      <c r="Y46" s="75">
        <v>45942</v>
      </c>
      <c r="Z46">
        <v>479.99999999999994</v>
      </c>
      <c r="AA46">
        <v>10</v>
      </c>
    </row>
    <row r="47" spans="1:27" ht="18" customHeight="1" x14ac:dyDescent="0.2">
      <c r="A47" s="42" t="s">
        <v>85</v>
      </c>
      <c r="B47" s="42"/>
      <c r="C47" s="77"/>
      <c r="D47" s="77" t="str">
        <f t="shared" si="4"/>
        <v/>
      </c>
      <c r="E47" s="77" t="str">
        <f t="shared" si="4"/>
        <v/>
      </c>
      <c r="F47" s="77" t="str">
        <f t="shared" si="4"/>
        <v/>
      </c>
      <c r="G47" s="77" t="str">
        <f t="shared" si="4"/>
        <v/>
      </c>
      <c r="H47" s="77" t="str">
        <f t="shared" si="4"/>
        <v/>
      </c>
      <c r="I47" s="77" t="str">
        <f t="shared" si="4"/>
        <v/>
      </c>
      <c r="L47" s="78" t="s">
        <v>104</v>
      </c>
      <c r="M47" s="78" t="s">
        <v>106</v>
      </c>
      <c r="N47" s="78" t="s">
        <v>37</v>
      </c>
      <c r="O47" s="84">
        <v>45910</v>
      </c>
      <c r="P47" s="78">
        <v>95.4</v>
      </c>
      <c r="Q47" s="78">
        <f>INDEX($C$1:$I$1,MATCH(Tabel3[[#This Row],[Type]],Devoirs[[#Headers],[J0]:[J60]],0))</f>
        <v>2</v>
      </c>
      <c r="R47" s="85" cm="1">
        <f t="array" aca="1" ref="R4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45902.487499999996</v>
      </c>
      <c r="S4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45911.400902777801</v>
      </c>
      <c r="T4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45911.467152777805</v>
      </c>
      <c r="U47" s="82">
        <f ca="1">--(Tabel3[[#This Row],[jour]]&lt;&gt;TRUNC(Tabel3[[#This Row],[fin]]))</f>
        <v>1</v>
      </c>
      <c r="V47" s="82">
        <f ca="1">IF(Tabel3[[#This Row],[Type]]="j0",0,--(TRUNC(Tabel3[[#This Row],[debut]])-TRUNC(Tabel3[[#This Row],[fin precedent]])&lt;Tabel3[[#This Row],[delai]]))</f>
        <v>0</v>
      </c>
      <c r="X47"/>
      <c r="Y47" s="75">
        <v>45943</v>
      </c>
      <c r="Z47">
        <v>435</v>
      </c>
      <c r="AA47">
        <v>8</v>
      </c>
    </row>
    <row r="48" spans="1:27" ht="18" customHeight="1" x14ac:dyDescent="0.2">
      <c r="A48" s="53" t="s">
        <v>86</v>
      </c>
      <c r="B48" s="70">
        <v>110</v>
      </c>
      <c r="C48" s="77">
        <v>45918</v>
      </c>
      <c r="D48" s="77">
        <f t="shared" si="4"/>
        <v>45920</v>
      </c>
      <c r="E48" s="77">
        <f t="shared" si="4"/>
        <v>45924</v>
      </c>
      <c r="F48" s="77">
        <f t="shared" si="4"/>
        <v>45928</v>
      </c>
      <c r="G48" s="77">
        <f t="shared" si="4"/>
        <v>45933</v>
      </c>
      <c r="H48" s="77">
        <f t="shared" si="4"/>
        <v>45948</v>
      </c>
      <c r="I48" s="77">
        <f t="shared" si="4"/>
        <v>45978</v>
      </c>
      <c r="L48" s="78" t="s">
        <v>135</v>
      </c>
      <c r="M48" s="78" t="s">
        <v>141</v>
      </c>
      <c r="N48" s="78" t="s">
        <v>38</v>
      </c>
      <c r="O48" s="84">
        <v>45911</v>
      </c>
      <c r="P48" s="78">
        <v>47.25</v>
      </c>
      <c r="Q48" s="78">
        <f>INDEX($C$1:$I$1,MATCH(Tabel3[[#This Row],[Type]],Devoirs[[#Headers],[J0]:[J60]],0))</f>
        <v>4</v>
      </c>
      <c r="R48" s="85" cm="1">
        <f t="array" aca="1" ref="R4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45903.353333333333</v>
      </c>
      <c r="S4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45911.467152777805</v>
      </c>
      <c r="T4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45911.499965277806</v>
      </c>
      <c r="U48" s="82">
        <f ca="1">--(Tabel3[[#This Row],[jour]]&lt;&gt;TRUNC(Tabel3[[#This Row],[fin]]))</f>
        <v>0</v>
      </c>
      <c r="V48" s="82">
        <f ca="1">IF(Tabel3[[#This Row],[Type]]="j0",0,--(TRUNC(Tabel3[[#This Row],[debut]])-TRUNC(Tabel3[[#This Row],[fin precedent]])&lt;Tabel3[[#This Row],[delai]]))</f>
        <v>0</v>
      </c>
      <c r="X48"/>
      <c r="Y48" s="75">
        <v>45944</v>
      </c>
      <c r="Z48">
        <v>174.9</v>
      </c>
      <c r="AA48">
        <v>4</v>
      </c>
    </row>
    <row r="49" spans="1:27" ht="18" customHeight="1" x14ac:dyDescent="0.2">
      <c r="A49" s="54" t="s">
        <v>87</v>
      </c>
      <c r="B49" s="70">
        <v>36</v>
      </c>
      <c r="C49" s="77">
        <v>45925</v>
      </c>
      <c r="D49" s="77">
        <f t="shared" si="4"/>
        <v>45927</v>
      </c>
      <c r="E49" s="77">
        <f t="shared" si="4"/>
        <v>45931</v>
      </c>
      <c r="F49" s="77">
        <f t="shared" si="4"/>
        <v>45935</v>
      </c>
      <c r="G49" s="77">
        <f t="shared" si="4"/>
        <v>45940</v>
      </c>
      <c r="H49" s="77">
        <f t="shared" si="4"/>
        <v>45955</v>
      </c>
      <c r="I49" s="77">
        <f t="shared" si="4"/>
        <v>45985</v>
      </c>
      <c r="L49" s="78" t="s">
        <v>125</v>
      </c>
      <c r="M49" s="78" t="s">
        <v>128</v>
      </c>
      <c r="N49" s="78" t="s">
        <v>37</v>
      </c>
      <c r="O49" s="84">
        <v>45911</v>
      </c>
      <c r="P49" s="78">
        <v>63</v>
      </c>
      <c r="Q49" s="78">
        <f>INDEX($C$1:$I$1,MATCH(Tabel3[[#This Row],[Type]],Devoirs[[#Headers],[J0]:[J60]],0))</f>
        <v>2</v>
      </c>
      <c r="R49" s="85" cm="1">
        <f t="array" aca="1" ref="R4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45908.665937500016</v>
      </c>
      <c r="S4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45911.499965277806</v>
      </c>
      <c r="T4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45911.543715277803</v>
      </c>
      <c r="U49" s="82">
        <f ca="1">--(Tabel3[[#This Row],[jour]]&lt;&gt;TRUNC(Tabel3[[#This Row],[fin]]))</f>
        <v>0</v>
      </c>
      <c r="V49" s="82">
        <f ca="1">IF(Tabel3[[#This Row],[Type]]="j0",0,--(TRUNC(Tabel3[[#This Row],[debut]])-TRUNC(Tabel3[[#This Row],[fin precedent]])&lt;Tabel3[[#This Row],[delai]]))</f>
        <v>0</v>
      </c>
      <c r="X49"/>
      <c r="Y49" s="75">
        <v>45945</v>
      </c>
      <c r="Z49">
        <v>325.65000000000003</v>
      </c>
      <c r="AA49">
        <v>7</v>
      </c>
    </row>
    <row r="50" spans="1:27" ht="18" customHeight="1" x14ac:dyDescent="0.2">
      <c r="A50" s="54" t="s">
        <v>88</v>
      </c>
      <c r="B50" s="70">
        <v>113</v>
      </c>
      <c r="C50" s="77">
        <v>45902</v>
      </c>
      <c r="D50" s="77">
        <f t="shared" si="4"/>
        <v>45904</v>
      </c>
      <c r="E50" s="77">
        <f t="shared" si="4"/>
        <v>45908</v>
      </c>
      <c r="F50" s="77">
        <f t="shared" si="4"/>
        <v>45912</v>
      </c>
      <c r="G50" s="77">
        <f t="shared" si="4"/>
        <v>45917</v>
      </c>
      <c r="H50" s="77">
        <f t="shared" si="4"/>
        <v>45932</v>
      </c>
      <c r="I50" s="77">
        <f t="shared" si="4"/>
        <v>45962</v>
      </c>
      <c r="L50" s="78" t="s">
        <v>135</v>
      </c>
      <c r="M50" s="78" t="s">
        <v>156</v>
      </c>
      <c r="N50" s="78" t="s">
        <v>37</v>
      </c>
      <c r="O50" s="84">
        <v>45911</v>
      </c>
      <c r="P50" s="78">
        <v>97.2</v>
      </c>
      <c r="Q50" s="78">
        <f>INDEX($C$1:$I$1,MATCH(Tabel3[[#This Row],[Type]],Devoirs[[#Headers],[J0]:[J60]],0))</f>
        <v>2</v>
      </c>
      <c r="R50" s="85" cm="1">
        <f t="array" aca="1" ref="R5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45901.355555555558</v>
      </c>
      <c r="S5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45911.543715277803</v>
      </c>
      <c r="T5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45911.611215277801</v>
      </c>
      <c r="U50" s="82">
        <f ca="1">--(Tabel3[[#This Row],[jour]]&lt;&gt;TRUNC(Tabel3[[#This Row],[fin]]))</f>
        <v>0</v>
      </c>
      <c r="V50" s="82">
        <f ca="1">IF(Tabel3[[#This Row],[Type]]="j0",0,--(TRUNC(Tabel3[[#This Row],[debut]])-TRUNC(Tabel3[[#This Row],[fin precedent]])&lt;Tabel3[[#This Row],[delai]]))</f>
        <v>0</v>
      </c>
      <c r="X50"/>
      <c r="Y50" s="75">
        <v>45946</v>
      </c>
      <c r="Z50">
        <v>433.8</v>
      </c>
      <c r="AA50">
        <v>13</v>
      </c>
    </row>
    <row r="51" spans="1:27" ht="18" customHeight="1" x14ac:dyDescent="0.2">
      <c r="A51" s="54" t="s">
        <v>89</v>
      </c>
      <c r="B51" s="70">
        <v>66</v>
      </c>
      <c r="C51" s="77">
        <v>45903</v>
      </c>
      <c r="D51" s="77">
        <f t="shared" si="4"/>
        <v>45905</v>
      </c>
      <c r="E51" s="77">
        <f t="shared" si="4"/>
        <v>45909</v>
      </c>
      <c r="F51" s="77">
        <f t="shared" si="4"/>
        <v>45913</v>
      </c>
      <c r="G51" s="77">
        <f t="shared" si="4"/>
        <v>45918</v>
      </c>
      <c r="H51" s="77">
        <f t="shared" si="4"/>
        <v>45933</v>
      </c>
      <c r="I51" s="77">
        <f t="shared" si="4"/>
        <v>45963</v>
      </c>
      <c r="L51" s="78" t="s">
        <v>74</v>
      </c>
      <c r="M51" s="78" t="s">
        <v>83</v>
      </c>
      <c r="N51" s="78" t="s">
        <v>37</v>
      </c>
      <c r="O51" s="84">
        <v>45911</v>
      </c>
      <c r="P51" s="78">
        <v>99.9</v>
      </c>
      <c r="Q51" s="78">
        <f>INDEX($C$1:$I$1,MATCH(Tabel3[[#This Row],[Type]],Devoirs[[#Headers],[J0]:[J60]],0))</f>
        <v>2</v>
      </c>
      <c r="R51" s="85" cm="1">
        <f t="array" aca="1" ref="R5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45910.499444444467</v>
      </c>
      <c r="S5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45911.611215277801</v>
      </c>
      <c r="T5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45911.6805902778</v>
      </c>
      <c r="U51" s="82">
        <f ca="1">--(Tabel3[[#This Row],[jour]]&lt;&gt;TRUNC(Tabel3[[#This Row],[fin]]))</f>
        <v>0</v>
      </c>
      <c r="V51" s="82">
        <f ca="1">IF(Tabel3[[#This Row],[Type]]="j0",0,--(TRUNC(Tabel3[[#This Row],[debut]])-TRUNC(Tabel3[[#This Row],[fin precedent]])&lt;Tabel3[[#This Row],[delai]]))</f>
        <v>1</v>
      </c>
      <c r="X51"/>
      <c r="Y51" s="75">
        <v>45947</v>
      </c>
      <c r="Z51">
        <v>455.84999999999991</v>
      </c>
      <c r="AA51">
        <v>11</v>
      </c>
    </row>
    <row r="52" spans="1:27" ht="18" customHeight="1" x14ac:dyDescent="0.2">
      <c r="A52" s="54" t="s">
        <v>90</v>
      </c>
      <c r="B52" s="70">
        <v>100</v>
      </c>
      <c r="C52" s="77">
        <v>45903</v>
      </c>
      <c r="D52" s="77">
        <f t="shared" si="4"/>
        <v>45905</v>
      </c>
      <c r="E52" s="77">
        <f t="shared" si="4"/>
        <v>45909</v>
      </c>
      <c r="F52" s="77">
        <f t="shared" si="4"/>
        <v>45913</v>
      </c>
      <c r="G52" s="77">
        <f t="shared" si="4"/>
        <v>45918</v>
      </c>
      <c r="H52" s="77">
        <f t="shared" si="4"/>
        <v>45933</v>
      </c>
      <c r="I52" s="77">
        <f t="shared" si="4"/>
        <v>45963</v>
      </c>
      <c r="L52" s="78" t="s">
        <v>135</v>
      </c>
      <c r="M52" s="78" t="s">
        <v>138</v>
      </c>
      <c r="N52" s="78" t="s">
        <v>39</v>
      </c>
      <c r="O52" s="84">
        <v>45911</v>
      </c>
      <c r="P52" s="78">
        <v>19.2</v>
      </c>
      <c r="Q52" s="78">
        <f>INDEX($C$1:$I$1,MATCH(Tabel3[[#This Row],[Type]],Devoirs[[#Headers],[J0]:[J60]],0))</f>
        <v>4</v>
      </c>
      <c r="R52" s="85" cm="1">
        <f t="array" aca="1" ref="R5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45908.350000000006</v>
      </c>
      <c r="S5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45911.6805902778</v>
      </c>
      <c r="T5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45911.693923611136</v>
      </c>
      <c r="U52" s="82">
        <f ca="1">--(Tabel3[[#This Row],[jour]]&lt;&gt;TRUNC(Tabel3[[#This Row],[fin]]))</f>
        <v>0</v>
      </c>
      <c r="V52" s="82">
        <f ca="1">IF(Tabel3[[#This Row],[Type]]="j0",0,--(TRUNC(Tabel3[[#This Row],[debut]])-TRUNC(Tabel3[[#This Row],[fin precedent]])&lt;Tabel3[[#This Row],[delai]]))</f>
        <v>1</v>
      </c>
      <c r="X52"/>
      <c r="Y52" s="75">
        <v>45948</v>
      </c>
      <c r="Z52">
        <v>356.70000000000005</v>
      </c>
      <c r="AA52">
        <v>13</v>
      </c>
    </row>
    <row r="53" spans="1:27" ht="18" customHeight="1" x14ac:dyDescent="0.2">
      <c r="A53" s="54" t="s">
        <v>91</v>
      </c>
      <c r="B53" s="70">
        <v>71</v>
      </c>
      <c r="C53" s="77">
        <v>45936</v>
      </c>
      <c r="D53" s="77">
        <f t="shared" si="4"/>
        <v>45938</v>
      </c>
      <c r="E53" s="77">
        <f t="shared" si="4"/>
        <v>45942</v>
      </c>
      <c r="F53" s="77">
        <f t="shared" si="4"/>
        <v>45946</v>
      </c>
      <c r="G53" s="77">
        <f t="shared" si="4"/>
        <v>45951</v>
      </c>
      <c r="H53" s="77">
        <f t="shared" si="4"/>
        <v>45966</v>
      </c>
      <c r="I53" s="77">
        <f t="shared" si="4"/>
        <v>45996</v>
      </c>
      <c r="L53" s="78" t="s">
        <v>135</v>
      </c>
      <c r="M53" s="78" t="s">
        <v>157</v>
      </c>
      <c r="N53" s="78" t="s">
        <v>1</v>
      </c>
      <c r="O53" s="84">
        <v>45911</v>
      </c>
      <c r="P53" s="78">
        <v>54</v>
      </c>
      <c r="Q53" s="78">
        <f>INDEX($C$1:$I$1,MATCH(Tabel3[[#This Row],[Type]],Devoirs[[#Headers],[J0]:[J60]],0))</f>
        <v>0</v>
      </c>
      <c r="R53" s="85" t="str" cm="1">
        <f t="array" ref="R53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5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45911.693923611136</v>
      </c>
      <c r="T5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45911.731423611134</v>
      </c>
      <c r="U53" s="82">
        <f ca="1">--(Tabel3[[#This Row],[jour]]&lt;&gt;TRUNC(Tabel3[[#This Row],[fin]]))</f>
        <v>0</v>
      </c>
      <c r="V53" s="82">
        <f>IF(Tabel3[[#This Row],[Type]]="j0",0,--(TRUNC(Tabel3[[#This Row],[debut]])-TRUNC(Tabel3[[#This Row],[fin precedent]])&lt;Tabel3[[#This Row],[delai]]))</f>
        <v>0</v>
      </c>
      <c r="X53"/>
      <c r="Y53" s="75">
        <v>45949</v>
      </c>
      <c r="Z53">
        <v>210.6</v>
      </c>
      <c r="AA53">
        <v>7</v>
      </c>
    </row>
    <row r="54" spans="1:27" ht="18" customHeight="1" x14ac:dyDescent="0.2">
      <c r="A54" s="54" t="s">
        <v>92</v>
      </c>
      <c r="B54" s="70">
        <v>99</v>
      </c>
      <c r="C54" s="77">
        <v>45918</v>
      </c>
      <c r="D54" s="77">
        <f t="shared" ref="D54:I69" si="5">IF($C54&gt;0,$C54+D$2,"")</f>
        <v>45920</v>
      </c>
      <c r="E54" s="77">
        <f t="shared" si="5"/>
        <v>45924</v>
      </c>
      <c r="F54" s="77">
        <f t="shared" si="5"/>
        <v>45928</v>
      </c>
      <c r="G54" s="77">
        <f t="shared" si="5"/>
        <v>45933</v>
      </c>
      <c r="H54" s="77">
        <f t="shared" si="5"/>
        <v>45948</v>
      </c>
      <c r="I54" s="77">
        <f t="shared" si="5"/>
        <v>45978</v>
      </c>
      <c r="L54" s="78" t="s">
        <v>51</v>
      </c>
      <c r="M54" s="78" t="s">
        <v>61</v>
      </c>
      <c r="N54" s="78" t="s">
        <v>1</v>
      </c>
      <c r="O54" s="84">
        <v>45911</v>
      </c>
      <c r="P54" s="78">
        <v>63</v>
      </c>
      <c r="Q54" s="78">
        <f>INDEX($C$1:$I$1,MATCH(Tabel3[[#This Row],[Type]],Devoirs[[#Headers],[J0]:[J60]],0))</f>
        <v>0</v>
      </c>
      <c r="R54" s="85" t="str" cm="1">
        <f t="array" ref="R54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5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45911.731423611134</v>
      </c>
      <c r="T5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45912.358506944467</v>
      </c>
      <c r="U54" s="82">
        <f ca="1">--(Tabel3[[#This Row],[jour]]&lt;&gt;TRUNC(Tabel3[[#This Row],[fin]]))</f>
        <v>1</v>
      </c>
      <c r="V54" s="82">
        <f>IF(Tabel3[[#This Row],[Type]]="j0",0,--(TRUNC(Tabel3[[#This Row],[debut]])-TRUNC(Tabel3[[#This Row],[fin precedent]])&lt;Tabel3[[#This Row],[delai]]))</f>
        <v>0</v>
      </c>
      <c r="X54"/>
      <c r="Y54" s="75">
        <v>45950</v>
      </c>
      <c r="Z54">
        <v>113.4</v>
      </c>
      <c r="AA54">
        <v>2</v>
      </c>
    </row>
    <row r="55" spans="1:27" ht="18" customHeight="1" x14ac:dyDescent="0.2">
      <c r="A55" s="54" t="s">
        <v>93</v>
      </c>
      <c r="B55" s="70">
        <v>78</v>
      </c>
      <c r="C55" s="77">
        <v>45923</v>
      </c>
      <c r="D55" s="77">
        <f t="shared" si="5"/>
        <v>45925</v>
      </c>
      <c r="E55" s="77">
        <f t="shared" si="5"/>
        <v>45929</v>
      </c>
      <c r="F55" s="77">
        <f t="shared" si="5"/>
        <v>45933</v>
      </c>
      <c r="G55" s="77">
        <f t="shared" si="5"/>
        <v>45938</v>
      </c>
      <c r="H55" s="77">
        <f t="shared" si="5"/>
        <v>45953</v>
      </c>
      <c r="I55" s="77">
        <f t="shared" si="5"/>
        <v>45983</v>
      </c>
      <c r="L55" s="78" t="s">
        <v>51</v>
      </c>
      <c r="M55" s="78" t="s">
        <v>55</v>
      </c>
      <c r="N55" s="78" t="s">
        <v>39</v>
      </c>
      <c r="O55" s="84">
        <v>45912</v>
      </c>
      <c r="P55" s="78">
        <v>30.599999999999998</v>
      </c>
      <c r="Q55" s="78">
        <f>INDEX($C$1:$I$1,MATCH(Tabel3[[#This Row],[Type]],Devoirs[[#Headers],[J0]:[J60]],0))</f>
        <v>4</v>
      </c>
      <c r="R55" s="85" cm="1">
        <f t="array" aca="1" ref="R5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45908.415937500009</v>
      </c>
      <c r="S5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45912.358506944467</v>
      </c>
      <c r="T5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45912.379756944465</v>
      </c>
      <c r="U55" s="82">
        <f ca="1">--(Tabel3[[#This Row],[jour]]&lt;&gt;TRUNC(Tabel3[[#This Row],[fin]]))</f>
        <v>0</v>
      </c>
      <c r="V55" s="82">
        <f ca="1">IF(Tabel3[[#This Row],[Type]]="j0",0,--(TRUNC(Tabel3[[#This Row],[debut]])-TRUNC(Tabel3[[#This Row],[fin precedent]])&lt;Tabel3[[#This Row],[delai]]))</f>
        <v>0</v>
      </c>
      <c r="X55"/>
      <c r="Y55" s="75">
        <v>45951</v>
      </c>
      <c r="Z55">
        <v>63.9</v>
      </c>
      <c r="AA55">
        <v>2</v>
      </c>
    </row>
    <row r="56" spans="1:27" ht="18" customHeight="1" x14ac:dyDescent="0.2">
      <c r="A56" s="55" t="s">
        <v>94</v>
      </c>
      <c r="B56" s="70">
        <v>70</v>
      </c>
      <c r="C56" s="77">
        <v>45925</v>
      </c>
      <c r="D56" s="77">
        <f t="shared" si="5"/>
        <v>45927</v>
      </c>
      <c r="E56" s="77">
        <f t="shared" si="5"/>
        <v>45931</v>
      </c>
      <c r="F56" s="77">
        <f t="shared" si="5"/>
        <v>45935</v>
      </c>
      <c r="G56" s="77">
        <f t="shared" si="5"/>
        <v>45940</v>
      </c>
      <c r="H56" s="77">
        <f t="shared" si="5"/>
        <v>45955</v>
      </c>
      <c r="I56" s="77">
        <f t="shared" si="5"/>
        <v>45985</v>
      </c>
      <c r="L56" s="78" t="s">
        <v>51</v>
      </c>
      <c r="M56" s="78" t="s">
        <v>62</v>
      </c>
      <c r="N56" s="78" t="s">
        <v>39</v>
      </c>
      <c r="O56" s="84">
        <v>45912</v>
      </c>
      <c r="P56" s="78">
        <v>47.4</v>
      </c>
      <c r="Q56" s="78">
        <f>INDEX($C$1:$I$1,MATCH(Tabel3[[#This Row],[Type]],Devoirs[[#Headers],[J0]:[J60]],0))</f>
        <v>4</v>
      </c>
      <c r="R56" s="85" cm="1">
        <f t="array" aca="1" ref="R5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45908.415937500009</v>
      </c>
      <c r="S5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45912.379756944465</v>
      </c>
      <c r="T5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45912.412673611128</v>
      </c>
      <c r="U56" s="82">
        <f ca="1">--(Tabel3[[#This Row],[jour]]&lt;&gt;TRUNC(Tabel3[[#This Row],[fin]]))</f>
        <v>0</v>
      </c>
      <c r="V56" s="82">
        <f ca="1">IF(Tabel3[[#This Row],[Type]]="j0",0,--(TRUNC(Tabel3[[#This Row],[debut]])-TRUNC(Tabel3[[#This Row],[fin precedent]])&lt;Tabel3[[#This Row],[delai]]))</f>
        <v>0</v>
      </c>
      <c r="X56"/>
      <c r="Y56" s="75">
        <v>45952</v>
      </c>
      <c r="Z56">
        <v>254.70000000000005</v>
      </c>
      <c r="AA56">
        <v>8</v>
      </c>
    </row>
    <row r="57" spans="1:27" ht="18" customHeight="1" x14ac:dyDescent="0.2">
      <c r="A57" s="42" t="s">
        <v>95</v>
      </c>
      <c r="B57" s="42"/>
      <c r="C57" s="77"/>
      <c r="D57" s="77" t="str">
        <f t="shared" si="5"/>
        <v/>
      </c>
      <c r="E57" s="77" t="str">
        <f t="shared" si="5"/>
        <v/>
      </c>
      <c r="F57" s="77" t="str">
        <f t="shared" si="5"/>
        <v/>
      </c>
      <c r="G57" s="77" t="str">
        <f t="shared" si="5"/>
        <v/>
      </c>
      <c r="H57" s="77" t="str">
        <f t="shared" si="5"/>
        <v/>
      </c>
      <c r="I57" s="77" t="str">
        <f t="shared" si="5"/>
        <v/>
      </c>
      <c r="L57" s="78" t="s">
        <v>104</v>
      </c>
      <c r="M57" s="78" t="s">
        <v>114</v>
      </c>
      <c r="N57" s="78" t="s">
        <v>39</v>
      </c>
      <c r="O57" s="84">
        <v>45912</v>
      </c>
      <c r="P57" s="78">
        <v>55.199999999999996</v>
      </c>
      <c r="Q57" s="78">
        <f>INDEX($C$1:$I$1,MATCH(Tabel3[[#This Row],[Type]],Devoirs[[#Headers],[J0]:[J60]],0))</f>
        <v>4</v>
      </c>
      <c r="R57" s="85" cm="1">
        <f t="array" aca="1" ref="R5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45908.505000000012</v>
      </c>
      <c r="S5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45912.412673611128</v>
      </c>
      <c r="T5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45912.451006944459</v>
      </c>
      <c r="U57" s="82">
        <f ca="1">--(Tabel3[[#This Row],[jour]]&lt;&gt;TRUNC(Tabel3[[#This Row],[fin]]))</f>
        <v>0</v>
      </c>
      <c r="V57" s="82">
        <f ca="1">IF(Tabel3[[#This Row],[Type]]="j0",0,--(TRUNC(Tabel3[[#This Row],[debut]])-TRUNC(Tabel3[[#This Row],[fin precedent]])&lt;Tabel3[[#This Row],[delai]]))</f>
        <v>0</v>
      </c>
      <c r="X57"/>
      <c r="Y57" s="75">
        <v>45953</v>
      </c>
      <c r="Z57">
        <v>150.44999999999999</v>
      </c>
      <c r="AA57">
        <v>6</v>
      </c>
    </row>
    <row r="58" spans="1:27" ht="18" customHeight="1" x14ac:dyDescent="0.2">
      <c r="A58" s="50" t="s">
        <v>96</v>
      </c>
      <c r="B58" s="71">
        <v>64</v>
      </c>
      <c r="C58" s="77">
        <v>45912</v>
      </c>
      <c r="D58" s="77">
        <f t="shared" si="5"/>
        <v>45914</v>
      </c>
      <c r="E58" s="77">
        <f t="shared" si="5"/>
        <v>45918</v>
      </c>
      <c r="F58" s="77">
        <f t="shared" si="5"/>
        <v>45922</v>
      </c>
      <c r="G58" s="77">
        <f t="shared" si="5"/>
        <v>45927</v>
      </c>
      <c r="H58" s="77">
        <f t="shared" si="5"/>
        <v>45942</v>
      </c>
      <c r="I58" s="77">
        <f t="shared" si="5"/>
        <v>45972</v>
      </c>
      <c r="L58" s="78" t="s">
        <v>85</v>
      </c>
      <c r="M58" s="78" t="s">
        <v>88</v>
      </c>
      <c r="N58" s="78" t="s">
        <v>39</v>
      </c>
      <c r="O58" s="84">
        <v>45912</v>
      </c>
      <c r="P58" s="78">
        <v>67.8</v>
      </c>
      <c r="Q58" s="78">
        <f>INDEX($C$1:$I$1,MATCH(Tabel3[[#This Row],[Type]],Devoirs[[#Headers],[J0]:[J60]],0))</f>
        <v>4</v>
      </c>
      <c r="R58" s="85" cm="1">
        <f t="array" aca="1" ref="R5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45908.563854166678</v>
      </c>
      <c r="S5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45912.451006944459</v>
      </c>
      <c r="T5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45912.49809027779</v>
      </c>
      <c r="U58" s="82">
        <f ca="1">--(Tabel3[[#This Row],[jour]]&lt;&gt;TRUNC(Tabel3[[#This Row],[fin]]))</f>
        <v>0</v>
      </c>
      <c r="V58" s="82">
        <f ca="1">IF(Tabel3[[#This Row],[Type]]="j0",0,--(TRUNC(Tabel3[[#This Row],[debut]])-TRUNC(Tabel3[[#This Row],[fin precedent]])&lt;Tabel3[[#This Row],[delai]]))</f>
        <v>0</v>
      </c>
      <c r="X58"/>
      <c r="Y58" s="75">
        <v>45954</v>
      </c>
      <c r="Z58">
        <v>249.29999999999998</v>
      </c>
      <c r="AA58">
        <v>9</v>
      </c>
    </row>
    <row r="59" spans="1:27" ht="18" customHeight="1" x14ac:dyDescent="0.2">
      <c r="A59" s="51" t="s">
        <v>97</v>
      </c>
      <c r="B59" s="71">
        <v>110</v>
      </c>
      <c r="C59" s="77">
        <v>45939</v>
      </c>
      <c r="D59" s="77">
        <f t="shared" si="5"/>
        <v>45941</v>
      </c>
      <c r="E59" s="77">
        <f t="shared" si="5"/>
        <v>45945</v>
      </c>
      <c r="F59" s="77">
        <f t="shared" si="5"/>
        <v>45949</v>
      </c>
      <c r="G59" s="77">
        <f t="shared" si="5"/>
        <v>45954</v>
      </c>
      <c r="H59" s="77">
        <f t="shared" si="5"/>
        <v>45969</v>
      </c>
      <c r="I59" s="77">
        <f t="shared" si="5"/>
        <v>45999</v>
      </c>
      <c r="L59" s="78" t="s">
        <v>104</v>
      </c>
      <c r="M59" s="78" t="s">
        <v>118</v>
      </c>
      <c r="N59" s="78" t="s">
        <v>1</v>
      </c>
      <c r="O59" s="84">
        <v>45912</v>
      </c>
      <c r="P59" s="78">
        <v>45</v>
      </c>
      <c r="Q59" s="78">
        <f>INDEX($C$1:$I$1,MATCH(Tabel3[[#This Row],[Type]],Devoirs[[#Headers],[J0]:[J60]],0))</f>
        <v>0</v>
      </c>
      <c r="R59" s="85" t="str" cm="1">
        <f t="array" ref="R59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5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45912.49809027779</v>
      </c>
      <c r="T5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45912.52934027779</v>
      </c>
      <c r="U59" s="82">
        <f ca="1">--(Tabel3[[#This Row],[jour]]&lt;&gt;TRUNC(Tabel3[[#This Row],[fin]]))</f>
        <v>0</v>
      </c>
      <c r="V59" s="82">
        <f>IF(Tabel3[[#This Row],[Type]]="j0",0,--(TRUNC(Tabel3[[#This Row],[debut]])-TRUNC(Tabel3[[#This Row],[fin precedent]])&lt;Tabel3[[#This Row],[delai]]))</f>
        <v>0</v>
      </c>
      <c r="X59"/>
      <c r="Y59" s="75">
        <v>45955</v>
      </c>
      <c r="Z59">
        <v>176.25</v>
      </c>
      <c r="AA59">
        <v>7</v>
      </c>
    </row>
    <row r="60" spans="1:27" ht="18" customHeight="1" x14ac:dyDescent="0.2">
      <c r="A60" s="51" t="s">
        <v>98</v>
      </c>
      <c r="B60" s="71">
        <v>90</v>
      </c>
      <c r="C60" s="77">
        <v>45917</v>
      </c>
      <c r="D60" s="77">
        <f t="shared" si="5"/>
        <v>45919</v>
      </c>
      <c r="E60" s="77">
        <f t="shared" si="5"/>
        <v>45923</v>
      </c>
      <c r="F60" s="77">
        <f t="shared" si="5"/>
        <v>45927</v>
      </c>
      <c r="G60" s="77">
        <f t="shared" si="5"/>
        <v>45932</v>
      </c>
      <c r="H60" s="77">
        <f t="shared" si="5"/>
        <v>45947</v>
      </c>
      <c r="I60" s="77">
        <f t="shared" si="5"/>
        <v>45977</v>
      </c>
      <c r="L60" s="78" t="s">
        <v>95</v>
      </c>
      <c r="M60" s="78" t="s">
        <v>96</v>
      </c>
      <c r="N60" s="78" t="s">
        <v>1</v>
      </c>
      <c r="O60" s="84">
        <v>45912</v>
      </c>
      <c r="P60" s="78">
        <v>64</v>
      </c>
      <c r="Q60" s="78">
        <f>INDEX($C$1:$I$1,MATCH(Tabel3[[#This Row],[Type]],Devoirs[[#Headers],[J0]:[J60]],0))</f>
        <v>0</v>
      </c>
      <c r="R60" s="85" t="str" cm="1">
        <f t="array" ref="R60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6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45912.52934027779</v>
      </c>
      <c r="T6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45912.573784722234</v>
      </c>
      <c r="U60" s="82">
        <f ca="1">--(Tabel3[[#This Row],[jour]]&lt;&gt;TRUNC(Tabel3[[#This Row],[fin]]))</f>
        <v>0</v>
      </c>
      <c r="V60" s="82">
        <f>IF(Tabel3[[#This Row],[Type]]="j0",0,--(TRUNC(Tabel3[[#This Row],[debut]])-TRUNC(Tabel3[[#This Row],[fin precedent]])&lt;Tabel3[[#This Row],[delai]]))</f>
        <v>0</v>
      </c>
      <c r="X60"/>
      <c r="Y60" s="75">
        <v>45959</v>
      </c>
      <c r="Z60">
        <v>56.099999999999994</v>
      </c>
      <c r="AA60">
        <v>2</v>
      </c>
    </row>
    <row r="61" spans="1:27" ht="18" customHeight="1" x14ac:dyDescent="0.2">
      <c r="A61" s="51" t="s">
        <v>99</v>
      </c>
      <c r="B61" s="71">
        <v>120</v>
      </c>
      <c r="C61" s="77">
        <v>45917</v>
      </c>
      <c r="D61" s="77">
        <f t="shared" si="5"/>
        <v>45919</v>
      </c>
      <c r="E61" s="77">
        <f t="shared" si="5"/>
        <v>45923</v>
      </c>
      <c r="F61" s="77">
        <f t="shared" si="5"/>
        <v>45927</v>
      </c>
      <c r="G61" s="77">
        <f t="shared" si="5"/>
        <v>45932</v>
      </c>
      <c r="H61" s="77">
        <f t="shared" si="5"/>
        <v>45947</v>
      </c>
      <c r="I61" s="77">
        <f t="shared" si="5"/>
        <v>45977</v>
      </c>
      <c r="L61" s="78" t="s">
        <v>74</v>
      </c>
      <c r="M61" s="78" t="s">
        <v>78</v>
      </c>
      <c r="N61" s="78" t="s">
        <v>1</v>
      </c>
      <c r="O61" s="84">
        <v>45912</v>
      </c>
      <c r="P61" s="78">
        <v>87</v>
      </c>
      <c r="Q61" s="78">
        <f>INDEX($C$1:$I$1,MATCH(Tabel3[[#This Row],[Type]],Devoirs[[#Headers],[J0]:[J60]],0))</f>
        <v>0</v>
      </c>
      <c r="R61" s="85" t="str" cm="1">
        <f t="array" ref="R61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6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45912.573784722234</v>
      </c>
      <c r="T6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45912.634201388901</v>
      </c>
      <c r="U61" s="82">
        <f ca="1">--(Tabel3[[#This Row],[jour]]&lt;&gt;TRUNC(Tabel3[[#This Row],[fin]]))</f>
        <v>0</v>
      </c>
      <c r="V61" s="82">
        <f>IF(Tabel3[[#This Row],[Type]]="j0",0,--(TRUNC(Tabel3[[#This Row],[debut]])-TRUNC(Tabel3[[#This Row],[fin precedent]])&lt;Tabel3[[#This Row],[delai]]))</f>
        <v>0</v>
      </c>
      <c r="X61"/>
      <c r="Y61" s="75">
        <v>45960</v>
      </c>
      <c r="Z61">
        <v>87.299999999999983</v>
      </c>
      <c r="AA61">
        <v>3</v>
      </c>
    </row>
    <row r="62" spans="1:27" ht="18" customHeight="1" x14ac:dyDescent="0.2">
      <c r="A62" s="51" t="s">
        <v>100</v>
      </c>
      <c r="B62" s="71">
        <v>100</v>
      </c>
      <c r="C62" s="77">
        <v>45924</v>
      </c>
      <c r="D62" s="77">
        <f t="shared" si="5"/>
        <v>45926</v>
      </c>
      <c r="E62" s="77">
        <f t="shared" si="5"/>
        <v>45930</v>
      </c>
      <c r="F62" s="77">
        <f t="shared" si="5"/>
        <v>45934</v>
      </c>
      <c r="G62" s="77">
        <f t="shared" si="5"/>
        <v>45939</v>
      </c>
      <c r="H62" s="77">
        <f t="shared" si="5"/>
        <v>45954</v>
      </c>
      <c r="I62" s="77">
        <f t="shared" si="5"/>
        <v>45984</v>
      </c>
      <c r="L62" s="78" t="s">
        <v>64</v>
      </c>
      <c r="M62" s="78" t="s">
        <v>66</v>
      </c>
      <c r="N62" s="78" t="s">
        <v>1</v>
      </c>
      <c r="O62" s="84">
        <v>45912</v>
      </c>
      <c r="P62" s="78">
        <v>92</v>
      </c>
      <c r="Q62" s="78">
        <f>INDEX($C$1:$I$1,MATCH(Tabel3[[#This Row],[Type]],Devoirs[[#Headers],[J0]:[J60]],0))</f>
        <v>0</v>
      </c>
      <c r="R62" s="85" t="str" cm="1">
        <f t="array" ref="R62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6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45912.634201388901</v>
      </c>
      <c r="T6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45912.698090277787</v>
      </c>
      <c r="U62" s="82">
        <f ca="1">--(Tabel3[[#This Row],[jour]]&lt;&gt;TRUNC(Tabel3[[#This Row],[fin]]))</f>
        <v>0</v>
      </c>
      <c r="V62" s="82">
        <f>IF(Tabel3[[#This Row],[Type]]="j0",0,--(TRUNC(Tabel3[[#This Row],[debut]])-TRUNC(Tabel3[[#This Row],[fin precedent]])&lt;Tabel3[[#This Row],[delai]]))</f>
        <v>0</v>
      </c>
      <c r="X62"/>
      <c r="Y62" s="75">
        <v>45961</v>
      </c>
      <c r="Z62">
        <v>95.1</v>
      </c>
      <c r="AA62">
        <v>5</v>
      </c>
    </row>
    <row r="63" spans="1:27" ht="18" customHeight="1" x14ac:dyDescent="0.2">
      <c r="A63" s="51" t="s">
        <v>101</v>
      </c>
      <c r="B63" s="71">
        <v>100</v>
      </c>
      <c r="C63" s="77">
        <v>45924</v>
      </c>
      <c r="D63" s="77">
        <f t="shared" si="5"/>
        <v>45926</v>
      </c>
      <c r="E63" s="77">
        <f t="shared" si="5"/>
        <v>45930</v>
      </c>
      <c r="F63" s="77">
        <f t="shared" si="5"/>
        <v>45934</v>
      </c>
      <c r="G63" s="77">
        <f t="shared" si="5"/>
        <v>45939</v>
      </c>
      <c r="H63" s="77">
        <f t="shared" si="5"/>
        <v>45954</v>
      </c>
      <c r="I63" s="77">
        <f t="shared" si="5"/>
        <v>45984</v>
      </c>
      <c r="L63" s="78" t="s">
        <v>135</v>
      </c>
      <c r="M63" s="78" t="s">
        <v>157</v>
      </c>
      <c r="N63" s="78" t="s">
        <v>37</v>
      </c>
      <c r="O63" s="84">
        <v>45913</v>
      </c>
      <c r="P63" s="78">
        <v>48.6</v>
      </c>
      <c r="Q63" s="78">
        <f>INDEX($C$1:$I$1,MATCH(Tabel3[[#This Row],[Type]],Devoirs[[#Headers],[J0]:[J60]],0))</f>
        <v>2</v>
      </c>
      <c r="R63" s="85" cm="1">
        <f t="array" aca="1" ref="R6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45901.355555555558</v>
      </c>
      <c r="S6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45913.333333333336</v>
      </c>
      <c r="T6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45913.367083333338</v>
      </c>
      <c r="U63" s="82">
        <f ca="1">--(Tabel3[[#This Row],[jour]]&lt;&gt;TRUNC(Tabel3[[#This Row],[fin]]))</f>
        <v>0</v>
      </c>
      <c r="V63" s="82">
        <f ca="1">IF(Tabel3[[#This Row],[Type]]="j0",0,--(TRUNC(Tabel3[[#This Row],[debut]])-TRUNC(Tabel3[[#This Row],[fin precedent]])&lt;Tabel3[[#This Row],[delai]]))</f>
        <v>0</v>
      </c>
      <c r="X63"/>
      <c r="Y63" s="75">
        <v>45962</v>
      </c>
      <c r="Z63">
        <v>108.75</v>
      </c>
      <c r="AA63">
        <v>6</v>
      </c>
    </row>
    <row r="64" spans="1:27" ht="18" customHeight="1" x14ac:dyDescent="0.2">
      <c r="A64" s="51" t="s">
        <v>102</v>
      </c>
      <c r="B64" s="71">
        <v>112</v>
      </c>
      <c r="C64" s="77">
        <v>45917</v>
      </c>
      <c r="D64" s="77">
        <f t="shared" si="5"/>
        <v>45919</v>
      </c>
      <c r="E64" s="77">
        <f t="shared" si="5"/>
        <v>45923</v>
      </c>
      <c r="F64" s="77">
        <f t="shared" si="5"/>
        <v>45927</v>
      </c>
      <c r="G64" s="77">
        <f t="shared" si="5"/>
        <v>45932</v>
      </c>
      <c r="H64" s="77">
        <f t="shared" si="5"/>
        <v>45947</v>
      </c>
      <c r="I64" s="77">
        <f t="shared" si="5"/>
        <v>45977</v>
      </c>
      <c r="L64" s="78" t="s">
        <v>51</v>
      </c>
      <c r="M64" s="78" t="s">
        <v>61</v>
      </c>
      <c r="N64" s="78" t="s">
        <v>37</v>
      </c>
      <c r="O64" s="84">
        <v>45913</v>
      </c>
      <c r="P64" s="78">
        <v>56.7</v>
      </c>
      <c r="Q64" s="78">
        <f>INDEX($C$1:$I$1,MATCH(Tabel3[[#This Row],[Type]],Devoirs[[#Headers],[J0]:[J60]],0))</f>
        <v>2</v>
      </c>
      <c r="R64" s="85" cm="1">
        <f t="array" aca="1" ref="R6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45902.368750000001</v>
      </c>
      <c r="S6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45913.367083333338</v>
      </c>
      <c r="T6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45913.406458333338</v>
      </c>
      <c r="U64" s="82">
        <f ca="1">--(Tabel3[[#This Row],[jour]]&lt;&gt;TRUNC(Tabel3[[#This Row],[fin]]))</f>
        <v>0</v>
      </c>
      <c r="V64" s="82">
        <f ca="1">IF(Tabel3[[#This Row],[Type]]="j0",0,--(TRUNC(Tabel3[[#This Row],[debut]])-TRUNC(Tabel3[[#This Row],[fin precedent]])&lt;Tabel3[[#This Row],[delai]]))</f>
        <v>0</v>
      </c>
      <c r="X64"/>
      <c r="Y64" s="75">
        <v>45963</v>
      </c>
      <c r="Z64">
        <v>109.64999999999999</v>
      </c>
      <c r="AA64">
        <v>6</v>
      </c>
    </row>
    <row r="65" spans="1:27" ht="18" customHeight="1" x14ac:dyDescent="0.2">
      <c r="A65" s="52" t="s">
        <v>103</v>
      </c>
      <c r="B65" s="71">
        <v>36</v>
      </c>
      <c r="C65" s="77">
        <v>45937</v>
      </c>
      <c r="D65" s="77">
        <f t="shared" si="5"/>
        <v>45939</v>
      </c>
      <c r="E65" s="77">
        <f t="shared" si="5"/>
        <v>45943</v>
      </c>
      <c r="F65" s="77">
        <f t="shared" si="5"/>
        <v>45947</v>
      </c>
      <c r="G65" s="77">
        <f t="shared" si="5"/>
        <v>45952</v>
      </c>
      <c r="H65" s="77">
        <f t="shared" si="5"/>
        <v>45967</v>
      </c>
      <c r="I65" s="77">
        <f t="shared" si="5"/>
        <v>45997</v>
      </c>
      <c r="L65" s="78" t="s">
        <v>85</v>
      </c>
      <c r="M65" s="78" t="s">
        <v>89</v>
      </c>
      <c r="N65" s="78" t="s">
        <v>39</v>
      </c>
      <c r="O65" s="84">
        <v>45913</v>
      </c>
      <c r="P65" s="78">
        <v>39.6</v>
      </c>
      <c r="Q65" s="78">
        <f>INDEX($C$1:$I$1,MATCH(Tabel3[[#This Row],[Type]],Devoirs[[#Headers],[J0]:[J60]],0))</f>
        <v>4</v>
      </c>
      <c r="R65" s="85" cm="1">
        <f t="array" aca="1" ref="R6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45908.563854166678</v>
      </c>
      <c r="S6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45913.406458333338</v>
      </c>
      <c r="T6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45913.433958333335</v>
      </c>
      <c r="U65" s="82">
        <f ca="1">--(Tabel3[[#This Row],[jour]]&lt;&gt;TRUNC(Tabel3[[#This Row],[fin]]))</f>
        <v>0</v>
      </c>
      <c r="V65" s="82">
        <f ca="1">IF(Tabel3[[#This Row],[Type]]="j0",0,--(TRUNC(Tabel3[[#This Row],[debut]])-TRUNC(Tabel3[[#This Row],[fin precedent]])&lt;Tabel3[[#This Row],[delai]]))</f>
        <v>0</v>
      </c>
      <c r="X65"/>
      <c r="Y65" s="75">
        <v>45965</v>
      </c>
      <c r="Z65">
        <v>9.4499999999999993</v>
      </c>
      <c r="AA65">
        <v>1</v>
      </c>
    </row>
    <row r="66" spans="1:27" ht="18" customHeight="1" x14ac:dyDescent="0.2">
      <c r="A66" s="42" t="s">
        <v>104</v>
      </c>
      <c r="B66" s="42"/>
      <c r="C66" s="77"/>
      <c r="D66" s="77" t="str">
        <f t="shared" si="5"/>
        <v/>
      </c>
      <c r="E66" s="77" t="str">
        <f t="shared" si="5"/>
        <v/>
      </c>
      <c r="F66" s="77" t="str">
        <f t="shared" si="5"/>
        <v/>
      </c>
      <c r="G66" s="77" t="str">
        <f t="shared" si="5"/>
        <v/>
      </c>
      <c r="H66" s="77" t="str">
        <f t="shared" si="5"/>
        <v/>
      </c>
      <c r="I66" s="77" t="str">
        <f t="shared" si="5"/>
        <v/>
      </c>
      <c r="L66" s="78" t="s">
        <v>85</v>
      </c>
      <c r="M66" s="78" t="s">
        <v>90</v>
      </c>
      <c r="N66" s="78" t="s">
        <v>39</v>
      </c>
      <c r="O66" s="84">
        <v>45913</v>
      </c>
      <c r="P66" s="78">
        <v>60</v>
      </c>
      <c r="Q66" s="78">
        <f>INDEX($C$1:$I$1,MATCH(Tabel3[[#This Row],[Type]],Devoirs[[#Headers],[J0]:[J60]],0))</f>
        <v>4</v>
      </c>
      <c r="R66" s="85" cm="1">
        <f t="array" aca="1" ref="R6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45908.563854166678</v>
      </c>
      <c r="S6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45913.433958333335</v>
      </c>
      <c r="T6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45913.475624999999</v>
      </c>
      <c r="U66" s="82">
        <f ca="1">--(Tabel3[[#This Row],[jour]]&lt;&gt;TRUNC(Tabel3[[#This Row],[fin]]))</f>
        <v>0</v>
      </c>
      <c r="V66" s="82">
        <f ca="1">IF(Tabel3[[#This Row],[Type]]="j0",0,--(TRUNC(Tabel3[[#This Row],[debut]])-TRUNC(Tabel3[[#This Row],[fin precedent]])&lt;Tabel3[[#This Row],[delai]]))</f>
        <v>0</v>
      </c>
      <c r="X66"/>
      <c r="Y66" s="75">
        <v>45966</v>
      </c>
      <c r="Z66">
        <v>42.6</v>
      </c>
      <c r="AA66">
        <v>2</v>
      </c>
    </row>
    <row r="67" spans="1:27" ht="18" customHeight="1" x14ac:dyDescent="0.2">
      <c r="A67" s="56" t="s">
        <v>105</v>
      </c>
      <c r="B67" s="72">
        <v>45</v>
      </c>
      <c r="C67" s="77">
        <v>45916</v>
      </c>
      <c r="D67" s="77">
        <f t="shared" si="5"/>
        <v>45918</v>
      </c>
      <c r="E67" s="77">
        <f t="shared" si="5"/>
        <v>45922</v>
      </c>
      <c r="F67" s="77">
        <f t="shared" si="5"/>
        <v>45926</v>
      </c>
      <c r="G67" s="77">
        <f t="shared" si="5"/>
        <v>45931</v>
      </c>
      <c r="H67" s="77">
        <f t="shared" si="5"/>
        <v>45946</v>
      </c>
      <c r="I67" s="77">
        <f t="shared" si="5"/>
        <v>45976</v>
      </c>
      <c r="L67" s="78" t="s">
        <v>104</v>
      </c>
      <c r="M67" s="78" t="s">
        <v>107</v>
      </c>
      <c r="N67" s="78" t="s">
        <v>39</v>
      </c>
      <c r="O67" s="84">
        <v>45913</v>
      </c>
      <c r="P67" s="78">
        <v>63</v>
      </c>
      <c r="Q67" s="78">
        <f>INDEX($C$1:$I$1,MATCH(Tabel3[[#This Row],[Type]],Devoirs[[#Headers],[J0]:[J60]],0))</f>
        <v>4</v>
      </c>
      <c r="R67" s="85" cm="1">
        <f t="array" aca="1" ref="R6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45908.505000000012</v>
      </c>
      <c r="S6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45913.475624999999</v>
      </c>
      <c r="T6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45913.519374999996</v>
      </c>
      <c r="U67" s="82">
        <f ca="1">--(Tabel3[[#This Row],[jour]]&lt;&gt;TRUNC(Tabel3[[#This Row],[fin]]))</f>
        <v>0</v>
      </c>
      <c r="V67" s="82">
        <f ca="1">IF(Tabel3[[#This Row],[Type]]="j0",0,--(TRUNC(Tabel3[[#This Row],[debut]])-TRUNC(Tabel3[[#This Row],[fin precedent]])&lt;Tabel3[[#This Row],[delai]]))</f>
        <v>0</v>
      </c>
      <c r="X67"/>
      <c r="Y67" s="75">
        <v>45967</v>
      </c>
      <c r="Z67">
        <v>118.79999999999998</v>
      </c>
      <c r="AA67">
        <v>5</v>
      </c>
    </row>
    <row r="68" spans="1:27" ht="18" customHeight="1" x14ac:dyDescent="0.2">
      <c r="A68" s="57" t="s">
        <v>106</v>
      </c>
      <c r="B68" s="72">
        <v>106</v>
      </c>
      <c r="C68" s="77">
        <v>45908</v>
      </c>
      <c r="D68" s="77">
        <f t="shared" si="5"/>
        <v>45910</v>
      </c>
      <c r="E68" s="77">
        <f t="shared" si="5"/>
        <v>45914</v>
      </c>
      <c r="F68" s="77">
        <f t="shared" si="5"/>
        <v>45918</v>
      </c>
      <c r="G68" s="77">
        <f t="shared" si="5"/>
        <v>45923</v>
      </c>
      <c r="H68" s="77">
        <f t="shared" si="5"/>
        <v>45938</v>
      </c>
      <c r="I68" s="77">
        <f t="shared" si="5"/>
        <v>45968</v>
      </c>
      <c r="L68" s="78" t="s">
        <v>135</v>
      </c>
      <c r="M68" s="78" t="s">
        <v>140</v>
      </c>
      <c r="N68" s="78" t="s">
        <v>38</v>
      </c>
      <c r="O68" s="84">
        <v>45914</v>
      </c>
      <c r="P68" s="78">
        <v>51.75</v>
      </c>
      <c r="Q68" s="78">
        <f>INDEX($C$1:$I$1,MATCH(Tabel3[[#This Row],[Type]],Devoirs[[#Headers],[J0]:[J60]],0))</f>
        <v>4</v>
      </c>
      <c r="R68" s="85" cm="1">
        <f t="array" aca="1" ref="R6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45903.353333333333</v>
      </c>
      <c r="S6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45915.333333333336</v>
      </c>
      <c r="T6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45915.369270833333</v>
      </c>
      <c r="U68" s="82">
        <f ca="1">--(Tabel3[[#This Row],[jour]]&lt;&gt;TRUNC(Tabel3[[#This Row],[fin]]))</f>
        <v>1</v>
      </c>
      <c r="V68" s="82">
        <f ca="1">IF(Tabel3[[#This Row],[Type]]="j0",0,--(TRUNC(Tabel3[[#This Row],[debut]])-TRUNC(Tabel3[[#This Row],[fin precedent]])&lt;Tabel3[[#This Row],[delai]]))</f>
        <v>0</v>
      </c>
      <c r="X68"/>
      <c r="Y68" s="75">
        <v>45968</v>
      </c>
      <c r="Z68">
        <v>128.55000000000001</v>
      </c>
      <c r="AA68">
        <v>9</v>
      </c>
    </row>
    <row r="69" spans="1:27" ht="18" customHeight="1" x14ac:dyDescent="0.2">
      <c r="A69" s="57" t="s">
        <v>107</v>
      </c>
      <c r="B69" s="72">
        <v>105</v>
      </c>
      <c r="C69" s="77">
        <v>45903</v>
      </c>
      <c r="D69" s="77">
        <f t="shared" si="5"/>
        <v>45905</v>
      </c>
      <c r="E69" s="77">
        <f t="shared" si="5"/>
        <v>45909</v>
      </c>
      <c r="F69" s="77">
        <f t="shared" si="5"/>
        <v>45913</v>
      </c>
      <c r="G69" s="77">
        <f t="shared" si="5"/>
        <v>45918</v>
      </c>
      <c r="H69" s="77">
        <f t="shared" si="5"/>
        <v>45933</v>
      </c>
      <c r="I69" s="77">
        <f t="shared" si="5"/>
        <v>45963</v>
      </c>
      <c r="L69" s="78" t="s">
        <v>125</v>
      </c>
      <c r="M69" s="78" t="s">
        <v>133</v>
      </c>
      <c r="N69" s="78" t="s">
        <v>38</v>
      </c>
      <c r="O69" s="84">
        <v>45914</v>
      </c>
      <c r="P69" s="78">
        <v>58.5</v>
      </c>
      <c r="Q69" s="78">
        <f>INDEX($C$1:$I$1,MATCH(Tabel3[[#This Row],[Type]],Devoirs[[#Headers],[J0]:[J60]],0))</f>
        <v>4</v>
      </c>
      <c r="R69" s="85" cm="1">
        <f t="array" aca="1" ref="R6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45910.591319444466</v>
      </c>
      <c r="S6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45915.369270833333</v>
      </c>
      <c r="T6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45915.409895833334</v>
      </c>
      <c r="U69" s="82">
        <f ca="1">--(Tabel3[[#This Row],[jour]]&lt;&gt;TRUNC(Tabel3[[#This Row],[fin]]))</f>
        <v>1</v>
      </c>
      <c r="V69" s="82">
        <f ca="1">IF(Tabel3[[#This Row],[Type]]="j0",0,--(TRUNC(Tabel3[[#This Row],[debut]])-TRUNC(Tabel3[[#This Row],[fin precedent]])&lt;Tabel3[[#This Row],[delai]]))</f>
        <v>0</v>
      </c>
      <c r="X69"/>
      <c r="Y69" s="75">
        <v>45969</v>
      </c>
      <c r="Z69">
        <v>96.149999999999991</v>
      </c>
      <c r="AA69">
        <v>5</v>
      </c>
    </row>
    <row r="70" spans="1:27" ht="18" customHeight="1" x14ac:dyDescent="0.2">
      <c r="A70" s="57" t="s">
        <v>108</v>
      </c>
      <c r="B70" s="72">
        <v>113</v>
      </c>
      <c r="C70" s="77">
        <v>45915</v>
      </c>
      <c r="D70" s="77">
        <f t="shared" ref="D70:I85" si="6">IF($C70&gt;0,$C70+D$2,"")</f>
        <v>45917</v>
      </c>
      <c r="E70" s="77">
        <f t="shared" si="6"/>
        <v>45921</v>
      </c>
      <c r="F70" s="77">
        <f t="shared" si="6"/>
        <v>45925</v>
      </c>
      <c r="G70" s="77">
        <f t="shared" si="6"/>
        <v>45930</v>
      </c>
      <c r="H70" s="77">
        <f t="shared" si="6"/>
        <v>45945</v>
      </c>
      <c r="I70" s="77">
        <f t="shared" si="6"/>
        <v>45975</v>
      </c>
      <c r="L70" s="78" t="s">
        <v>135</v>
      </c>
      <c r="M70" s="78" t="s">
        <v>159</v>
      </c>
      <c r="N70" s="78" t="s">
        <v>38</v>
      </c>
      <c r="O70" s="84">
        <v>45914</v>
      </c>
      <c r="P70" s="78">
        <v>62.25</v>
      </c>
      <c r="Q70" s="78">
        <f>INDEX($C$1:$I$1,MATCH(Tabel3[[#This Row],[Type]],Devoirs[[#Headers],[J0]:[J60]],0))</f>
        <v>4</v>
      </c>
      <c r="R70" s="85" cm="1">
        <f t="array" aca="1" ref="R7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45903.353333333333</v>
      </c>
      <c r="S7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45915.409895833334</v>
      </c>
      <c r="T7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45915.453125</v>
      </c>
      <c r="U70" s="82">
        <f ca="1">--(Tabel3[[#This Row],[jour]]&lt;&gt;TRUNC(Tabel3[[#This Row],[fin]]))</f>
        <v>1</v>
      </c>
      <c r="V70" s="82">
        <f ca="1">IF(Tabel3[[#This Row],[Type]]="j0",0,--(TRUNC(Tabel3[[#This Row],[debut]])-TRUNC(Tabel3[[#This Row],[fin precedent]])&lt;Tabel3[[#This Row],[delai]]))</f>
        <v>0</v>
      </c>
      <c r="X70"/>
      <c r="Y70" s="75">
        <v>45970</v>
      </c>
      <c r="Z70">
        <v>56.7</v>
      </c>
      <c r="AA70">
        <v>2</v>
      </c>
    </row>
    <row r="71" spans="1:27" ht="18" customHeight="1" x14ac:dyDescent="0.2">
      <c r="A71" s="57" t="s">
        <v>109</v>
      </c>
      <c r="B71" s="72">
        <v>112</v>
      </c>
      <c r="C71" s="77">
        <v>45922</v>
      </c>
      <c r="D71" s="77">
        <f t="shared" si="6"/>
        <v>45924</v>
      </c>
      <c r="E71" s="77">
        <f t="shared" si="6"/>
        <v>45928</v>
      </c>
      <c r="F71" s="77">
        <f t="shared" si="6"/>
        <v>45932</v>
      </c>
      <c r="G71" s="77">
        <f t="shared" si="6"/>
        <v>45937</v>
      </c>
      <c r="H71" s="77">
        <f t="shared" si="6"/>
        <v>45952</v>
      </c>
      <c r="I71" s="77">
        <f t="shared" si="6"/>
        <v>45982</v>
      </c>
      <c r="L71" s="78" t="s">
        <v>104</v>
      </c>
      <c r="M71" s="78" t="s">
        <v>115</v>
      </c>
      <c r="N71" s="78" t="s">
        <v>38</v>
      </c>
      <c r="O71" s="84">
        <v>45914</v>
      </c>
      <c r="P71" s="78">
        <v>63.75</v>
      </c>
      <c r="Q71" s="78">
        <f>INDEX($C$1:$I$1,MATCH(Tabel3[[#This Row],[Type]],Devoirs[[#Headers],[J0]:[J60]],0))</f>
        <v>4</v>
      </c>
      <c r="R71" s="85" cm="1">
        <f t="array" aca="1" ref="R7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45904.472083333341</v>
      </c>
      <c r="S7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45915.453125</v>
      </c>
      <c r="T7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45915.497395833336</v>
      </c>
      <c r="U71" s="82">
        <f ca="1">--(Tabel3[[#This Row],[jour]]&lt;&gt;TRUNC(Tabel3[[#This Row],[fin]]))</f>
        <v>1</v>
      </c>
      <c r="V71" s="82">
        <f ca="1">IF(Tabel3[[#This Row],[Type]]="j0",0,--(TRUNC(Tabel3[[#This Row],[debut]])-TRUNC(Tabel3[[#This Row],[fin precedent]])&lt;Tabel3[[#This Row],[delai]]))</f>
        <v>0</v>
      </c>
      <c r="X71"/>
      <c r="Y71" s="75">
        <v>45971</v>
      </c>
      <c r="Z71">
        <v>17.549999999999997</v>
      </c>
      <c r="AA71">
        <v>2</v>
      </c>
    </row>
    <row r="72" spans="1:27" ht="18" customHeight="1" x14ac:dyDescent="0.2">
      <c r="A72" s="57" t="s">
        <v>110</v>
      </c>
      <c r="B72" s="72">
        <v>100</v>
      </c>
      <c r="C72" s="77">
        <v>45924</v>
      </c>
      <c r="D72" s="77">
        <f t="shared" si="6"/>
        <v>45926</v>
      </c>
      <c r="E72" s="77">
        <f t="shared" si="6"/>
        <v>45930</v>
      </c>
      <c r="F72" s="77">
        <f t="shared" si="6"/>
        <v>45934</v>
      </c>
      <c r="G72" s="77">
        <f t="shared" si="6"/>
        <v>45939</v>
      </c>
      <c r="H72" s="77">
        <f t="shared" si="6"/>
        <v>45954</v>
      </c>
      <c r="I72" s="77">
        <f t="shared" si="6"/>
        <v>45984</v>
      </c>
      <c r="L72" s="78" t="s">
        <v>104</v>
      </c>
      <c r="M72" s="78" t="s">
        <v>113</v>
      </c>
      <c r="N72" s="78" t="s">
        <v>38</v>
      </c>
      <c r="O72" s="84">
        <v>45914</v>
      </c>
      <c r="P72" s="78">
        <v>69.75</v>
      </c>
      <c r="Q72" s="78">
        <f>INDEX($C$1:$I$1,MATCH(Tabel3[[#This Row],[Type]],Devoirs[[#Headers],[J0]:[J60]],0))</f>
        <v>4</v>
      </c>
      <c r="R72" s="85" cm="1">
        <f t="array" aca="1" ref="R7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45904.472083333341</v>
      </c>
      <c r="S7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45915.497395833336</v>
      </c>
      <c r="T7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45915.545833333337</v>
      </c>
      <c r="U72" s="82">
        <f ca="1">--(Tabel3[[#This Row],[jour]]&lt;&gt;TRUNC(Tabel3[[#This Row],[fin]]))</f>
        <v>1</v>
      </c>
      <c r="V72" s="82">
        <f ca="1">IF(Tabel3[[#This Row],[Type]]="j0",0,--(TRUNC(Tabel3[[#This Row],[debut]])-TRUNC(Tabel3[[#This Row],[fin precedent]])&lt;Tabel3[[#This Row],[delai]]))</f>
        <v>0</v>
      </c>
      <c r="X72"/>
      <c r="Y72" s="75">
        <v>45972</v>
      </c>
      <c r="Z72">
        <v>43.199999999999996</v>
      </c>
      <c r="AA72">
        <v>4</v>
      </c>
    </row>
    <row r="73" spans="1:27" ht="18" customHeight="1" x14ac:dyDescent="0.2">
      <c r="A73" s="57" t="s">
        <v>111</v>
      </c>
      <c r="B73" s="72">
        <v>62</v>
      </c>
      <c r="C73" s="77">
        <v>45933</v>
      </c>
      <c r="D73" s="77">
        <f t="shared" si="6"/>
        <v>45935</v>
      </c>
      <c r="E73" s="77">
        <f t="shared" si="6"/>
        <v>45939</v>
      </c>
      <c r="F73" s="77">
        <f t="shared" si="6"/>
        <v>45943</v>
      </c>
      <c r="G73" s="77">
        <f t="shared" si="6"/>
        <v>45948</v>
      </c>
      <c r="H73" s="77">
        <f t="shared" si="6"/>
        <v>45963</v>
      </c>
      <c r="I73" s="77">
        <f t="shared" si="6"/>
        <v>45993</v>
      </c>
      <c r="L73" s="78" t="s">
        <v>125</v>
      </c>
      <c r="M73" s="78" t="s">
        <v>130</v>
      </c>
      <c r="N73" s="78" t="s">
        <v>38</v>
      </c>
      <c r="O73" s="84">
        <v>45914</v>
      </c>
      <c r="P73" s="78">
        <v>75.75</v>
      </c>
      <c r="Q73" s="78">
        <f>INDEX($C$1:$I$1,MATCH(Tabel3[[#This Row],[Type]],Devoirs[[#Headers],[J0]:[J60]],0))</f>
        <v>4</v>
      </c>
      <c r="R73" s="85" cm="1">
        <f t="array" aca="1" ref="R7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45910.591319444466</v>
      </c>
      <c r="S7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45915.545833333337</v>
      </c>
      <c r="T7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45915.598437500004</v>
      </c>
      <c r="U73" s="82">
        <f ca="1">--(Tabel3[[#This Row],[jour]]&lt;&gt;TRUNC(Tabel3[[#This Row],[fin]]))</f>
        <v>1</v>
      </c>
      <c r="V73" s="82">
        <f ca="1">IF(Tabel3[[#This Row],[Type]]="j0",0,--(TRUNC(Tabel3[[#This Row],[debut]])-TRUNC(Tabel3[[#This Row],[fin precedent]])&lt;Tabel3[[#This Row],[delai]]))</f>
        <v>0</v>
      </c>
      <c r="X73"/>
      <c r="Y73" s="75">
        <v>45975</v>
      </c>
      <c r="Z73">
        <v>31.349999999999998</v>
      </c>
      <c r="AA73">
        <v>2</v>
      </c>
    </row>
    <row r="74" spans="1:27" ht="18" customHeight="1" x14ac:dyDescent="0.2">
      <c r="A74" s="57" t="s">
        <v>112</v>
      </c>
      <c r="B74" s="72">
        <v>98</v>
      </c>
      <c r="C74" s="77">
        <v>45924</v>
      </c>
      <c r="D74" s="77">
        <f t="shared" si="6"/>
        <v>45926</v>
      </c>
      <c r="E74" s="77">
        <f t="shared" si="6"/>
        <v>45930</v>
      </c>
      <c r="F74" s="77">
        <f t="shared" si="6"/>
        <v>45934</v>
      </c>
      <c r="G74" s="77">
        <f t="shared" si="6"/>
        <v>45939</v>
      </c>
      <c r="H74" s="77">
        <f t="shared" si="6"/>
        <v>45954</v>
      </c>
      <c r="I74" s="77">
        <f t="shared" si="6"/>
        <v>45984</v>
      </c>
      <c r="L74" s="78" t="s">
        <v>104</v>
      </c>
      <c r="M74" s="78" t="s">
        <v>106</v>
      </c>
      <c r="N74" s="78" t="s">
        <v>38</v>
      </c>
      <c r="O74" s="84">
        <v>45914</v>
      </c>
      <c r="P74" s="78">
        <v>79.5</v>
      </c>
      <c r="Q74" s="78">
        <f>INDEX($C$1:$I$1,MATCH(Tabel3[[#This Row],[Type]],Devoirs[[#Headers],[J0]:[J60]],0))</f>
        <v>4</v>
      </c>
      <c r="R74" s="85" cm="1">
        <f t="array" aca="1" ref="R7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45904.472083333341</v>
      </c>
      <c r="S7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45915.598437500004</v>
      </c>
      <c r="T7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45915.653645833336</v>
      </c>
      <c r="U74" s="82">
        <f ca="1">--(Tabel3[[#This Row],[jour]]&lt;&gt;TRUNC(Tabel3[[#This Row],[fin]]))</f>
        <v>1</v>
      </c>
      <c r="V74" s="82">
        <f ca="1">IF(Tabel3[[#This Row],[Type]]="j0",0,--(TRUNC(Tabel3[[#This Row],[debut]])-TRUNC(Tabel3[[#This Row],[fin precedent]])&lt;Tabel3[[#This Row],[delai]]))</f>
        <v>0</v>
      </c>
      <c r="X74"/>
      <c r="Y74" s="75">
        <v>45976</v>
      </c>
      <c r="Z74">
        <v>35.699999999999996</v>
      </c>
      <c r="AA74">
        <v>5</v>
      </c>
    </row>
    <row r="75" spans="1:27" ht="18" customHeight="1" x14ac:dyDescent="0.2">
      <c r="A75" s="57" t="s">
        <v>113</v>
      </c>
      <c r="B75" s="72">
        <v>93</v>
      </c>
      <c r="C75" s="77">
        <v>45908</v>
      </c>
      <c r="D75" s="77">
        <f t="shared" si="6"/>
        <v>45910</v>
      </c>
      <c r="E75" s="77">
        <f t="shared" si="6"/>
        <v>45914</v>
      </c>
      <c r="F75" s="77">
        <f t="shared" si="6"/>
        <v>45918</v>
      </c>
      <c r="G75" s="77">
        <f t="shared" si="6"/>
        <v>45923</v>
      </c>
      <c r="H75" s="77">
        <f t="shared" si="6"/>
        <v>45938</v>
      </c>
      <c r="I75" s="77">
        <f t="shared" si="6"/>
        <v>45968</v>
      </c>
      <c r="L75" s="78" t="s">
        <v>104</v>
      </c>
      <c r="M75" s="78" t="s">
        <v>118</v>
      </c>
      <c r="N75" s="78" t="s">
        <v>37</v>
      </c>
      <c r="O75" s="84">
        <v>45914</v>
      </c>
      <c r="P75" s="78">
        <v>40.5</v>
      </c>
      <c r="Q75" s="78">
        <f>INDEX($C$1:$I$1,MATCH(Tabel3[[#This Row],[Type]],Devoirs[[#Headers],[J0]:[J60]],0))</f>
        <v>2</v>
      </c>
      <c r="R75" s="85" cm="1">
        <f t="array" aca="1" ref="R7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45902.487499999996</v>
      </c>
      <c r="S7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45915.653645833336</v>
      </c>
      <c r="T7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45915.681770833333</v>
      </c>
      <c r="U75" s="82">
        <f ca="1">--(Tabel3[[#This Row],[jour]]&lt;&gt;TRUNC(Tabel3[[#This Row],[fin]]))</f>
        <v>1</v>
      </c>
      <c r="V75" s="82">
        <f ca="1">IF(Tabel3[[#This Row],[Type]]="j0",0,--(TRUNC(Tabel3[[#This Row],[debut]])-TRUNC(Tabel3[[#This Row],[fin precedent]])&lt;Tabel3[[#This Row],[delai]]))</f>
        <v>0</v>
      </c>
      <c r="X75"/>
      <c r="Y75" s="75">
        <v>45977</v>
      </c>
      <c r="Z75">
        <v>65.25</v>
      </c>
      <c r="AA75">
        <v>4</v>
      </c>
    </row>
    <row r="76" spans="1:27" ht="18" customHeight="1" x14ac:dyDescent="0.2">
      <c r="A76" s="57" t="s">
        <v>114</v>
      </c>
      <c r="B76" s="72">
        <v>92</v>
      </c>
      <c r="C76" s="77">
        <v>45902</v>
      </c>
      <c r="D76" s="77">
        <f t="shared" si="6"/>
        <v>45904</v>
      </c>
      <c r="E76" s="77">
        <f t="shared" si="6"/>
        <v>45908</v>
      </c>
      <c r="F76" s="77">
        <f t="shared" si="6"/>
        <v>45912</v>
      </c>
      <c r="G76" s="77">
        <f t="shared" si="6"/>
        <v>45917</v>
      </c>
      <c r="H76" s="77">
        <f t="shared" si="6"/>
        <v>45932</v>
      </c>
      <c r="I76" s="77">
        <f t="shared" si="6"/>
        <v>45962</v>
      </c>
      <c r="L76" s="78" t="s">
        <v>95</v>
      </c>
      <c r="M76" s="78" t="s">
        <v>96</v>
      </c>
      <c r="N76" s="78" t="s">
        <v>37</v>
      </c>
      <c r="O76" s="84">
        <v>45914</v>
      </c>
      <c r="P76" s="78">
        <v>57.6</v>
      </c>
      <c r="Q76" s="78">
        <f>INDEX($C$1:$I$1,MATCH(Tabel3[[#This Row],[Type]],Devoirs[[#Headers],[J0]:[J60]],0))</f>
        <v>2</v>
      </c>
      <c r="R76" s="85" cm="1">
        <f t="array" aca="1" ref="R7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45912.573784722234</v>
      </c>
      <c r="S7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45915.681770833333</v>
      </c>
      <c r="T7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45915.721770833334</v>
      </c>
      <c r="U76" s="82">
        <f ca="1">--(Tabel3[[#This Row],[jour]]&lt;&gt;TRUNC(Tabel3[[#This Row],[fin]]))</f>
        <v>1</v>
      </c>
      <c r="V76" s="82">
        <f ca="1">IF(Tabel3[[#This Row],[Type]]="j0",0,--(TRUNC(Tabel3[[#This Row],[debut]])-TRUNC(Tabel3[[#This Row],[fin precedent]])&lt;Tabel3[[#This Row],[delai]]))</f>
        <v>0</v>
      </c>
      <c r="X76"/>
      <c r="Y76" s="75">
        <v>45978</v>
      </c>
      <c r="Z76">
        <v>90.3</v>
      </c>
      <c r="AA76">
        <v>8</v>
      </c>
    </row>
    <row r="77" spans="1:27" ht="18" customHeight="1" x14ac:dyDescent="0.2">
      <c r="A77" s="57" t="s">
        <v>115</v>
      </c>
      <c r="B77" s="72">
        <v>85</v>
      </c>
      <c r="C77" s="77">
        <v>45908</v>
      </c>
      <c r="D77" s="77">
        <f t="shared" si="6"/>
        <v>45910</v>
      </c>
      <c r="E77" s="77">
        <f t="shared" si="6"/>
        <v>45914</v>
      </c>
      <c r="F77" s="77">
        <f t="shared" si="6"/>
        <v>45918</v>
      </c>
      <c r="G77" s="77">
        <f t="shared" si="6"/>
        <v>45923</v>
      </c>
      <c r="H77" s="77">
        <f t="shared" si="6"/>
        <v>45938</v>
      </c>
      <c r="I77" s="77">
        <f t="shared" si="6"/>
        <v>45968</v>
      </c>
      <c r="L77" s="78" t="s">
        <v>74</v>
      </c>
      <c r="M77" s="78" t="s">
        <v>78</v>
      </c>
      <c r="N77" s="78" t="s">
        <v>37</v>
      </c>
      <c r="O77" s="84">
        <v>45914</v>
      </c>
      <c r="P77" s="78">
        <v>78.3</v>
      </c>
      <c r="Q77" s="78">
        <f>INDEX($C$1:$I$1,MATCH(Tabel3[[#This Row],[Type]],Devoirs[[#Headers],[J0]:[J60]],0))</f>
        <v>2</v>
      </c>
      <c r="R77" s="85" cm="1">
        <f t="array" aca="1" ref="R7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45910.499444444467</v>
      </c>
      <c r="S7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45915.721770833334</v>
      </c>
      <c r="T7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45916.359479166669</v>
      </c>
      <c r="U77" s="82">
        <f ca="1">--(Tabel3[[#This Row],[jour]]&lt;&gt;TRUNC(Tabel3[[#This Row],[fin]]))</f>
        <v>1</v>
      </c>
      <c r="V77" s="82">
        <f ca="1">IF(Tabel3[[#This Row],[Type]]="j0",0,--(TRUNC(Tabel3[[#This Row],[debut]])-TRUNC(Tabel3[[#This Row],[fin precedent]])&lt;Tabel3[[#This Row],[delai]]))</f>
        <v>0</v>
      </c>
      <c r="X77"/>
      <c r="Y77" s="75">
        <v>45979</v>
      </c>
      <c r="Z77">
        <v>52.5</v>
      </c>
      <c r="AA77">
        <v>5</v>
      </c>
    </row>
    <row r="78" spans="1:27" ht="18" customHeight="1" x14ac:dyDescent="0.2">
      <c r="A78" s="57" t="s">
        <v>116</v>
      </c>
      <c r="B78" s="72">
        <v>110</v>
      </c>
      <c r="C78" s="77">
        <v>45922</v>
      </c>
      <c r="D78" s="77">
        <f t="shared" si="6"/>
        <v>45924</v>
      </c>
      <c r="E78" s="77">
        <f t="shared" si="6"/>
        <v>45928</v>
      </c>
      <c r="F78" s="77">
        <f t="shared" si="6"/>
        <v>45932</v>
      </c>
      <c r="G78" s="77">
        <f t="shared" si="6"/>
        <v>45937</v>
      </c>
      <c r="H78" s="77">
        <f t="shared" si="6"/>
        <v>45952</v>
      </c>
      <c r="I78" s="77">
        <f t="shared" si="6"/>
        <v>45982</v>
      </c>
      <c r="L78" s="78" t="s">
        <v>64</v>
      </c>
      <c r="M78" s="78" t="s">
        <v>66</v>
      </c>
      <c r="N78" s="78" t="s">
        <v>37</v>
      </c>
      <c r="O78" s="84">
        <v>45914</v>
      </c>
      <c r="P78" s="78">
        <v>82.8</v>
      </c>
      <c r="Q78" s="78">
        <f>INDEX($C$1:$I$1,MATCH(Tabel3[[#This Row],[Type]],Devoirs[[#Headers],[J0]:[J60]],0))</f>
        <v>2</v>
      </c>
      <c r="R78" s="85" cm="1">
        <f t="array" aca="1" ref="R7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45912.698090277787</v>
      </c>
      <c r="S7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45916.359479166669</v>
      </c>
      <c r="T7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45916.416979166672</v>
      </c>
      <c r="U78" s="82">
        <f ca="1">--(Tabel3[[#This Row],[jour]]&lt;&gt;TRUNC(Tabel3[[#This Row],[fin]]))</f>
        <v>1</v>
      </c>
      <c r="V78" s="82">
        <f ca="1">IF(Tabel3[[#This Row],[Type]]="j0",0,--(TRUNC(Tabel3[[#This Row],[debut]])-TRUNC(Tabel3[[#This Row],[fin precedent]])&lt;Tabel3[[#This Row],[delai]]))</f>
        <v>0</v>
      </c>
      <c r="X78"/>
      <c r="Y78" s="75">
        <v>45982</v>
      </c>
      <c r="Z78">
        <v>38.25</v>
      </c>
      <c r="AA78">
        <v>3</v>
      </c>
    </row>
    <row r="79" spans="1:27" ht="18" customHeight="1" x14ac:dyDescent="0.2">
      <c r="A79" s="57" t="s">
        <v>117</v>
      </c>
      <c r="B79" s="72">
        <v>60</v>
      </c>
      <c r="C79" s="77">
        <v>45916</v>
      </c>
      <c r="D79" s="77">
        <f t="shared" si="6"/>
        <v>45918</v>
      </c>
      <c r="E79" s="77">
        <f t="shared" si="6"/>
        <v>45922</v>
      </c>
      <c r="F79" s="77">
        <f t="shared" si="6"/>
        <v>45926</v>
      </c>
      <c r="G79" s="77">
        <f t="shared" si="6"/>
        <v>45931</v>
      </c>
      <c r="H79" s="77">
        <f t="shared" si="6"/>
        <v>45946</v>
      </c>
      <c r="I79" s="77">
        <f t="shared" si="6"/>
        <v>45976</v>
      </c>
      <c r="L79" s="78" t="s">
        <v>125</v>
      </c>
      <c r="M79" s="78" t="s">
        <v>128</v>
      </c>
      <c r="N79" s="78" t="s">
        <v>38</v>
      </c>
      <c r="O79" s="84">
        <v>45915</v>
      </c>
      <c r="P79" s="78">
        <v>52.5</v>
      </c>
      <c r="Q79" s="78">
        <f>INDEX($C$1:$I$1,MATCH(Tabel3[[#This Row],[Type]],Devoirs[[#Headers],[J0]:[J60]],0))</f>
        <v>4</v>
      </c>
      <c r="R79" s="85" cm="1">
        <f t="array" aca="1" ref="R7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45910.591319444466</v>
      </c>
      <c r="S7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45916.416979166672</v>
      </c>
      <c r="T7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45916.453437500008</v>
      </c>
      <c r="U79" s="82">
        <f ca="1">--(Tabel3[[#This Row],[jour]]&lt;&gt;TRUNC(Tabel3[[#This Row],[fin]]))</f>
        <v>1</v>
      </c>
      <c r="V79" s="82">
        <f ca="1">IF(Tabel3[[#This Row],[Type]]="j0",0,--(TRUNC(Tabel3[[#This Row],[debut]])-TRUNC(Tabel3[[#This Row],[fin precedent]])&lt;Tabel3[[#This Row],[delai]]))</f>
        <v>0</v>
      </c>
      <c r="X79"/>
      <c r="Y79" s="75">
        <v>45983</v>
      </c>
      <c r="Z79">
        <v>47.999999999999993</v>
      </c>
      <c r="AA79">
        <v>4</v>
      </c>
    </row>
    <row r="80" spans="1:27" ht="18" customHeight="1" x14ac:dyDescent="0.2">
      <c r="A80" s="57" t="s">
        <v>118</v>
      </c>
      <c r="B80" s="72">
        <v>45</v>
      </c>
      <c r="C80" s="77">
        <v>45912</v>
      </c>
      <c r="D80" s="77">
        <f t="shared" si="6"/>
        <v>45914</v>
      </c>
      <c r="E80" s="77">
        <f t="shared" si="6"/>
        <v>45918</v>
      </c>
      <c r="F80" s="77">
        <f t="shared" si="6"/>
        <v>45922</v>
      </c>
      <c r="G80" s="77">
        <f t="shared" si="6"/>
        <v>45927</v>
      </c>
      <c r="H80" s="77">
        <f t="shared" si="6"/>
        <v>45942</v>
      </c>
      <c r="I80" s="77">
        <f t="shared" si="6"/>
        <v>45972</v>
      </c>
      <c r="L80" s="78" t="s">
        <v>135</v>
      </c>
      <c r="M80" s="78" t="s">
        <v>156</v>
      </c>
      <c r="N80" s="78" t="s">
        <v>38</v>
      </c>
      <c r="O80" s="84">
        <v>45915</v>
      </c>
      <c r="P80" s="78">
        <v>81</v>
      </c>
      <c r="Q80" s="78">
        <f>INDEX($C$1:$I$1,MATCH(Tabel3[[#This Row],[Type]],Devoirs[[#Headers],[J0]:[J60]],0))</f>
        <v>4</v>
      </c>
      <c r="R80" s="85" cm="1">
        <f t="array" aca="1" ref="R8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45903.353333333333</v>
      </c>
      <c r="S8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45916.453437500008</v>
      </c>
      <c r="T8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45916.509687500009</v>
      </c>
      <c r="U80" s="82">
        <f ca="1">--(Tabel3[[#This Row],[jour]]&lt;&gt;TRUNC(Tabel3[[#This Row],[fin]]))</f>
        <v>1</v>
      </c>
      <c r="V80" s="82">
        <f ca="1">IF(Tabel3[[#This Row],[Type]]="j0",0,--(TRUNC(Tabel3[[#This Row],[debut]])-TRUNC(Tabel3[[#This Row],[fin precedent]])&lt;Tabel3[[#This Row],[delai]]))</f>
        <v>0</v>
      </c>
      <c r="X80"/>
      <c r="Y80" s="75">
        <v>45984</v>
      </c>
      <c r="Z80">
        <v>85.05</v>
      </c>
      <c r="AA80">
        <v>7</v>
      </c>
    </row>
    <row r="81" spans="1:27" ht="18" customHeight="1" x14ac:dyDescent="0.2">
      <c r="A81" s="57" t="s">
        <v>119</v>
      </c>
      <c r="B81" s="72">
        <v>34</v>
      </c>
      <c r="C81" s="77">
        <v>45925</v>
      </c>
      <c r="D81" s="77">
        <f t="shared" si="6"/>
        <v>45927</v>
      </c>
      <c r="E81" s="77">
        <f t="shared" si="6"/>
        <v>45931</v>
      </c>
      <c r="F81" s="77">
        <f t="shared" si="6"/>
        <v>45935</v>
      </c>
      <c r="G81" s="77">
        <f t="shared" si="6"/>
        <v>45940</v>
      </c>
      <c r="H81" s="77">
        <f t="shared" si="6"/>
        <v>45955</v>
      </c>
      <c r="I81" s="77">
        <f t="shared" si="6"/>
        <v>45985</v>
      </c>
      <c r="L81" s="78" t="s">
        <v>74</v>
      </c>
      <c r="M81" s="78" t="s">
        <v>83</v>
      </c>
      <c r="N81" s="78" t="s">
        <v>38</v>
      </c>
      <c r="O81" s="84">
        <v>45915</v>
      </c>
      <c r="P81" s="78">
        <v>83.25</v>
      </c>
      <c r="Q81" s="78">
        <f>INDEX($C$1:$I$1,MATCH(Tabel3[[#This Row],[Type]],Devoirs[[#Headers],[J0]:[J60]],0))</f>
        <v>4</v>
      </c>
      <c r="R81" s="85" cm="1">
        <f t="array" aca="1" ref="R8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45911.6805902778</v>
      </c>
      <c r="S8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45916.509687500009</v>
      </c>
      <c r="T8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45916.567500000012</v>
      </c>
      <c r="U81" s="82">
        <f ca="1">--(Tabel3[[#This Row],[jour]]&lt;&gt;TRUNC(Tabel3[[#This Row],[fin]]))</f>
        <v>1</v>
      </c>
      <c r="V81" s="82">
        <f ca="1">IF(Tabel3[[#This Row],[Type]]="j0",0,--(TRUNC(Tabel3[[#This Row],[debut]])-TRUNC(Tabel3[[#This Row],[fin precedent]])&lt;Tabel3[[#This Row],[delai]]))</f>
        <v>0</v>
      </c>
      <c r="X81"/>
      <c r="Y81" s="75">
        <v>45985</v>
      </c>
      <c r="Z81">
        <v>45.599999999999994</v>
      </c>
      <c r="AA81">
        <v>5</v>
      </c>
    </row>
    <row r="82" spans="1:27" ht="18" customHeight="1" x14ac:dyDescent="0.2">
      <c r="A82" s="57" t="s">
        <v>120</v>
      </c>
      <c r="B82" s="72">
        <v>102</v>
      </c>
      <c r="C82" s="77">
        <v>45931</v>
      </c>
      <c r="D82" s="77">
        <f t="shared" si="6"/>
        <v>45933</v>
      </c>
      <c r="E82" s="77">
        <f t="shared" si="6"/>
        <v>45937</v>
      </c>
      <c r="F82" s="77">
        <f t="shared" si="6"/>
        <v>45941</v>
      </c>
      <c r="G82" s="77">
        <f t="shared" si="6"/>
        <v>45946</v>
      </c>
      <c r="H82" s="77">
        <f t="shared" si="6"/>
        <v>45961</v>
      </c>
      <c r="I82" s="77">
        <f t="shared" si="6"/>
        <v>45991</v>
      </c>
      <c r="L82" s="78" t="s">
        <v>135</v>
      </c>
      <c r="M82" s="78" t="s">
        <v>141</v>
      </c>
      <c r="N82" s="78" t="s">
        <v>39</v>
      </c>
      <c r="O82" s="84">
        <v>45915</v>
      </c>
      <c r="P82" s="78">
        <v>37.799999999999997</v>
      </c>
      <c r="Q82" s="78">
        <f>INDEX($C$1:$I$1,MATCH(Tabel3[[#This Row],[Type]],Devoirs[[#Headers],[J0]:[J60]],0))</f>
        <v>4</v>
      </c>
      <c r="R82" s="85" cm="1">
        <f t="array" aca="1" ref="R8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45908.350000000006</v>
      </c>
      <c r="S8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45916.567500000012</v>
      </c>
      <c r="T8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45916.593750000015</v>
      </c>
      <c r="U82" s="82">
        <f ca="1">--(Tabel3[[#This Row],[jour]]&lt;&gt;TRUNC(Tabel3[[#This Row],[fin]]))</f>
        <v>1</v>
      </c>
      <c r="V82" s="82">
        <f ca="1">IF(Tabel3[[#This Row],[Type]]="j0",0,--(TRUNC(Tabel3[[#This Row],[debut]])-TRUNC(Tabel3[[#This Row],[fin precedent]])&lt;Tabel3[[#This Row],[delai]]))</f>
        <v>0</v>
      </c>
      <c r="X82"/>
      <c r="Y82" s="75">
        <v>45989</v>
      </c>
      <c r="Z82">
        <v>28.049999999999997</v>
      </c>
      <c r="AA82">
        <v>2</v>
      </c>
    </row>
    <row r="83" spans="1:27" ht="18" customHeight="1" x14ac:dyDescent="0.2">
      <c r="A83" s="57" t="s">
        <v>121</v>
      </c>
      <c r="B83" s="72">
        <v>69</v>
      </c>
      <c r="C83" s="77">
        <v>45924</v>
      </c>
      <c r="D83" s="77">
        <f t="shared" si="6"/>
        <v>45926</v>
      </c>
      <c r="E83" s="77">
        <f t="shared" si="6"/>
        <v>45930</v>
      </c>
      <c r="F83" s="77">
        <f t="shared" si="6"/>
        <v>45934</v>
      </c>
      <c r="G83" s="77">
        <f t="shared" si="6"/>
        <v>45939</v>
      </c>
      <c r="H83" s="77">
        <f t="shared" si="6"/>
        <v>45954</v>
      </c>
      <c r="I83" s="77">
        <f t="shared" si="6"/>
        <v>45984</v>
      </c>
      <c r="L83" s="78" t="s">
        <v>43</v>
      </c>
      <c r="M83" s="78" t="s">
        <v>44</v>
      </c>
      <c r="N83" s="78" t="s">
        <v>1</v>
      </c>
      <c r="O83" s="84">
        <v>45915</v>
      </c>
      <c r="P83" s="78">
        <v>96</v>
      </c>
      <c r="Q83" s="78">
        <f>INDEX($C$1:$I$1,MATCH(Tabel3[[#This Row],[Type]],Devoirs[[#Headers],[J0]:[J60]],0))</f>
        <v>0</v>
      </c>
      <c r="R83" s="85" t="str" cm="1">
        <f t="array" ref="R83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8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45916.593750000015</v>
      </c>
      <c r="T8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45916.66041666668</v>
      </c>
      <c r="U83" s="82">
        <f ca="1">--(Tabel3[[#This Row],[jour]]&lt;&gt;TRUNC(Tabel3[[#This Row],[fin]]))</f>
        <v>1</v>
      </c>
      <c r="V83" s="82">
        <f>IF(Tabel3[[#This Row],[Type]]="j0",0,--(TRUNC(Tabel3[[#This Row],[debut]])-TRUNC(Tabel3[[#This Row],[fin precedent]])&lt;Tabel3[[#This Row],[delai]]))</f>
        <v>0</v>
      </c>
      <c r="X83"/>
      <c r="Y83" s="75">
        <v>45990</v>
      </c>
      <c r="Z83">
        <v>43.649999999999991</v>
      </c>
      <c r="AA83">
        <v>3</v>
      </c>
    </row>
    <row r="84" spans="1:27" ht="18" customHeight="1" x14ac:dyDescent="0.2">
      <c r="A84" s="57" t="s">
        <v>122</v>
      </c>
      <c r="B84" s="72">
        <v>79</v>
      </c>
      <c r="C84" s="77">
        <v>45929</v>
      </c>
      <c r="D84" s="77">
        <f t="shared" si="6"/>
        <v>45931</v>
      </c>
      <c r="E84" s="77">
        <f t="shared" si="6"/>
        <v>45935</v>
      </c>
      <c r="F84" s="77">
        <f t="shared" si="6"/>
        <v>45939</v>
      </c>
      <c r="G84" s="77">
        <f t="shared" si="6"/>
        <v>45944</v>
      </c>
      <c r="H84" s="77">
        <f t="shared" si="6"/>
        <v>45959</v>
      </c>
      <c r="I84" s="77">
        <f t="shared" si="6"/>
        <v>45989</v>
      </c>
      <c r="L84" s="78" t="s">
        <v>104</v>
      </c>
      <c r="M84" s="78" t="s">
        <v>108</v>
      </c>
      <c r="N84" s="78" t="s">
        <v>1</v>
      </c>
      <c r="O84" s="84">
        <v>45915</v>
      </c>
      <c r="P84" s="78">
        <v>113</v>
      </c>
      <c r="Q84" s="78">
        <f>INDEX($C$1:$I$1,MATCH(Tabel3[[#This Row],[Type]],Devoirs[[#Headers],[J0]:[J60]],0))</f>
        <v>0</v>
      </c>
      <c r="R84" s="85" t="str" cm="1">
        <f t="array" ref="R84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8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45916.66041666668</v>
      </c>
      <c r="T8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45916.738888888904</v>
      </c>
      <c r="U84" s="82">
        <f ca="1">--(Tabel3[[#This Row],[jour]]&lt;&gt;TRUNC(Tabel3[[#This Row],[fin]]))</f>
        <v>1</v>
      </c>
      <c r="V84" s="82">
        <f>IF(Tabel3[[#This Row],[Type]]="j0",0,--(TRUNC(Tabel3[[#This Row],[debut]])-TRUNC(Tabel3[[#This Row],[fin precedent]])&lt;Tabel3[[#This Row],[delai]]))</f>
        <v>0</v>
      </c>
      <c r="X84"/>
      <c r="Y84" s="75">
        <v>45991</v>
      </c>
      <c r="Z84">
        <v>45.15</v>
      </c>
      <c r="AA84">
        <v>4</v>
      </c>
    </row>
    <row r="85" spans="1:27" ht="18" customHeight="1" x14ac:dyDescent="0.2">
      <c r="A85" s="57" t="s">
        <v>123</v>
      </c>
      <c r="B85" s="72">
        <v>76</v>
      </c>
      <c r="C85" s="77">
        <v>45932</v>
      </c>
      <c r="D85" s="77">
        <f t="shared" si="6"/>
        <v>45934</v>
      </c>
      <c r="E85" s="77">
        <f t="shared" si="6"/>
        <v>45938</v>
      </c>
      <c r="F85" s="77">
        <f t="shared" si="6"/>
        <v>45942</v>
      </c>
      <c r="G85" s="77">
        <f t="shared" si="6"/>
        <v>45947</v>
      </c>
      <c r="H85" s="77">
        <f t="shared" si="6"/>
        <v>45962</v>
      </c>
      <c r="I85" s="77">
        <f t="shared" si="6"/>
        <v>45992</v>
      </c>
      <c r="L85" s="78" t="s">
        <v>135</v>
      </c>
      <c r="M85" s="78" t="s">
        <v>138</v>
      </c>
      <c r="N85" s="78" t="s">
        <v>40</v>
      </c>
      <c r="O85" s="84">
        <v>45916</v>
      </c>
      <c r="P85" s="78">
        <v>14.4</v>
      </c>
      <c r="Q85" s="78">
        <f>INDEX($C$1:$I$1,MATCH(Tabel3[[#This Row],[Type]],Devoirs[[#Headers],[J0]:[J60]],0))</f>
        <v>5</v>
      </c>
      <c r="R85" s="85" cm="1">
        <f t="array" aca="1" ref="R8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45911.693923611136</v>
      </c>
      <c r="S8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45916.738888888904</v>
      </c>
      <c r="T8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45916.748888888906</v>
      </c>
      <c r="U85" s="82">
        <f ca="1">--(Tabel3[[#This Row],[jour]]&lt;&gt;TRUNC(Tabel3[[#This Row],[fin]]))</f>
        <v>0</v>
      </c>
      <c r="V85" s="82">
        <f ca="1">IF(Tabel3[[#This Row],[Type]]="j0",0,--(TRUNC(Tabel3[[#This Row],[debut]])-TRUNC(Tabel3[[#This Row],[fin precedent]])&lt;Tabel3[[#This Row],[delai]]))</f>
        <v>0</v>
      </c>
      <c r="X85"/>
      <c r="Y85" s="75">
        <v>45992</v>
      </c>
      <c r="Z85">
        <v>29.25</v>
      </c>
      <c r="AA85">
        <v>2</v>
      </c>
    </row>
    <row r="86" spans="1:27" ht="18" customHeight="1" x14ac:dyDescent="0.2">
      <c r="A86" s="58" t="s">
        <v>124</v>
      </c>
      <c r="B86" s="72">
        <v>50</v>
      </c>
      <c r="C86" s="77">
        <v>45931</v>
      </c>
      <c r="D86" s="77">
        <f t="shared" ref="D86:I101" si="7">IF($C86&gt;0,$C86+D$2,"")</f>
        <v>45933</v>
      </c>
      <c r="E86" s="77">
        <f t="shared" si="7"/>
        <v>45937</v>
      </c>
      <c r="F86" s="77">
        <f t="shared" si="7"/>
        <v>45941</v>
      </c>
      <c r="G86" s="77">
        <f t="shared" si="7"/>
        <v>45946</v>
      </c>
      <c r="H86" s="77">
        <f t="shared" si="7"/>
        <v>45961</v>
      </c>
      <c r="I86" s="77">
        <f t="shared" si="7"/>
        <v>45991</v>
      </c>
      <c r="L86" s="86" t="s">
        <v>135</v>
      </c>
      <c r="M86" s="86" t="s">
        <v>137</v>
      </c>
      <c r="N86" s="86" t="s">
        <v>1</v>
      </c>
      <c r="O86" s="84">
        <v>45916</v>
      </c>
      <c r="P86" s="78">
        <v>36</v>
      </c>
      <c r="Q86" s="78">
        <f>INDEX($C$1:$I$1,MATCH(Tabel3[[#This Row],[Type]],Devoirs[[#Headers],[J0]:[J60]],0))</f>
        <v>0</v>
      </c>
      <c r="R86" s="85" t="str" cm="1">
        <f t="array" ref="R86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8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45916.748888888906</v>
      </c>
      <c r="T8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45917.357222222243</v>
      </c>
      <c r="U86" s="82">
        <f ca="1">--(Tabel3[[#This Row],[jour]]&lt;&gt;TRUNC(Tabel3[[#This Row],[fin]]))</f>
        <v>1</v>
      </c>
      <c r="V86" s="82">
        <f>IF(Tabel3[[#This Row],[Type]]="j0",0,--(TRUNC(Tabel3[[#This Row],[debut]])-TRUNC(Tabel3[[#This Row],[fin precedent]])&lt;Tabel3[[#This Row],[delai]]))</f>
        <v>0</v>
      </c>
      <c r="X86"/>
      <c r="Y86" s="75">
        <v>45993</v>
      </c>
      <c r="Z86">
        <v>34.5</v>
      </c>
      <c r="AA86">
        <v>3</v>
      </c>
    </row>
    <row r="87" spans="1:27" ht="18" customHeight="1" x14ac:dyDescent="0.2">
      <c r="A87" s="42" t="s">
        <v>125</v>
      </c>
      <c r="B87" s="42"/>
      <c r="C87" s="77"/>
      <c r="D87" s="77" t="str">
        <f t="shared" si="7"/>
        <v/>
      </c>
      <c r="E87" s="77" t="str">
        <f t="shared" si="7"/>
        <v/>
      </c>
      <c r="F87" s="77" t="str">
        <f t="shared" si="7"/>
        <v/>
      </c>
      <c r="G87" s="77" t="str">
        <f t="shared" si="7"/>
        <v/>
      </c>
      <c r="H87" s="77" t="str">
        <f t="shared" si="7"/>
        <v/>
      </c>
      <c r="I87" s="77" t="str">
        <f t="shared" si="7"/>
        <v/>
      </c>
      <c r="L87" s="78" t="s">
        <v>104</v>
      </c>
      <c r="M87" s="78" t="s">
        <v>105</v>
      </c>
      <c r="N87" s="78" t="s">
        <v>1</v>
      </c>
      <c r="O87" s="84">
        <v>45916</v>
      </c>
      <c r="P87" s="78">
        <v>45</v>
      </c>
      <c r="Q87" s="78">
        <f>INDEX($C$1:$I$1,MATCH(Tabel3[[#This Row],[Type]],Devoirs[[#Headers],[J0]:[J60]],0))</f>
        <v>0</v>
      </c>
      <c r="R87" s="85" t="str" cm="1">
        <f t="array" ref="R87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8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45917.357222222243</v>
      </c>
      <c r="T8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45917.388472222243</v>
      </c>
      <c r="U87" s="82">
        <f ca="1">--(Tabel3[[#This Row],[jour]]&lt;&gt;TRUNC(Tabel3[[#This Row],[fin]]))</f>
        <v>1</v>
      </c>
      <c r="V87" s="82">
        <f>IF(Tabel3[[#This Row],[Type]]="j0",0,--(TRUNC(Tabel3[[#This Row],[debut]])-TRUNC(Tabel3[[#This Row],[fin precedent]])&lt;Tabel3[[#This Row],[delai]]))</f>
        <v>0</v>
      </c>
      <c r="X87"/>
      <c r="Y87" s="75">
        <v>45996</v>
      </c>
      <c r="Z87">
        <v>21.3</v>
      </c>
      <c r="AA87">
        <v>2</v>
      </c>
    </row>
    <row r="88" spans="1:27" ht="18" customHeight="1" x14ac:dyDescent="0.2">
      <c r="A88" s="63" t="s">
        <v>126</v>
      </c>
      <c r="B88" s="63">
        <v>66</v>
      </c>
      <c r="C88" s="77">
        <v>45937</v>
      </c>
      <c r="D88" s="77">
        <f t="shared" si="7"/>
        <v>45939</v>
      </c>
      <c r="E88" s="77">
        <f t="shared" si="7"/>
        <v>45943</v>
      </c>
      <c r="F88" s="77">
        <f t="shared" si="7"/>
        <v>45947</v>
      </c>
      <c r="G88" s="77">
        <f t="shared" si="7"/>
        <v>45952</v>
      </c>
      <c r="H88" s="77">
        <f t="shared" si="7"/>
        <v>45967</v>
      </c>
      <c r="I88" s="77">
        <f t="shared" si="7"/>
        <v>45997</v>
      </c>
      <c r="L88" s="78" t="s">
        <v>64</v>
      </c>
      <c r="M88" s="78" t="s">
        <v>69</v>
      </c>
      <c r="N88" s="78" t="s">
        <v>1</v>
      </c>
      <c r="O88" s="84">
        <v>45916</v>
      </c>
      <c r="P88" s="78">
        <v>48</v>
      </c>
      <c r="Q88" s="78">
        <f>INDEX($C$1:$I$1,MATCH(Tabel3[[#This Row],[Type]],Devoirs[[#Headers],[J0]:[J60]],0))</f>
        <v>0</v>
      </c>
      <c r="R88" s="85" t="str" cm="1">
        <f t="array" ref="R88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8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45917.388472222243</v>
      </c>
      <c r="T8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45917.421805555576</v>
      </c>
      <c r="U88" s="82">
        <f ca="1">--(Tabel3[[#This Row],[jour]]&lt;&gt;TRUNC(Tabel3[[#This Row],[fin]]))</f>
        <v>1</v>
      </c>
      <c r="V88" s="82">
        <f>IF(Tabel3[[#This Row],[Type]]="j0",0,--(TRUNC(Tabel3[[#This Row],[debut]])-TRUNC(Tabel3[[#This Row],[fin precedent]])&lt;Tabel3[[#This Row],[delai]]))</f>
        <v>0</v>
      </c>
      <c r="X88"/>
      <c r="Y88" s="75">
        <v>45997</v>
      </c>
      <c r="Z88">
        <v>59.399999999999991</v>
      </c>
      <c r="AA88">
        <v>5</v>
      </c>
    </row>
    <row r="89" spans="1:27" ht="18" customHeight="1" x14ac:dyDescent="0.2">
      <c r="A89" s="63" t="s">
        <v>127</v>
      </c>
      <c r="B89" s="63">
        <v>107</v>
      </c>
      <c r="C89" s="77">
        <v>45918</v>
      </c>
      <c r="D89" s="77">
        <f t="shared" si="7"/>
        <v>45920</v>
      </c>
      <c r="E89" s="77">
        <f t="shared" si="7"/>
        <v>45924</v>
      </c>
      <c r="F89" s="77">
        <f t="shared" si="7"/>
        <v>45928</v>
      </c>
      <c r="G89" s="77">
        <f t="shared" si="7"/>
        <v>45933</v>
      </c>
      <c r="H89" s="77">
        <f t="shared" si="7"/>
        <v>45948</v>
      </c>
      <c r="I89" s="77">
        <f t="shared" si="7"/>
        <v>45978</v>
      </c>
      <c r="L89" s="78" t="s">
        <v>74</v>
      </c>
      <c r="M89" s="78" t="s">
        <v>80</v>
      </c>
      <c r="N89" s="78" t="s">
        <v>1</v>
      </c>
      <c r="O89" s="84">
        <v>45916</v>
      </c>
      <c r="P89" s="78">
        <v>49</v>
      </c>
      <c r="Q89" s="78">
        <f>INDEX($C$1:$I$1,MATCH(Tabel3[[#This Row],[Type]],Devoirs[[#Headers],[J0]:[J60]],0))</f>
        <v>0</v>
      </c>
      <c r="R89" s="85" t="str" cm="1">
        <f t="array" ref="R89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8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45917.421805555576</v>
      </c>
      <c r="T8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45917.455833333355</v>
      </c>
      <c r="U89" s="82">
        <f ca="1">--(Tabel3[[#This Row],[jour]]&lt;&gt;TRUNC(Tabel3[[#This Row],[fin]]))</f>
        <v>1</v>
      </c>
      <c r="V89" s="82">
        <f>IF(Tabel3[[#This Row],[Type]]="j0",0,--(TRUNC(Tabel3[[#This Row],[debut]])-TRUNC(Tabel3[[#This Row],[fin precedent]])&lt;Tabel3[[#This Row],[delai]]))</f>
        <v>0</v>
      </c>
      <c r="X89"/>
      <c r="Y89" s="75">
        <v>45998</v>
      </c>
      <c r="Z89">
        <v>18.149999999999999</v>
      </c>
      <c r="AA89">
        <v>2</v>
      </c>
    </row>
    <row r="90" spans="1:27" ht="18" customHeight="1" x14ac:dyDescent="0.2">
      <c r="A90" s="63" t="s">
        <v>128</v>
      </c>
      <c r="B90" s="63">
        <v>70</v>
      </c>
      <c r="C90" s="77">
        <v>45909</v>
      </c>
      <c r="D90" s="77">
        <f t="shared" si="7"/>
        <v>45911</v>
      </c>
      <c r="E90" s="77">
        <f t="shared" si="7"/>
        <v>45915</v>
      </c>
      <c r="F90" s="77">
        <f t="shared" si="7"/>
        <v>45919</v>
      </c>
      <c r="G90" s="77">
        <f t="shared" si="7"/>
        <v>45924</v>
      </c>
      <c r="H90" s="77">
        <f t="shared" si="7"/>
        <v>45939</v>
      </c>
      <c r="I90" s="77">
        <f t="shared" si="7"/>
        <v>45969</v>
      </c>
      <c r="L90" s="78" t="s">
        <v>104</v>
      </c>
      <c r="M90" s="78" t="s">
        <v>117</v>
      </c>
      <c r="N90" s="78" t="s">
        <v>1</v>
      </c>
      <c r="O90" s="84">
        <v>45916</v>
      </c>
      <c r="P90" s="78">
        <v>60</v>
      </c>
      <c r="Q90" s="78">
        <f>INDEX($C$1:$I$1,MATCH(Tabel3[[#This Row],[Type]],Devoirs[[#Headers],[J0]:[J60]],0))</f>
        <v>0</v>
      </c>
      <c r="R90" s="85" t="str" cm="1">
        <f t="array" ref="R90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9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45917.455833333355</v>
      </c>
      <c r="T9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45917.497500000019</v>
      </c>
      <c r="U90" s="82">
        <f ca="1">--(Tabel3[[#This Row],[jour]]&lt;&gt;TRUNC(Tabel3[[#This Row],[fin]]))</f>
        <v>1</v>
      </c>
      <c r="V90" s="82">
        <f>IF(Tabel3[[#This Row],[Type]]="j0",0,--(TRUNC(Tabel3[[#This Row],[debut]])-TRUNC(Tabel3[[#This Row],[fin precedent]])&lt;Tabel3[[#This Row],[delai]]))</f>
        <v>0</v>
      </c>
      <c r="X90"/>
      <c r="Y90" s="75">
        <v>45999</v>
      </c>
      <c r="Z90">
        <v>26.4</v>
      </c>
      <c r="AA90">
        <v>2</v>
      </c>
    </row>
    <row r="91" spans="1:27" ht="18" customHeight="1" x14ac:dyDescent="0.2">
      <c r="A91" s="63" t="s">
        <v>129</v>
      </c>
      <c r="B91" s="63">
        <v>88</v>
      </c>
      <c r="C91" s="77">
        <v>45925</v>
      </c>
      <c r="D91" s="77">
        <f t="shared" si="7"/>
        <v>45927</v>
      </c>
      <c r="E91" s="77">
        <f t="shared" si="7"/>
        <v>45931</v>
      </c>
      <c r="F91" s="77">
        <f t="shared" si="7"/>
        <v>45935</v>
      </c>
      <c r="G91" s="77">
        <f t="shared" si="7"/>
        <v>45940</v>
      </c>
      <c r="H91" s="77">
        <f t="shared" si="7"/>
        <v>45955</v>
      </c>
      <c r="I91" s="77">
        <f t="shared" si="7"/>
        <v>45985</v>
      </c>
      <c r="L91" s="78" t="s">
        <v>135</v>
      </c>
      <c r="M91" s="78" t="s">
        <v>157</v>
      </c>
      <c r="N91" s="78" t="s">
        <v>38</v>
      </c>
      <c r="O91" s="84">
        <v>45917</v>
      </c>
      <c r="P91" s="78">
        <v>40.5</v>
      </c>
      <c r="Q91" s="78">
        <f>INDEX($C$1:$I$1,MATCH(Tabel3[[#This Row],[Type]],Devoirs[[#Headers],[J0]:[J60]],0))</f>
        <v>4</v>
      </c>
      <c r="R91" s="85" cm="1">
        <f t="array" aca="1" ref="R9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45903.353333333333</v>
      </c>
      <c r="S9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45917.497500000019</v>
      </c>
      <c r="T9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45917.525625000017</v>
      </c>
      <c r="U91" s="82">
        <f ca="1">--(Tabel3[[#This Row],[jour]]&lt;&gt;TRUNC(Tabel3[[#This Row],[fin]]))</f>
        <v>0</v>
      </c>
      <c r="V91" s="82">
        <f ca="1">IF(Tabel3[[#This Row],[Type]]="j0",0,--(TRUNC(Tabel3[[#This Row],[debut]])-TRUNC(Tabel3[[#This Row],[fin precedent]])&lt;Tabel3[[#This Row],[delai]]))</f>
        <v>0</v>
      </c>
      <c r="X91"/>
      <c r="Y91" s="75">
        <v>46000</v>
      </c>
      <c r="Z91">
        <v>28.35</v>
      </c>
      <c r="AA91">
        <v>2</v>
      </c>
    </row>
    <row r="92" spans="1:27" ht="18" customHeight="1" x14ac:dyDescent="0.2">
      <c r="A92" s="63" t="s">
        <v>130</v>
      </c>
      <c r="B92" s="63">
        <v>101</v>
      </c>
      <c r="C92" s="77">
        <v>45908</v>
      </c>
      <c r="D92" s="77">
        <f t="shared" si="7"/>
        <v>45910</v>
      </c>
      <c r="E92" s="77">
        <f t="shared" si="7"/>
        <v>45914</v>
      </c>
      <c r="F92" s="77">
        <f t="shared" si="7"/>
        <v>45918</v>
      </c>
      <c r="G92" s="77">
        <f t="shared" si="7"/>
        <v>45923</v>
      </c>
      <c r="H92" s="77">
        <f t="shared" si="7"/>
        <v>45938</v>
      </c>
      <c r="I92" s="77">
        <f t="shared" si="7"/>
        <v>45968</v>
      </c>
      <c r="L92" s="78" t="s">
        <v>51</v>
      </c>
      <c r="M92" s="78" t="s">
        <v>61</v>
      </c>
      <c r="N92" s="78" t="s">
        <v>38</v>
      </c>
      <c r="O92" s="84">
        <v>45917</v>
      </c>
      <c r="P92" s="78">
        <v>47.25</v>
      </c>
      <c r="Q92" s="78">
        <f>INDEX($C$1:$I$1,MATCH(Tabel3[[#This Row],[Type]],Devoirs[[#Headers],[J0]:[J60]],0))</f>
        <v>4</v>
      </c>
      <c r="R92" s="85" cm="1">
        <f t="array" aca="1" ref="R9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45904.365208333336</v>
      </c>
      <c r="S9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45917.525625000017</v>
      </c>
      <c r="T9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45917.558437500018</v>
      </c>
      <c r="U92" s="82">
        <f ca="1">--(Tabel3[[#This Row],[jour]]&lt;&gt;TRUNC(Tabel3[[#This Row],[fin]]))</f>
        <v>0</v>
      </c>
      <c r="V92" s="82">
        <f ca="1">IF(Tabel3[[#This Row],[Type]]="j0",0,--(TRUNC(Tabel3[[#This Row],[debut]])-TRUNC(Tabel3[[#This Row],[fin precedent]])&lt;Tabel3[[#This Row],[delai]]))</f>
        <v>0</v>
      </c>
      <c r="X92"/>
      <c r="Y92" s="75"/>
    </row>
    <row r="93" spans="1:27" ht="18" customHeight="1" x14ac:dyDescent="0.2">
      <c r="A93" s="63" t="s">
        <v>131</v>
      </c>
      <c r="B93" s="63">
        <v>56</v>
      </c>
      <c r="C93" s="77">
        <v>45919</v>
      </c>
      <c r="D93" s="77">
        <f t="shared" si="7"/>
        <v>45921</v>
      </c>
      <c r="E93" s="77">
        <f t="shared" si="7"/>
        <v>45925</v>
      </c>
      <c r="F93" s="77">
        <f t="shared" si="7"/>
        <v>45929</v>
      </c>
      <c r="G93" s="77">
        <f t="shared" si="7"/>
        <v>45934</v>
      </c>
      <c r="H93" s="77">
        <f t="shared" si="7"/>
        <v>45949</v>
      </c>
      <c r="I93" s="77">
        <f t="shared" si="7"/>
        <v>45979</v>
      </c>
      <c r="L93" s="78" t="s">
        <v>43</v>
      </c>
      <c r="M93" s="78" t="s">
        <v>44</v>
      </c>
      <c r="N93" s="78" t="s">
        <v>37</v>
      </c>
      <c r="O93" s="84">
        <v>45917</v>
      </c>
      <c r="P93" s="78">
        <v>86.4</v>
      </c>
      <c r="Q93" s="78">
        <f>INDEX($C$1:$I$1,MATCH(Tabel3[[#This Row],[Type]],Devoirs[[#Headers],[J0]:[J60]],0))</f>
        <v>2</v>
      </c>
      <c r="R93" s="85" cm="1">
        <f t="array" aca="1" ref="R9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45916.66041666668</v>
      </c>
      <c r="S9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45917.558437500018</v>
      </c>
      <c r="T9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45917.618437500016</v>
      </c>
      <c r="U93" s="82">
        <f ca="1">--(Tabel3[[#This Row],[jour]]&lt;&gt;TRUNC(Tabel3[[#This Row],[fin]]))</f>
        <v>0</v>
      </c>
      <c r="V93" s="82">
        <f ca="1">IF(Tabel3[[#This Row],[Type]]="j0",0,--(TRUNC(Tabel3[[#This Row],[debut]])-TRUNC(Tabel3[[#This Row],[fin precedent]])&lt;Tabel3[[#This Row],[delai]]))</f>
        <v>1</v>
      </c>
      <c r="X93"/>
      <c r="Y93" s="75"/>
    </row>
    <row r="94" spans="1:27" ht="18" customHeight="1" x14ac:dyDescent="0.2">
      <c r="A94" s="63" t="s">
        <v>132</v>
      </c>
      <c r="B94" s="63">
        <v>81</v>
      </c>
      <c r="C94" s="77">
        <v>45940</v>
      </c>
      <c r="D94" s="77">
        <f t="shared" si="7"/>
        <v>45942</v>
      </c>
      <c r="E94" s="77">
        <f t="shared" si="7"/>
        <v>45946</v>
      </c>
      <c r="F94" s="77">
        <f t="shared" si="7"/>
        <v>45950</v>
      </c>
      <c r="G94" s="77">
        <f t="shared" si="7"/>
        <v>45955</v>
      </c>
      <c r="H94" s="77">
        <f t="shared" si="7"/>
        <v>45970</v>
      </c>
      <c r="I94" s="77">
        <f t="shared" si="7"/>
        <v>46000</v>
      </c>
      <c r="L94" s="78" t="s">
        <v>104</v>
      </c>
      <c r="M94" s="78" t="s">
        <v>108</v>
      </c>
      <c r="N94" s="78" t="s">
        <v>37</v>
      </c>
      <c r="O94" s="84">
        <v>45917</v>
      </c>
      <c r="P94" s="78">
        <v>101.7</v>
      </c>
      <c r="Q94" s="78">
        <f>INDEX($C$1:$I$1,MATCH(Tabel3[[#This Row],[Type]],Devoirs[[#Headers],[J0]:[J60]],0))</f>
        <v>2</v>
      </c>
      <c r="R94" s="85" cm="1">
        <f t="array" aca="1" ref="R9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45902.487499999996</v>
      </c>
      <c r="S9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45917.618437500016</v>
      </c>
      <c r="T9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45917.689062500016</v>
      </c>
      <c r="U94" s="82">
        <f ca="1">--(Tabel3[[#This Row],[jour]]&lt;&gt;TRUNC(Tabel3[[#This Row],[fin]]))</f>
        <v>0</v>
      </c>
      <c r="V94" s="82">
        <f ca="1">IF(Tabel3[[#This Row],[Type]]="j0",0,--(TRUNC(Tabel3[[#This Row],[debut]])-TRUNC(Tabel3[[#This Row],[fin precedent]])&lt;Tabel3[[#This Row],[delai]]))</f>
        <v>0</v>
      </c>
      <c r="X94"/>
      <c r="Y94" s="75"/>
    </row>
    <row r="95" spans="1:27" ht="18" customHeight="1" x14ac:dyDescent="0.2">
      <c r="A95" s="63" t="s">
        <v>133</v>
      </c>
      <c r="B95" s="63">
        <v>78</v>
      </c>
      <c r="C95" s="77">
        <v>45908</v>
      </c>
      <c r="D95" s="77">
        <f t="shared" si="7"/>
        <v>45910</v>
      </c>
      <c r="E95" s="77">
        <f t="shared" si="7"/>
        <v>45914</v>
      </c>
      <c r="F95" s="77">
        <f t="shared" si="7"/>
        <v>45918</v>
      </c>
      <c r="G95" s="77">
        <f t="shared" si="7"/>
        <v>45923</v>
      </c>
      <c r="H95" s="77">
        <f t="shared" si="7"/>
        <v>45938</v>
      </c>
      <c r="I95" s="77">
        <f t="shared" si="7"/>
        <v>45968</v>
      </c>
      <c r="L95" s="78" t="s">
        <v>51</v>
      </c>
      <c r="M95" s="78" t="s">
        <v>55</v>
      </c>
      <c r="N95" s="78" t="s">
        <v>40</v>
      </c>
      <c r="O95" s="84">
        <v>45917</v>
      </c>
      <c r="P95" s="78">
        <v>22.95</v>
      </c>
      <c r="Q95" s="78">
        <f>INDEX($C$1:$I$1,MATCH(Tabel3[[#This Row],[Type]],Devoirs[[#Headers],[J0]:[J60]],0))</f>
        <v>5</v>
      </c>
      <c r="R95" s="85" cm="1">
        <f t="array" aca="1" ref="R9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45912.379756944465</v>
      </c>
      <c r="S9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45917.689062500016</v>
      </c>
      <c r="T9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45917.705000000016</v>
      </c>
      <c r="U95" s="82">
        <f ca="1">--(Tabel3[[#This Row],[jour]]&lt;&gt;TRUNC(Tabel3[[#This Row],[fin]]))</f>
        <v>0</v>
      </c>
      <c r="V95" s="82">
        <f ca="1">IF(Tabel3[[#This Row],[Type]]="j0",0,--(TRUNC(Tabel3[[#This Row],[debut]])-TRUNC(Tabel3[[#This Row],[fin precedent]])&lt;Tabel3[[#This Row],[delai]]))</f>
        <v>0</v>
      </c>
      <c r="X95"/>
      <c r="Y95" s="75"/>
    </row>
    <row r="96" spans="1:27" ht="18" customHeight="1" x14ac:dyDescent="0.2">
      <c r="A96" s="63" t="s">
        <v>134</v>
      </c>
      <c r="B96" s="63">
        <v>102</v>
      </c>
      <c r="C96" s="77">
        <v>45923</v>
      </c>
      <c r="D96" s="77">
        <f t="shared" si="7"/>
        <v>45925</v>
      </c>
      <c r="E96" s="77">
        <f t="shared" si="7"/>
        <v>45929</v>
      </c>
      <c r="F96" s="77">
        <f t="shared" si="7"/>
        <v>45933</v>
      </c>
      <c r="G96" s="77">
        <f t="shared" si="7"/>
        <v>45938</v>
      </c>
      <c r="H96" s="77">
        <f t="shared" si="7"/>
        <v>45953</v>
      </c>
      <c r="I96" s="77">
        <f t="shared" si="7"/>
        <v>45983</v>
      </c>
      <c r="L96" s="78" t="s">
        <v>51</v>
      </c>
      <c r="M96" s="78" t="s">
        <v>62</v>
      </c>
      <c r="N96" s="78" t="s">
        <v>40</v>
      </c>
      <c r="O96" s="84">
        <v>45917</v>
      </c>
      <c r="P96" s="78">
        <v>35.550000000000004</v>
      </c>
      <c r="Q96" s="78">
        <f>INDEX($C$1:$I$1,MATCH(Tabel3[[#This Row],[Type]],Devoirs[[#Headers],[J0]:[J60]],0))</f>
        <v>5</v>
      </c>
      <c r="R96" s="85" cm="1">
        <f t="array" aca="1" ref="R9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45912.379756944465</v>
      </c>
      <c r="S9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45917.705000000016</v>
      </c>
      <c r="T9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45917.729687500017</v>
      </c>
      <c r="U96" s="82">
        <f ca="1">--(Tabel3[[#This Row],[jour]]&lt;&gt;TRUNC(Tabel3[[#This Row],[fin]]))</f>
        <v>0</v>
      </c>
      <c r="V96" s="82">
        <f ca="1">IF(Tabel3[[#This Row],[Type]]="j0",0,--(TRUNC(Tabel3[[#This Row],[debut]])-TRUNC(Tabel3[[#This Row],[fin precedent]])&lt;Tabel3[[#This Row],[delai]]))</f>
        <v>0</v>
      </c>
      <c r="X96"/>
      <c r="Y96" s="75"/>
    </row>
    <row r="97" spans="1:25" ht="18" customHeight="1" x14ac:dyDescent="0.2">
      <c r="A97" s="42" t="s">
        <v>135</v>
      </c>
      <c r="B97" s="42"/>
      <c r="C97" s="77"/>
      <c r="D97" s="77" t="str">
        <f t="shared" si="7"/>
        <v/>
      </c>
      <c r="E97" s="77" t="str">
        <f t="shared" si="7"/>
        <v/>
      </c>
      <c r="F97" s="77" t="str">
        <f t="shared" si="7"/>
        <v/>
      </c>
      <c r="G97" s="77" t="str">
        <f t="shared" si="7"/>
        <v/>
      </c>
      <c r="H97" s="77" t="str">
        <f t="shared" si="7"/>
        <v/>
      </c>
      <c r="I97" s="77" t="str">
        <f t="shared" si="7"/>
        <v/>
      </c>
      <c r="L97" s="78" t="s">
        <v>104</v>
      </c>
      <c r="M97" s="78" t="s">
        <v>114</v>
      </c>
      <c r="N97" s="78" t="s">
        <v>40</v>
      </c>
      <c r="O97" s="84">
        <v>45917</v>
      </c>
      <c r="P97" s="78">
        <v>41.4</v>
      </c>
      <c r="Q97" s="78">
        <f>INDEX($C$1:$I$1,MATCH(Tabel3[[#This Row],[Type]],Devoirs[[#Headers],[J0]:[J60]],0))</f>
        <v>5</v>
      </c>
      <c r="R97" s="85" cm="1">
        <f t="array" aca="1" ref="R9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45912.451006944459</v>
      </c>
      <c r="S9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45917.729687500017</v>
      </c>
      <c r="T9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45918.341770833351</v>
      </c>
      <c r="U97" s="82">
        <f ca="1">--(Tabel3[[#This Row],[jour]]&lt;&gt;TRUNC(Tabel3[[#This Row],[fin]]))</f>
        <v>1</v>
      </c>
      <c r="V97" s="82">
        <f ca="1">IF(Tabel3[[#This Row],[Type]]="j0",0,--(TRUNC(Tabel3[[#This Row],[debut]])-TRUNC(Tabel3[[#This Row],[fin precedent]])&lt;Tabel3[[#This Row],[delai]]))</f>
        <v>0</v>
      </c>
      <c r="X97"/>
      <c r="Y97" s="75"/>
    </row>
    <row r="98" spans="1:25" ht="18" customHeight="1" x14ac:dyDescent="0.2">
      <c r="A98" s="64" t="s">
        <v>136</v>
      </c>
      <c r="B98" s="64">
        <v>58</v>
      </c>
      <c r="C98" s="77">
        <v>45923</v>
      </c>
      <c r="D98" s="77">
        <f t="shared" si="7"/>
        <v>45925</v>
      </c>
      <c r="E98" s="77">
        <f t="shared" si="7"/>
        <v>45929</v>
      </c>
      <c r="F98" s="77">
        <f t="shared" si="7"/>
        <v>45933</v>
      </c>
      <c r="G98" s="77">
        <f t="shared" si="7"/>
        <v>45938</v>
      </c>
      <c r="H98" s="77">
        <f t="shared" si="7"/>
        <v>45953</v>
      </c>
      <c r="I98" s="77">
        <f t="shared" si="7"/>
        <v>45983</v>
      </c>
      <c r="L98" s="78" t="s">
        <v>85</v>
      </c>
      <c r="M98" s="78" t="s">
        <v>88</v>
      </c>
      <c r="N98" s="78" t="s">
        <v>40</v>
      </c>
      <c r="O98" s="84">
        <v>45917</v>
      </c>
      <c r="P98" s="78">
        <v>50.85</v>
      </c>
      <c r="Q98" s="78">
        <f>INDEX($C$1:$I$1,MATCH(Tabel3[[#This Row],[Type]],Devoirs[[#Headers],[J0]:[J60]],0))</f>
        <v>5</v>
      </c>
      <c r="R98" s="85" cm="1">
        <f t="array" aca="1" ref="R9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45912.49809027779</v>
      </c>
      <c r="S9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45918.341770833351</v>
      </c>
      <c r="T9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45918.377083333347</v>
      </c>
      <c r="U98" s="82">
        <f ca="1">--(Tabel3[[#This Row],[jour]]&lt;&gt;TRUNC(Tabel3[[#This Row],[fin]]))</f>
        <v>1</v>
      </c>
      <c r="V98" s="82">
        <f ca="1">IF(Tabel3[[#This Row],[Type]]="j0",0,--(TRUNC(Tabel3[[#This Row],[debut]])-TRUNC(Tabel3[[#This Row],[fin precedent]])&lt;Tabel3[[#This Row],[delai]]))</f>
        <v>0</v>
      </c>
      <c r="X98"/>
      <c r="Y98" s="75"/>
    </row>
    <row r="99" spans="1:25" ht="18" customHeight="1" x14ac:dyDescent="0.2">
      <c r="A99" s="64" t="s">
        <v>137</v>
      </c>
      <c r="B99" s="64">
        <v>36</v>
      </c>
      <c r="C99" s="77">
        <v>45916</v>
      </c>
      <c r="D99" s="77">
        <f t="shared" si="7"/>
        <v>45918</v>
      </c>
      <c r="E99" s="77">
        <f t="shared" si="7"/>
        <v>45922</v>
      </c>
      <c r="F99" s="77">
        <f t="shared" si="7"/>
        <v>45926</v>
      </c>
      <c r="G99" s="77">
        <f t="shared" si="7"/>
        <v>45931</v>
      </c>
      <c r="H99" s="77">
        <f t="shared" si="7"/>
        <v>45946</v>
      </c>
      <c r="I99" s="77">
        <f t="shared" si="7"/>
        <v>45976</v>
      </c>
      <c r="L99" s="78" t="s">
        <v>95</v>
      </c>
      <c r="M99" s="78" t="s">
        <v>98</v>
      </c>
      <c r="N99" s="78" t="s">
        <v>1</v>
      </c>
      <c r="O99" s="84">
        <v>45917</v>
      </c>
      <c r="P99" s="78">
        <v>90</v>
      </c>
      <c r="Q99" s="78">
        <f>INDEX($C$1:$I$1,MATCH(Tabel3[[#This Row],[Type]],Devoirs[[#Headers],[J0]:[J60]],0))</f>
        <v>0</v>
      </c>
      <c r="R99" s="85" t="str" cm="1">
        <f t="array" ref="R99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9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45918.377083333347</v>
      </c>
      <c r="T9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45918.439583333347</v>
      </c>
      <c r="U99" s="82">
        <f ca="1">--(Tabel3[[#This Row],[jour]]&lt;&gt;TRUNC(Tabel3[[#This Row],[fin]]))</f>
        <v>1</v>
      </c>
      <c r="V99" s="82">
        <f>IF(Tabel3[[#This Row],[Type]]="j0",0,--(TRUNC(Tabel3[[#This Row],[debut]])-TRUNC(Tabel3[[#This Row],[fin precedent]])&lt;Tabel3[[#This Row],[delai]]))</f>
        <v>0</v>
      </c>
      <c r="X99"/>
      <c r="Y99" s="75"/>
    </row>
    <row r="100" spans="1:25" ht="18" customHeight="1" x14ac:dyDescent="0.2">
      <c r="A100" s="64" t="s">
        <v>138</v>
      </c>
      <c r="B100" s="64">
        <v>32</v>
      </c>
      <c r="C100" s="77">
        <v>45901</v>
      </c>
      <c r="D100" s="77">
        <f t="shared" si="7"/>
        <v>45903</v>
      </c>
      <c r="E100" s="77">
        <f t="shared" si="7"/>
        <v>45907</v>
      </c>
      <c r="F100" s="77">
        <f t="shared" si="7"/>
        <v>45911</v>
      </c>
      <c r="G100" s="77">
        <f t="shared" si="7"/>
        <v>45916</v>
      </c>
      <c r="H100" s="77">
        <f t="shared" si="7"/>
        <v>45931</v>
      </c>
      <c r="I100" s="77">
        <f t="shared" si="7"/>
        <v>45961</v>
      </c>
      <c r="L100" s="78" t="s">
        <v>95</v>
      </c>
      <c r="M100" s="78" t="s">
        <v>102</v>
      </c>
      <c r="N100" s="78" t="s">
        <v>1</v>
      </c>
      <c r="O100" s="84">
        <v>45917</v>
      </c>
      <c r="P100" s="78">
        <v>112</v>
      </c>
      <c r="Q100" s="78">
        <f>INDEX($C$1:$I$1,MATCH(Tabel3[[#This Row],[Type]],Devoirs[[#Headers],[J0]:[J60]],0))</f>
        <v>0</v>
      </c>
      <c r="R100" s="85" t="str" cm="1">
        <f t="array" ref="R100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10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45918.439583333347</v>
      </c>
      <c r="T10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45918.517361111124</v>
      </c>
      <c r="U100" s="82">
        <f ca="1">--(Tabel3[[#This Row],[jour]]&lt;&gt;TRUNC(Tabel3[[#This Row],[fin]]))</f>
        <v>1</v>
      </c>
      <c r="V100" s="82">
        <f>IF(Tabel3[[#This Row],[Type]]="j0",0,--(TRUNC(Tabel3[[#This Row],[debut]])-TRUNC(Tabel3[[#This Row],[fin precedent]])&lt;Tabel3[[#This Row],[delai]]))</f>
        <v>0</v>
      </c>
      <c r="X100"/>
      <c r="Y100" s="75"/>
    </row>
    <row r="101" spans="1:25" ht="18" customHeight="1" x14ac:dyDescent="0.2">
      <c r="A101" s="64" t="s">
        <v>139</v>
      </c>
      <c r="B101" s="64">
        <v>108</v>
      </c>
      <c r="C101" s="77">
        <v>45940</v>
      </c>
      <c r="D101" s="77">
        <f t="shared" si="7"/>
        <v>45942</v>
      </c>
      <c r="E101" s="77">
        <f t="shared" si="7"/>
        <v>45946</v>
      </c>
      <c r="F101" s="77">
        <f t="shared" si="7"/>
        <v>45950</v>
      </c>
      <c r="G101" s="77">
        <f t="shared" si="7"/>
        <v>45955</v>
      </c>
      <c r="H101" s="77">
        <f t="shared" si="7"/>
        <v>45970</v>
      </c>
      <c r="I101" s="77">
        <f t="shared" si="7"/>
        <v>46000</v>
      </c>
      <c r="L101" s="78" t="s">
        <v>51</v>
      </c>
      <c r="M101" s="78" t="s">
        <v>59</v>
      </c>
      <c r="N101" s="78" t="s">
        <v>1</v>
      </c>
      <c r="O101" s="84">
        <v>45917</v>
      </c>
      <c r="P101" s="78">
        <v>113</v>
      </c>
      <c r="Q101" s="78">
        <f>INDEX($C$1:$I$1,MATCH(Tabel3[[#This Row],[Type]],Devoirs[[#Headers],[J0]:[J60]],0))</f>
        <v>0</v>
      </c>
      <c r="R101" s="85" t="str" cm="1">
        <f t="array" ref="R101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10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45918.517361111124</v>
      </c>
      <c r="T10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45918.595833333347</v>
      </c>
      <c r="U101" s="82">
        <f ca="1">--(Tabel3[[#This Row],[jour]]&lt;&gt;TRUNC(Tabel3[[#This Row],[fin]]))</f>
        <v>1</v>
      </c>
      <c r="V101" s="82">
        <f>IF(Tabel3[[#This Row],[Type]]="j0",0,--(TRUNC(Tabel3[[#This Row],[debut]])-TRUNC(Tabel3[[#This Row],[fin precedent]])&lt;Tabel3[[#This Row],[delai]]))</f>
        <v>0</v>
      </c>
      <c r="X101"/>
      <c r="Y101" s="75"/>
    </row>
    <row r="102" spans="1:25" ht="18" customHeight="1" x14ac:dyDescent="0.2">
      <c r="A102" s="64" t="s">
        <v>140</v>
      </c>
      <c r="B102" s="64">
        <v>69</v>
      </c>
      <c r="C102" s="77">
        <v>45908</v>
      </c>
      <c r="D102" s="77">
        <f t="shared" ref="D102:I108" si="8">IF($C102&gt;0,$C102+D$2,"")</f>
        <v>45910</v>
      </c>
      <c r="E102" s="77">
        <f t="shared" si="8"/>
        <v>45914</v>
      </c>
      <c r="F102" s="77">
        <f t="shared" si="8"/>
        <v>45918</v>
      </c>
      <c r="G102" s="77">
        <f t="shared" si="8"/>
        <v>45923</v>
      </c>
      <c r="H102" s="77">
        <f t="shared" si="8"/>
        <v>45938</v>
      </c>
      <c r="I102" s="77">
        <f t="shared" si="8"/>
        <v>45968</v>
      </c>
      <c r="L102" s="78" t="s">
        <v>95</v>
      </c>
      <c r="M102" s="78" t="s">
        <v>99</v>
      </c>
      <c r="N102" s="78" t="s">
        <v>1</v>
      </c>
      <c r="O102" s="84">
        <v>45917</v>
      </c>
      <c r="P102" s="78">
        <v>120</v>
      </c>
      <c r="Q102" s="78">
        <f>INDEX($C$1:$I$1,MATCH(Tabel3[[#This Row],[Type]],Devoirs[[#Headers],[J0]:[J60]],0))</f>
        <v>0</v>
      </c>
      <c r="R102" s="85" t="str" cm="1">
        <f t="array" ref="R102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10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45918.595833333347</v>
      </c>
      <c r="T10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45918.679166666683</v>
      </c>
      <c r="U102" s="82">
        <f ca="1">--(Tabel3[[#This Row],[jour]]&lt;&gt;TRUNC(Tabel3[[#This Row],[fin]]))</f>
        <v>1</v>
      </c>
      <c r="V102" s="82">
        <f>IF(Tabel3[[#This Row],[Type]]="j0",0,--(TRUNC(Tabel3[[#This Row],[debut]])-TRUNC(Tabel3[[#This Row],[fin precedent]])&lt;Tabel3[[#This Row],[delai]]))</f>
        <v>0</v>
      </c>
      <c r="X102"/>
      <c r="Y102" s="75"/>
    </row>
    <row r="103" spans="1:25" ht="18" customHeight="1" x14ac:dyDescent="0.2">
      <c r="A103" s="64" t="s">
        <v>141</v>
      </c>
      <c r="B103" s="64">
        <v>63</v>
      </c>
      <c r="C103" s="77">
        <v>45905</v>
      </c>
      <c r="D103" s="77">
        <f t="shared" si="8"/>
        <v>45907</v>
      </c>
      <c r="E103" s="77">
        <f t="shared" si="8"/>
        <v>45911</v>
      </c>
      <c r="F103" s="77">
        <f t="shared" si="8"/>
        <v>45915</v>
      </c>
      <c r="G103" s="77">
        <f t="shared" si="8"/>
        <v>45920</v>
      </c>
      <c r="H103" s="77">
        <f t="shared" si="8"/>
        <v>45935</v>
      </c>
      <c r="I103" s="77">
        <f t="shared" si="8"/>
        <v>45965</v>
      </c>
      <c r="L103" s="78" t="s">
        <v>104</v>
      </c>
      <c r="M103" s="78" t="s">
        <v>118</v>
      </c>
      <c r="N103" s="78" t="s">
        <v>38</v>
      </c>
      <c r="O103" s="84">
        <v>45918</v>
      </c>
      <c r="P103" s="78">
        <v>33.75</v>
      </c>
      <c r="Q103" s="78">
        <f>INDEX($C$1:$I$1,MATCH(Tabel3[[#This Row],[Type]],Devoirs[[#Headers],[J0]:[J60]],0))</f>
        <v>4</v>
      </c>
      <c r="R103" s="85" cm="1">
        <f t="array" aca="1" ref="R10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45904.472083333341</v>
      </c>
      <c r="S10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45918.679166666683</v>
      </c>
      <c r="T10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45918.702604166683</v>
      </c>
      <c r="U103" s="82">
        <f ca="1">--(Tabel3[[#This Row],[jour]]&lt;&gt;TRUNC(Tabel3[[#This Row],[fin]]))</f>
        <v>0</v>
      </c>
      <c r="V103" s="82">
        <f ca="1">IF(Tabel3[[#This Row],[Type]]="j0",0,--(TRUNC(Tabel3[[#This Row],[debut]])-TRUNC(Tabel3[[#This Row],[fin precedent]])&lt;Tabel3[[#This Row],[delai]]))</f>
        <v>0</v>
      </c>
      <c r="X103"/>
      <c r="Y103" s="75"/>
    </row>
    <row r="104" spans="1:25" ht="18" customHeight="1" x14ac:dyDescent="0.2">
      <c r="A104" s="64" t="s">
        <v>142</v>
      </c>
      <c r="B104" s="64">
        <v>40</v>
      </c>
      <c r="C104" s="77">
        <v>45918</v>
      </c>
      <c r="D104" s="77">
        <f t="shared" si="8"/>
        <v>45920</v>
      </c>
      <c r="E104" s="77">
        <f t="shared" si="8"/>
        <v>45924</v>
      </c>
      <c r="F104" s="77">
        <f t="shared" si="8"/>
        <v>45928</v>
      </c>
      <c r="G104" s="77">
        <f t="shared" si="8"/>
        <v>45933</v>
      </c>
      <c r="H104" s="77">
        <f t="shared" si="8"/>
        <v>45948</v>
      </c>
      <c r="I104" s="77">
        <f t="shared" si="8"/>
        <v>45978</v>
      </c>
      <c r="L104" s="78" t="s">
        <v>95</v>
      </c>
      <c r="M104" s="78" t="s">
        <v>96</v>
      </c>
      <c r="N104" s="78" t="s">
        <v>38</v>
      </c>
      <c r="O104" s="84">
        <v>45918</v>
      </c>
      <c r="P104" s="78">
        <v>48</v>
      </c>
      <c r="Q104" s="78">
        <f>INDEX($C$1:$I$1,MATCH(Tabel3[[#This Row],[Type]],Devoirs[[#Headers],[J0]:[J60]],0))</f>
        <v>4</v>
      </c>
      <c r="R104" s="85" cm="1">
        <f t="array" aca="1" ref="R10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45915.721770833334</v>
      </c>
      <c r="S10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45918.702604166683</v>
      </c>
      <c r="T10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45918.735937500016</v>
      </c>
      <c r="U104" s="82">
        <f ca="1">--(Tabel3[[#This Row],[jour]]&lt;&gt;TRUNC(Tabel3[[#This Row],[fin]]))</f>
        <v>0</v>
      </c>
      <c r="V104" s="82">
        <f ca="1">IF(Tabel3[[#This Row],[Type]]="j0",0,--(TRUNC(Tabel3[[#This Row],[debut]])-TRUNC(Tabel3[[#This Row],[fin precedent]])&lt;Tabel3[[#This Row],[delai]]))</f>
        <v>1</v>
      </c>
      <c r="X104"/>
      <c r="Y104" s="75"/>
    </row>
    <row r="105" spans="1:25" ht="18" customHeight="1" x14ac:dyDescent="0.2">
      <c r="A105" s="64" t="s">
        <v>156</v>
      </c>
      <c r="B105" s="64">
        <v>108</v>
      </c>
      <c r="C105" s="77">
        <v>45909</v>
      </c>
      <c r="D105" s="77">
        <f t="shared" si="8"/>
        <v>45911</v>
      </c>
      <c r="E105" s="77">
        <f t="shared" si="8"/>
        <v>45915</v>
      </c>
      <c r="F105" s="77">
        <f t="shared" si="8"/>
        <v>45919</v>
      </c>
      <c r="G105" s="77">
        <f t="shared" si="8"/>
        <v>45924</v>
      </c>
      <c r="H105" s="77">
        <f t="shared" si="8"/>
        <v>45939</v>
      </c>
      <c r="I105" s="77">
        <f t="shared" si="8"/>
        <v>45969</v>
      </c>
      <c r="L105" s="78" t="s">
        <v>74</v>
      </c>
      <c r="M105" s="78" t="s">
        <v>78</v>
      </c>
      <c r="N105" s="78" t="s">
        <v>38</v>
      </c>
      <c r="O105" s="84">
        <v>45918</v>
      </c>
      <c r="P105" s="78">
        <v>65.25</v>
      </c>
      <c r="Q105" s="78">
        <f>INDEX($C$1:$I$1,MATCH(Tabel3[[#This Row],[Type]],Devoirs[[#Headers],[J0]:[J60]],0))</f>
        <v>4</v>
      </c>
      <c r="R105" s="85" cm="1">
        <f t="array" aca="1" ref="R10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45911.6805902778</v>
      </c>
      <c r="S10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45918.735937500016</v>
      </c>
      <c r="T10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45919.36458333335</v>
      </c>
      <c r="U105" s="82">
        <f ca="1">--(Tabel3[[#This Row],[jour]]&lt;&gt;TRUNC(Tabel3[[#This Row],[fin]]))</f>
        <v>1</v>
      </c>
      <c r="V105" s="82">
        <f ca="1">IF(Tabel3[[#This Row],[Type]]="j0",0,--(TRUNC(Tabel3[[#This Row],[debut]])-TRUNC(Tabel3[[#This Row],[fin precedent]])&lt;Tabel3[[#This Row],[delai]]))</f>
        <v>0</v>
      </c>
      <c r="X105"/>
      <c r="Y105" s="75"/>
    </row>
    <row r="106" spans="1:25" ht="18" customHeight="1" x14ac:dyDescent="0.2">
      <c r="A106" s="64" t="s">
        <v>157</v>
      </c>
      <c r="B106" s="64">
        <v>54</v>
      </c>
      <c r="C106" s="77">
        <v>45911</v>
      </c>
      <c r="D106" s="77">
        <f t="shared" si="8"/>
        <v>45913</v>
      </c>
      <c r="E106" s="77">
        <f t="shared" si="8"/>
        <v>45917</v>
      </c>
      <c r="F106" s="77">
        <f t="shared" si="8"/>
        <v>45921</v>
      </c>
      <c r="G106" s="77">
        <f t="shared" si="8"/>
        <v>45926</v>
      </c>
      <c r="H106" s="77">
        <f t="shared" si="8"/>
        <v>45941</v>
      </c>
      <c r="I106" s="77">
        <f t="shared" si="8"/>
        <v>45971</v>
      </c>
      <c r="L106" s="78" t="s">
        <v>64</v>
      </c>
      <c r="M106" s="78" t="s">
        <v>66</v>
      </c>
      <c r="N106" s="78" t="s">
        <v>38</v>
      </c>
      <c r="O106" s="84">
        <v>45918</v>
      </c>
      <c r="P106" s="78">
        <v>69</v>
      </c>
      <c r="Q106" s="78">
        <f>INDEX($C$1:$I$1,MATCH(Tabel3[[#This Row],[Type]],Devoirs[[#Headers],[J0]:[J60]],0))</f>
        <v>4</v>
      </c>
      <c r="R106" s="85" cm="1">
        <f t="array" aca="1" ref="R10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45916.416979166672</v>
      </c>
      <c r="S10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45919.36458333335</v>
      </c>
      <c r="T10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45919.41250000002</v>
      </c>
      <c r="U106" s="82">
        <f ca="1">--(Tabel3[[#This Row],[jour]]&lt;&gt;TRUNC(Tabel3[[#This Row],[fin]]))</f>
        <v>1</v>
      </c>
      <c r="V106" s="82">
        <f ca="1">IF(Tabel3[[#This Row],[Type]]="j0",0,--(TRUNC(Tabel3[[#This Row],[debut]])-TRUNC(Tabel3[[#This Row],[fin precedent]])&lt;Tabel3[[#This Row],[delai]]))</f>
        <v>1</v>
      </c>
      <c r="X106"/>
      <c r="Y106" s="75"/>
    </row>
    <row r="107" spans="1:25" ht="18" customHeight="1" x14ac:dyDescent="0.2">
      <c r="A107" s="64" t="s">
        <v>158</v>
      </c>
      <c r="B107" s="64">
        <v>104</v>
      </c>
      <c r="C107" s="77">
        <v>45919</v>
      </c>
      <c r="D107" s="77">
        <f t="shared" si="8"/>
        <v>45921</v>
      </c>
      <c r="E107" s="77">
        <f t="shared" si="8"/>
        <v>45925</v>
      </c>
      <c r="F107" s="77">
        <f t="shared" si="8"/>
        <v>45929</v>
      </c>
      <c r="G107" s="77">
        <f t="shared" si="8"/>
        <v>45934</v>
      </c>
      <c r="H107" s="77">
        <f t="shared" si="8"/>
        <v>45949</v>
      </c>
      <c r="I107" s="77">
        <f t="shared" si="8"/>
        <v>45979</v>
      </c>
      <c r="L107" s="78" t="s">
        <v>135</v>
      </c>
      <c r="M107" s="78" t="s">
        <v>137</v>
      </c>
      <c r="N107" s="78" t="s">
        <v>37</v>
      </c>
      <c r="O107" s="84">
        <v>45918</v>
      </c>
      <c r="P107" s="78">
        <v>32.4</v>
      </c>
      <c r="Q107" s="78">
        <f>INDEX($C$1:$I$1,MATCH(Tabel3[[#This Row],[Type]],Devoirs[[#Headers],[J0]:[J60]],0))</f>
        <v>2</v>
      </c>
      <c r="R107" s="85" cm="1">
        <f t="array" aca="1" ref="R10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45901.355555555558</v>
      </c>
      <c r="S10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45919.41250000002</v>
      </c>
      <c r="T10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45919.435000000019</v>
      </c>
      <c r="U107" s="82">
        <f ca="1">--(Tabel3[[#This Row],[jour]]&lt;&gt;TRUNC(Tabel3[[#This Row],[fin]]))</f>
        <v>1</v>
      </c>
      <c r="V107" s="82">
        <f ca="1">IF(Tabel3[[#This Row],[Type]]="j0",0,--(TRUNC(Tabel3[[#This Row],[debut]])-TRUNC(Tabel3[[#This Row],[fin precedent]])&lt;Tabel3[[#This Row],[delai]]))</f>
        <v>0</v>
      </c>
      <c r="X107"/>
      <c r="Y107" s="75"/>
    </row>
    <row r="108" spans="1:25" ht="18" customHeight="1" x14ac:dyDescent="0.2">
      <c r="A108" s="64" t="s">
        <v>159</v>
      </c>
      <c r="B108" s="64">
        <v>83</v>
      </c>
      <c r="C108" s="77">
        <v>45908</v>
      </c>
      <c r="D108" s="77">
        <f t="shared" si="8"/>
        <v>45910</v>
      </c>
      <c r="E108" s="77">
        <f t="shared" si="8"/>
        <v>45914</v>
      </c>
      <c r="F108" s="77">
        <f t="shared" si="8"/>
        <v>45918</v>
      </c>
      <c r="G108" s="77">
        <f t="shared" si="8"/>
        <v>45923</v>
      </c>
      <c r="H108" s="77">
        <f t="shared" si="8"/>
        <v>45938</v>
      </c>
      <c r="I108" s="77">
        <f t="shared" si="8"/>
        <v>45968</v>
      </c>
      <c r="L108" s="78" t="s">
        <v>104</v>
      </c>
      <c r="M108" s="78" t="s">
        <v>105</v>
      </c>
      <c r="N108" s="78" t="s">
        <v>37</v>
      </c>
      <c r="O108" s="84">
        <v>45918</v>
      </c>
      <c r="P108" s="78">
        <v>40.5</v>
      </c>
      <c r="Q108" s="78">
        <f>INDEX($C$1:$I$1,MATCH(Tabel3[[#This Row],[Type]],Devoirs[[#Headers],[J0]:[J60]],0))</f>
        <v>2</v>
      </c>
      <c r="R108" s="85" cm="1">
        <f t="array" aca="1" ref="R10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45902.487499999996</v>
      </c>
      <c r="S10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45919.435000000019</v>
      </c>
      <c r="T10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45919.463125000017</v>
      </c>
      <c r="U108" s="82">
        <f ca="1">--(Tabel3[[#This Row],[jour]]&lt;&gt;TRUNC(Tabel3[[#This Row],[fin]]))</f>
        <v>1</v>
      </c>
      <c r="V108" s="82">
        <f ca="1">IF(Tabel3[[#This Row],[Type]]="j0",0,--(TRUNC(Tabel3[[#This Row],[debut]])-TRUNC(Tabel3[[#This Row],[fin precedent]])&lt;Tabel3[[#This Row],[delai]]))</f>
        <v>0</v>
      </c>
      <c r="X108"/>
      <c r="Y108" s="75"/>
    </row>
    <row r="109" spans="1:25" ht="18" customHeight="1" x14ac:dyDescent="0.2">
      <c r="L109" s="78" t="s">
        <v>64</v>
      </c>
      <c r="M109" s="78" t="s">
        <v>69</v>
      </c>
      <c r="N109" s="78" t="s">
        <v>37</v>
      </c>
      <c r="O109" s="84">
        <v>45918</v>
      </c>
      <c r="P109" s="78">
        <v>43.2</v>
      </c>
      <c r="Q109" s="78">
        <f>INDEX($C$1:$I$1,MATCH(Tabel3[[#This Row],[Type]],Devoirs[[#Headers],[J0]:[J60]],0))</f>
        <v>2</v>
      </c>
      <c r="R109" s="85" cm="1">
        <f t="array" aca="1" ref="R10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45912.698090277787</v>
      </c>
      <c r="S10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45919.463125000017</v>
      </c>
      <c r="T10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45919.493125000015</v>
      </c>
      <c r="U109" s="82">
        <f ca="1">--(Tabel3[[#This Row],[jour]]&lt;&gt;TRUNC(Tabel3[[#This Row],[fin]]))</f>
        <v>1</v>
      </c>
      <c r="V109" s="82">
        <f ca="1">IF(Tabel3[[#This Row],[Type]]="j0",0,--(TRUNC(Tabel3[[#This Row],[debut]])-TRUNC(Tabel3[[#This Row],[fin precedent]])&lt;Tabel3[[#This Row],[delai]]))</f>
        <v>0</v>
      </c>
      <c r="X109"/>
      <c r="Y109" s="75"/>
    </row>
    <row r="110" spans="1:25" ht="18" customHeight="1" x14ac:dyDescent="0.2">
      <c r="L110" s="78" t="s">
        <v>74</v>
      </c>
      <c r="M110" s="78" t="s">
        <v>80</v>
      </c>
      <c r="N110" s="78" t="s">
        <v>37</v>
      </c>
      <c r="O110" s="84">
        <v>45918</v>
      </c>
      <c r="P110" s="78">
        <v>44.1</v>
      </c>
      <c r="Q110" s="78">
        <f>INDEX($C$1:$I$1,MATCH(Tabel3[[#This Row],[Type]],Devoirs[[#Headers],[J0]:[J60]],0))</f>
        <v>2</v>
      </c>
      <c r="R110" s="85" cm="1">
        <f t="array" aca="1" ref="R11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45910.499444444467</v>
      </c>
      <c r="S11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45919.493125000015</v>
      </c>
      <c r="T11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45919.523750000015</v>
      </c>
      <c r="U110" s="82">
        <f ca="1">--(Tabel3[[#This Row],[jour]]&lt;&gt;TRUNC(Tabel3[[#This Row],[fin]]))</f>
        <v>1</v>
      </c>
      <c r="V110" s="82">
        <f ca="1">IF(Tabel3[[#This Row],[Type]]="j0",0,--(TRUNC(Tabel3[[#This Row],[debut]])-TRUNC(Tabel3[[#This Row],[fin precedent]])&lt;Tabel3[[#This Row],[delai]]))</f>
        <v>0</v>
      </c>
      <c r="X110"/>
      <c r="Y110" s="75"/>
    </row>
    <row r="111" spans="1:25" ht="18" customHeight="1" x14ac:dyDescent="0.2">
      <c r="L111" s="78" t="s">
        <v>104</v>
      </c>
      <c r="M111" s="78" t="s">
        <v>117</v>
      </c>
      <c r="N111" s="78" t="s">
        <v>37</v>
      </c>
      <c r="O111" s="84">
        <v>45918</v>
      </c>
      <c r="P111" s="78">
        <v>54</v>
      </c>
      <c r="Q111" s="78">
        <f>INDEX($C$1:$I$1,MATCH(Tabel3[[#This Row],[Type]],Devoirs[[#Headers],[J0]:[J60]],0))</f>
        <v>2</v>
      </c>
      <c r="R111" s="85" cm="1">
        <f t="array" aca="1" ref="R11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45902.487499999996</v>
      </c>
      <c r="S11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45919.523750000015</v>
      </c>
      <c r="T11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45919.561250000013</v>
      </c>
      <c r="U111" s="82">
        <f ca="1">--(Tabel3[[#This Row],[jour]]&lt;&gt;TRUNC(Tabel3[[#This Row],[fin]]))</f>
        <v>1</v>
      </c>
      <c r="V111" s="82">
        <f ca="1">IF(Tabel3[[#This Row],[Type]]="j0",0,--(TRUNC(Tabel3[[#This Row],[debut]])-TRUNC(Tabel3[[#This Row],[fin precedent]])&lt;Tabel3[[#This Row],[delai]]))</f>
        <v>0</v>
      </c>
      <c r="X111"/>
      <c r="Y111" s="75"/>
    </row>
    <row r="112" spans="1:25" ht="18" customHeight="1" x14ac:dyDescent="0.2">
      <c r="L112" s="78" t="s">
        <v>85</v>
      </c>
      <c r="M112" s="78" t="s">
        <v>89</v>
      </c>
      <c r="N112" s="78" t="s">
        <v>40</v>
      </c>
      <c r="O112" s="84">
        <v>45918</v>
      </c>
      <c r="P112" s="78">
        <v>29.7</v>
      </c>
      <c r="Q112" s="78">
        <f>INDEX($C$1:$I$1,MATCH(Tabel3[[#This Row],[Type]],Devoirs[[#Headers],[J0]:[J60]],0))</f>
        <v>5</v>
      </c>
      <c r="R112" s="85" cm="1">
        <f t="array" aca="1" ref="R11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45912.49809027779</v>
      </c>
      <c r="S11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45919.561250000013</v>
      </c>
      <c r="T11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45919.581875000011</v>
      </c>
      <c r="U112" s="82">
        <f ca="1">--(Tabel3[[#This Row],[jour]]&lt;&gt;TRUNC(Tabel3[[#This Row],[fin]]))</f>
        <v>1</v>
      </c>
      <c r="V112" s="82">
        <f ca="1">IF(Tabel3[[#This Row],[Type]]="j0",0,--(TRUNC(Tabel3[[#This Row],[debut]])-TRUNC(Tabel3[[#This Row],[fin precedent]])&lt;Tabel3[[#This Row],[delai]]))</f>
        <v>0</v>
      </c>
      <c r="X112"/>
      <c r="Y112" s="75"/>
    </row>
    <row r="113" spans="12:25" ht="18" customHeight="1" x14ac:dyDescent="0.2">
      <c r="L113" s="78" t="s">
        <v>85</v>
      </c>
      <c r="M113" s="78" t="s">
        <v>90</v>
      </c>
      <c r="N113" s="78" t="s">
        <v>40</v>
      </c>
      <c r="O113" s="84">
        <v>45918</v>
      </c>
      <c r="P113" s="78">
        <v>45</v>
      </c>
      <c r="Q113" s="78">
        <f>INDEX($C$1:$I$1,MATCH(Tabel3[[#This Row],[Type]],Devoirs[[#Headers],[J0]:[J60]],0))</f>
        <v>5</v>
      </c>
      <c r="R113" s="85" cm="1">
        <f t="array" aca="1" ref="R11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45912.49809027779</v>
      </c>
      <c r="S11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45919.581875000011</v>
      </c>
      <c r="T11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45919.613125000011</v>
      </c>
      <c r="U113" s="82">
        <f ca="1">--(Tabel3[[#This Row],[jour]]&lt;&gt;TRUNC(Tabel3[[#This Row],[fin]]))</f>
        <v>1</v>
      </c>
      <c r="V113" s="82">
        <f ca="1">IF(Tabel3[[#This Row],[Type]]="j0",0,--(TRUNC(Tabel3[[#This Row],[debut]])-TRUNC(Tabel3[[#This Row],[fin precedent]])&lt;Tabel3[[#This Row],[delai]]))</f>
        <v>0</v>
      </c>
      <c r="X113"/>
      <c r="Y113" s="75"/>
    </row>
    <row r="114" spans="12:25" ht="18" customHeight="1" x14ac:dyDescent="0.2">
      <c r="L114" s="78" t="s">
        <v>104</v>
      </c>
      <c r="M114" s="78" t="s">
        <v>107</v>
      </c>
      <c r="N114" s="78" t="s">
        <v>40</v>
      </c>
      <c r="O114" s="84">
        <v>45918</v>
      </c>
      <c r="P114" s="78">
        <v>47.25</v>
      </c>
      <c r="Q114" s="78">
        <f>INDEX($C$1:$I$1,MATCH(Tabel3[[#This Row],[Type]],Devoirs[[#Headers],[J0]:[J60]],0))</f>
        <v>5</v>
      </c>
      <c r="R114" s="85" cm="1">
        <f t="array" aca="1" ref="R11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45912.451006944459</v>
      </c>
      <c r="S11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45919.613125000011</v>
      </c>
      <c r="T11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45919.645937500012</v>
      </c>
      <c r="U114" s="82">
        <f ca="1">--(Tabel3[[#This Row],[jour]]&lt;&gt;TRUNC(Tabel3[[#This Row],[fin]]))</f>
        <v>1</v>
      </c>
      <c r="V114" s="82">
        <f ca="1">IF(Tabel3[[#This Row],[Type]]="j0",0,--(TRUNC(Tabel3[[#This Row],[debut]])-TRUNC(Tabel3[[#This Row],[fin precedent]])&lt;Tabel3[[#This Row],[delai]]))</f>
        <v>0</v>
      </c>
      <c r="X114"/>
      <c r="Y114" s="75"/>
    </row>
    <row r="115" spans="12:25" ht="18" customHeight="1" x14ac:dyDescent="0.2">
      <c r="L115" s="78" t="s">
        <v>135</v>
      </c>
      <c r="M115" s="78" t="s">
        <v>140</v>
      </c>
      <c r="N115" s="78" t="s">
        <v>39</v>
      </c>
      <c r="O115" s="84">
        <v>45918</v>
      </c>
      <c r="P115" s="78">
        <v>41.4</v>
      </c>
      <c r="Q115" s="78">
        <f>INDEX($C$1:$I$1,MATCH(Tabel3[[#This Row],[Type]],Devoirs[[#Headers],[J0]:[J60]],0))</f>
        <v>4</v>
      </c>
      <c r="R115" s="85" cm="1">
        <f t="array" aca="1" ref="R11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45908.350000000006</v>
      </c>
      <c r="S11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45919.645937500012</v>
      </c>
      <c r="T11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45919.67468750001</v>
      </c>
      <c r="U115" s="82">
        <f ca="1">--(Tabel3[[#This Row],[jour]]&lt;&gt;TRUNC(Tabel3[[#This Row],[fin]]))</f>
        <v>1</v>
      </c>
      <c r="V115" s="82">
        <f ca="1">IF(Tabel3[[#This Row],[Type]]="j0",0,--(TRUNC(Tabel3[[#This Row],[debut]])-TRUNC(Tabel3[[#This Row],[fin precedent]])&lt;Tabel3[[#This Row],[delai]]))</f>
        <v>0</v>
      </c>
      <c r="X115"/>
      <c r="Y115" s="75"/>
    </row>
    <row r="116" spans="12:25" ht="18" customHeight="1" x14ac:dyDescent="0.2">
      <c r="L116" s="78" t="s">
        <v>125</v>
      </c>
      <c r="M116" s="78" t="s">
        <v>133</v>
      </c>
      <c r="N116" s="78" t="s">
        <v>39</v>
      </c>
      <c r="O116" s="84">
        <v>45918</v>
      </c>
      <c r="P116" s="78">
        <v>46.8</v>
      </c>
      <c r="Q116" s="78">
        <f>INDEX($C$1:$I$1,MATCH(Tabel3[[#This Row],[Type]],Devoirs[[#Headers],[J0]:[J60]],0))</f>
        <v>4</v>
      </c>
      <c r="R116" s="85" cm="1">
        <f t="array" aca="1" ref="R11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45915.409895833334</v>
      </c>
      <c r="S11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45919.67468750001</v>
      </c>
      <c r="T11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45919.707187500011</v>
      </c>
      <c r="U116" s="82">
        <f ca="1">--(Tabel3[[#This Row],[jour]]&lt;&gt;TRUNC(Tabel3[[#This Row],[fin]]))</f>
        <v>1</v>
      </c>
      <c r="V116" s="82">
        <f ca="1">IF(Tabel3[[#This Row],[Type]]="j0",0,--(TRUNC(Tabel3[[#This Row],[debut]])-TRUNC(Tabel3[[#This Row],[fin precedent]])&lt;Tabel3[[#This Row],[delai]]))</f>
        <v>0</v>
      </c>
      <c r="X116"/>
      <c r="Y116" s="75"/>
    </row>
    <row r="117" spans="12:25" ht="18" customHeight="1" x14ac:dyDescent="0.2">
      <c r="L117" s="78" t="s">
        <v>135</v>
      </c>
      <c r="M117" s="78" t="s">
        <v>159</v>
      </c>
      <c r="N117" s="78" t="s">
        <v>39</v>
      </c>
      <c r="O117" s="84">
        <v>45918</v>
      </c>
      <c r="P117" s="78">
        <v>49.8</v>
      </c>
      <c r="Q117" s="78">
        <f>INDEX($C$1:$I$1,MATCH(Tabel3[[#This Row],[Type]],Devoirs[[#Headers],[J0]:[J60]],0))</f>
        <v>4</v>
      </c>
      <c r="R117" s="85" cm="1">
        <f t="array" aca="1" ref="R11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45908.350000000006</v>
      </c>
      <c r="S11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45919.707187500011</v>
      </c>
      <c r="T11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45919.741770833345</v>
      </c>
      <c r="U117" s="82">
        <f ca="1">--(Tabel3[[#This Row],[jour]]&lt;&gt;TRUNC(Tabel3[[#This Row],[fin]]))</f>
        <v>1</v>
      </c>
      <c r="V117" s="82">
        <f ca="1">IF(Tabel3[[#This Row],[Type]]="j0",0,--(TRUNC(Tabel3[[#This Row],[debut]])-TRUNC(Tabel3[[#This Row],[fin precedent]])&lt;Tabel3[[#This Row],[delai]]))</f>
        <v>0</v>
      </c>
      <c r="X117"/>
      <c r="Y117" s="75"/>
    </row>
    <row r="118" spans="12:25" ht="18" customHeight="1" x14ac:dyDescent="0.2">
      <c r="L118" s="78" t="s">
        <v>104</v>
      </c>
      <c r="M118" s="78" t="s">
        <v>115</v>
      </c>
      <c r="N118" s="78" t="s">
        <v>39</v>
      </c>
      <c r="O118" s="84">
        <v>45918</v>
      </c>
      <c r="P118" s="78">
        <v>51</v>
      </c>
      <c r="Q118" s="78">
        <f>INDEX($C$1:$I$1,MATCH(Tabel3[[#This Row],[Type]],Devoirs[[#Headers],[J0]:[J60]],0))</f>
        <v>4</v>
      </c>
      <c r="R118" s="85" cm="1">
        <f t="array" aca="1" ref="R11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45908.505000000012</v>
      </c>
      <c r="S11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45919.741770833345</v>
      </c>
      <c r="T11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45920.360520833347</v>
      </c>
      <c r="U118" s="82">
        <f ca="1">--(Tabel3[[#This Row],[jour]]&lt;&gt;TRUNC(Tabel3[[#This Row],[fin]]))</f>
        <v>1</v>
      </c>
      <c r="V118" s="82">
        <f ca="1">IF(Tabel3[[#This Row],[Type]]="j0",0,--(TRUNC(Tabel3[[#This Row],[debut]])-TRUNC(Tabel3[[#This Row],[fin precedent]])&lt;Tabel3[[#This Row],[delai]]))</f>
        <v>0</v>
      </c>
      <c r="X118"/>
      <c r="Y118" s="75"/>
    </row>
    <row r="119" spans="12:25" ht="18" customHeight="1" x14ac:dyDescent="0.2">
      <c r="L119" s="78" t="s">
        <v>104</v>
      </c>
      <c r="M119" s="78" t="s">
        <v>113</v>
      </c>
      <c r="N119" s="78" t="s">
        <v>39</v>
      </c>
      <c r="O119" s="84">
        <v>45918</v>
      </c>
      <c r="P119" s="78">
        <v>55.8</v>
      </c>
      <c r="Q119" s="78">
        <f>INDEX($C$1:$I$1,MATCH(Tabel3[[#This Row],[Type]],Devoirs[[#Headers],[J0]:[J60]],0))</f>
        <v>4</v>
      </c>
      <c r="R119" s="85" cm="1">
        <f t="array" aca="1" ref="R11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45908.505000000012</v>
      </c>
      <c r="S11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45920.360520833347</v>
      </c>
      <c r="T11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45920.399270833346</v>
      </c>
      <c r="U119" s="82">
        <f ca="1">--(Tabel3[[#This Row],[jour]]&lt;&gt;TRUNC(Tabel3[[#This Row],[fin]]))</f>
        <v>1</v>
      </c>
      <c r="V119" s="82">
        <f ca="1">IF(Tabel3[[#This Row],[Type]]="j0",0,--(TRUNC(Tabel3[[#This Row],[debut]])-TRUNC(Tabel3[[#This Row],[fin precedent]])&lt;Tabel3[[#This Row],[delai]]))</f>
        <v>0</v>
      </c>
      <c r="X119"/>
      <c r="Y119" s="75"/>
    </row>
    <row r="120" spans="12:25" ht="18" customHeight="1" x14ac:dyDescent="0.2">
      <c r="L120" s="78" t="s">
        <v>125</v>
      </c>
      <c r="M120" s="78" t="s">
        <v>130</v>
      </c>
      <c r="N120" s="78" t="s">
        <v>39</v>
      </c>
      <c r="O120" s="84">
        <v>45918</v>
      </c>
      <c r="P120" s="78">
        <v>60.599999999999994</v>
      </c>
      <c r="Q120" s="78">
        <f>INDEX($C$1:$I$1,MATCH(Tabel3[[#This Row],[Type]],Devoirs[[#Headers],[J0]:[J60]],0))</f>
        <v>4</v>
      </c>
      <c r="R120" s="85" cm="1">
        <f t="array" aca="1" ref="R12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45915.409895833334</v>
      </c>
      <c r="S12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45920.399270833346</v>
      </c>
      <c r="T12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45920.44135416668</v>
      </c>
      <c r="U120" s="82">
        <f ca="1">--(Tabel3[[#This Row],[jour]]&lt;&gt;TRUNC(Tabel3[[#This Row],[fin]]))</f>
        <v>1</v>
      </c>
      <c r="V120" s="82">
        <f ca="1">IF(Tabel3[[#This Row],[Type]]="j0",0,--(TRUNC(Tabel3[[#This Row],[debut]])-TRUNC(Tabel3[[#This Row],[fin precedent]])&lt;Tabel3[[#This Row],[delai]]))</f>
        <v>0</v>
      </c>
      <c r="X120"/>
      <c r="Y120" s="75"/>
    </row>
    <row r="121" spans="12:25" ht="18" customHeight="1" x14ac:dyDescent="0.2">
      <c r="L121" s="78" t="s">
        <v>104</v>
      </c>
      <c r="M121" s="78" t="s">
        <v>106</v>
      </c>
      <c r="N121" s="78" t="s">
        <v>39</v>
      </c>
      <c r="O121" s="84">
        <v>45918</v>
      </c>
      <c r="P121" s="78">
        <v>63.599999999999994</v>
      </c>
      <c r="Q121" s="78">
        <f>INDEX($C$1:$I$1,MATCH(Tabel3[[#This Row],[Type]],Devoirs[[#Headers],[J0]:[J60]],0))</f>
        <v>4</v>
      </c>
      <c r="R121" s="85" cm="1">
        <f t="array" aca="1" ref="R12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45908.505000000012</v>
      </c>
      <c r="S12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45920.44135416668</v>
      </c>
      <c r="T12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45920.485520833347</v>
      </c>
      <c r="U121" s="82">
        <f ca="1">--(Tabel3[[#This Row],[jour]]&lt;&gt;TRUNC(Tabel3[[#This Row],[fin]]))</f>
        <v>1</v>
      </c>
      <c r="V121" s="82">
        <f ca="1">IF(Tabel3[[#This Row],[Type]]="j0",0,--(TRUNC(Tabel3[[#This Row],[debut]])-TRUNC(Tabel3[[#This Row],[fin precedent]])&lt;Tabel3[[#This Row],[delai]]))</f>
        <v>0</v>
      </c>
      <c r="X121"/>
      <c r="Y121" s="75"/>
    </row>
    <row r="122" spans="12:25" ht="18" customHeight="1" x14ac:dyDescent="0.2">
      <c r="L122" s="78" t="s">
        <v>74</v>
      </c>
      <c r="M122" s="78" t="s">
        <v>82</v>
      </c>
      <c r="N122" s="78" t="s">
        <v>1</v>
      </c>
      <c r="O122" s="84">
        <v>45918</v>
      </c>
      <c r="P122" s="78">
        <v>31</v>
      </c>
      <c r="Q122" s="78">
        <f>INDEX($C$1:$I$1,MATCH(Tabel3[[#This Row],[Type]],Devoirs[[#Headers],[J0]:[J60]],0))</f>
        <v>0</v>
      </c>
      <c r="R122" s="85" t="str" cm="1">
        <f t="array" ref="R122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12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45920.485520833347</v>
      </c>
      <c r="T12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45920.507048611122</v>
      </c>
      <c r="U122" s="82">
        <f ca="1">--(Tabel3[[#This Row],[jour]]&lt;&gt;TRUNC(Tabel3[[#This Row],[fin]]))</f>
        <v>1</v>
      </c>
      <c r="V122" s="82">
        <f>IF(Tabel3[[#This Row],[Type]]="j0",0,--(TRUNC(Tabel3[[#This Row],[debut]])-TRUNC(Tabel3[[#This Row],[fin precedent]])&lt;Tabel3[[#This Row],[delai]]))</f>
        <v>0</v>
      </c>
      <c r="X122"/>
      <c r="Y122" s="75"/>
    </row>
    <row r="123" spans="12:25" ht="18" customHeight="1" x14ac:dyDescent="0.2">
      <c r="L123" s="78" t="s">
        <v>135</v>
      </c>
      <c r="M123" s="78" t="s">
        <v>142</v>
      </c>
      <c r="N123" s="78" t="s">
        <v>1</v>
      </c>
      <c r="O123" s="84">
        <v>45918</v>
      </c>
      <c r="P123" s="78">
        <v>40</v>
      </c>
      <c r="Q123" s="78">
        <f>INDEX($C$1:$I$1,MATCH(Tabel3[[#This Row],[Type]],Devoirs[[#Headers],[J0]:[J60]],0))</f>
        <v>0</v>
      </c>
      <c r="R123" s="85" t="str" cm="1">
        <f t="array" ref="R123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12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45920.507048611122</v>
      </c>
      <c r="T12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45920.534826388903</v>
      </c>
      <c r="U123" s="82">
        <f ca="1">--(Tabel3[[#This Row],[jour]]&lt;&gt;TRUNC(Tabel3[[#This Row],[fin]]))</f>
        <v>1</v>
      </c>
      <c r="V123" s="82">
        <f>IF(Tabel3[[#This Row],[Type]]="j0",0,--(TRUNC(Tabel3[[#This Row],[debut]])-TRUNC(Tabel3[[#This Row],[fin precedent]])&lt;Tabel3[[#This Row],[delai]]))</f>
        <v>0</v>
      </c>
      <c r="X123"/>
      <c r="Y123" s="75"/>
    </row>
    <row r="124" spans="12:25" ht="18" customHeight="1" x14ac:dyDescent="0.2">
      <c r="L124" s="78" t="s">
        <v>74</v>
      </c>
      <c r="M124" s="78" t="s">
        <v>75</v>
      </c>
      <c r="N124" s="78" t="s">
        <v>1</v>
      </c>
      <c r="O124" s="84">
        <v>45918</v>
      </c>
      <c r="P124" s="78">
        <v>60</v>
      </c>
      <c r="Q124" s="78">
        <f>INDEX($C$1:$I$1,MATCH(Tabel3[[#This Row],[Type]],Devoirs[[#Headers],[J0]:[J60]],0))</f>
        <v>0</v>
      </c>
      <c r="R124" s="85" t="str" cm="1">
        <f t="array" ref="R124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12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45920.534826388903</v>
      </c>
      <c r="T12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45920.576493055567</v>
      </c>
      <c r="U124" s="82">
        <f ca="1">--(Tabel3[[#This Row],[jour]]&lt;&gt;TRUNC(Tabel3[[#This Row],[fin]]))</f>
        <v>1</v>
      </c>
      <c r="V124" s="82">
        <f>IF(Tabel3[[#This Row],[Type]]="j0",0,--(TRUNC(Tabel3[[#This Row],[debut]])-TRUNC(Tabel3[[#This Row],[fin precedent]])&lt;Tabel3[[#This Row],[delai]]))</f>
        <v>0</v>
      </c>
      <c r="X124"/>
      <c r="Y124" s="75"/>
    </row>
    <row r="125" spans="12:25" ht="18" customHeight="1" x14ac:dyDescent="0.2">
      <c r="L125" s="78" t="s">
        <v>51</v>
      </c>
      <c r="M125" s="78" t="s">
        <v>57</v>
      </c>
      <c r="N125" s="78" t="s">
        <v>1</v>
      </c>
      <c r="O125" s="84">
        <v>45918</v>
      </c>
      <c r="P125" s="78">
        <v>73</v>
      </c>
      <c r="Q125" s="78">
        <f>INDEX($C$1:$I$1,MATCH(Tabel3[[#This Row],[Type]],Devoirs[[#Headers],[J0]:[J60]],0))</f>
        <v>0</v>
      </c>
      <c r="R125" s="85" t="str" cm="1">
        <f t="array" ref="R125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12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45920.576493055567</v>
      </c>
      <c r="T12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45920.627187500009</v>
      </c>
      <c r="U125" s="82">
        <f ca="1">--(Tabel3[[#This Row],[jour]]&lt;&gt;TRUNC(Tabel3[[#This Row],[fin]]))</f>
        <v>1</v>
      </c>
      <c r="V125" s="82">
        <f>IF(Tabel3[[#This Row],[Type]]="j0",0,--(TRUNC(Tabel3[[#This Row],[debut]])-TRUNC(Tabel3[[#This Row],[fin precedent]])&lt;Tabel3[[#This Row],[delai]]))</f>
        <v>0</v>
      </c>
      <c r="X125"/>
      <c r="Y125" s="75"/>
    </row>
    <row r="126" spans="12:25" ht="18" customHeight="1" x14ac:dyDescent="0.2">
      <c r="L126" s="78" t="s">
        <v>64</v>
      </c>
      <c r="M126" s="78" t="s">
        <v>72</v>
      </c>
      <c r="N126" s="78" t="s">
        <v>1</v>
      </c>
      <c r="O126" s="84">
        <v>45918</v>
      </c>
      <c r="P126" s="78">
        <v>82</v>
      </c>
      <c r="Q126" s="78">
        <f>INDEX($C$1:$I$1,MATCH(Tabel3[[#This Row],[Type]],Devoirs[[#Headers],[J0]:[J60]],0))</f>
        <v>0</v>
      </c>
      <c r="R126" s="85" t="str" cm="1">
        <f t="array" ref="R126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12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45920.627187500009</v>
      </c>
      <c r="T12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45920.68413194445</v>
      </c>
      <c r="U126" s="82">
        <f ca="1">--(Tabel3[[#This Row],[jour]]&lt;&gt;TRUNC(Tabel3[[#This Row],[fin]]))</f>
        <v>1</v>
      </c>
      <c r="V126" s="82">
        <f>IF(Tabel3[[#This Row],[Type]]="j0",0,--(TRUNC(Tabel3[[#This Row],[debut]])-TRUNC(Tabel3[[#This Row],[fin precedent]])&lt;Tabel3[[#This Row],[delai]]))</f>
        <v>0</v>
      </c>
      <c r="X126"/>
      <c r="Y126" s="75"/>
    </row>
    <row r="127" spans="12:25" ht="18" customHeight="1" x14ac:dyDescent="0.2">
      <c r="L127" s="78" t="s">
        <v>85</v>
      </c>
      <c r="M127" s="78" t="s">
        <v>92</v>
      </c>
      <c r="N127" s="78" t="s">
        <v>1</v>
      </c>
      <c r="O127" s="84">
        <v>45918</v>
      </c>
      <c r="P127" s="78">
        <v>99</v>
      </c>
      <c r="Q127" s="78">
        <f>INDEX($C$1:$I$1,MATCH(Tabel3[[#This Row],[Type]],Devoirs[[#Headers],[J0]:[J60]],0))</f>
        <v>0</v>
      </c>
      <c r="R127" s="85" t="str" cm="1">
        <f t="array" ref="R127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12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45920.68413194445</v>
      </c>
      <c r="T12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45922.336215277785</v>
      </c>
      <c r="U127" s="82">
        <f ca="1">--(Tabel3[[#This Row],[jour]]&lt;&gt;TRUNC(Tabel3[[#This Row],[fin]]))</f>
        <v>1</v>
      </c>
      <c r="V127" s="82">
        <f>IF(Tabel3[[#This Row],[Type]]="j0",0,--(TRUNC(Tabel3[[#This Row],[debut]])-TRUNC(Tabel3[[#This Row],[fin precedent]])&lt;Tabel3[[#This Row],[delai]]))</f>
        <v>0</v>
      </c>
      <c r="X127"/>
      <c r="Y127" s="75"/>
    </row>
    <row r="128" spans="12:25" ht="18" customHeight="1" x14ac:dyDescent="0.2">
      <c r="L128" s="78" t="s">
        <v>125</v>
      </c>
      <c r="M128" s="78" t="s">
        <v>127</v>
      </c>
      <c r="N128" s="78" t="s">
        <v>1</v>
      </c>
      <c r="O128" s="84">
        <v>45918</v>
      </c>
      <c r="P128" s="78">
        <v>107</v>
      </c>
      <c r="Q128" s="78">
        <f>INDEX($C$1:$I$1,MATCH(Tabel3[[#This Row],[Type]],Devoirs[[#Headers],[J0]:[J60]],0))</f>
        <v>0</v>
      </c>
      <c r="R128" s="85" t="str" cm="1">
        <f t="array" ref="R128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12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45922.336215277785</v>
      </c>
      <c r="T12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45922.410520833342</v>
      </c>
      <c r="U128" s="82">
        <f ca="1">--(Tabel3[[#This Row],[jour]]&lt;&gt;TRUNC(Tabel3[[#This Row],[fin]]))</f>
        <v>1</v>
      </c>
      <c r="V128" s="82">
        <f>IF(Tabel3[[#This Row],[Type]]="j0",0,--(TRUNC(Tabel3[[#This Row],[debut]])-TRUNC(Tabel3[[#This Row],[fin precedent]])&lt;Tabel3[[#This Row],[delai]]))</f>
        <v>0</v>
      </c>
      <c r="X128"/>
      <c r="Y128" s="75"/>
    </row>
    <row r="129" spans="12:25" ht="18" customHeight="1" x14ac:dyDescent="0.2">
      <c r="L129" s="78" t="s">
        <v>85</v>
      </c>
      <c r="M129" s="78" t="s">
        <v>86</v>
      </c>
      <c r="N129" s="78" t="s">
        <v>1</v>
      </c>
      <c r="O129" s="84">
        <v>45918</v>
      </c>
      <c r="P129" s="78">
        <v>110</v>
      </c>
      <c r="Q129" s="78">
        <f>INDEX($C$1:$I$1,MATCH(Tabel3[[#This Row],[Type]],Devoirs[[#Headers],[J0]:[J60]],0))</f>
        <v>0</v>
      </c>
      <c r="R129" s="85" t="str" cm="1">
        <f t="array" ref="R129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12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45922.410520833342</v>
      </c>
      <c r="T12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45922.486909722233</v>
      </c>
      <c r="U129" s="82">
        <f ca="1">--(Tabel3[[#This Row],[jour]]&lt;&gt;TRUNC(Tabel3[[#This Row],[fin]]))</f>
        <v>1</v>
      </c>
      <c r="V129" s="82">
        <f>IF(Tabel3[[#This Row],[Type]]="j0",0,--(TRUNC(Tabel3[[#This Row],[debut]])-TRUNC(Tabel3[[#This Row],[fin precedent]])&lt;Tabel3[[#This Row],[delai]]))</f>
        <v>0</v>
      </c>
      <c r="X129"/>
      <c r="Y129" s="75"/>
    </row>
    <row r="130" spans="12:25" ht="18" customHeight="1" x14ac:dyDescent="0.2">
      <c r="L130" s="78" t="s">
        <v>95</v>
      </c>
      <c r="M130" s="78" t="s">
        <v>98</v>
      </c>
      <c r="N130" s="78" t="s">
        <v>37</v>
      </c>
      <c r="O130" s="84">
        <v>45919</v>
      </c>
      <c r="P130" s="78">
        <v>81</v>
      </c>
      <c r="Q130" s="78">
        <f>INDEX($C$1:$I$1,MATCH(Tabel3[[#This Row],[Type]],Devoirs[[#Headers],[J0]:[J60]],0))</f>
        <v>2</v>
      </c>
      <c r="R130" s="85" cm="1">
        <f t="array" aca="1" ref="R13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45912.573784722234</v>
      </c>
      <c r="S13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45922.486909722233</v>
      </c>
      <c r="T13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45922.543159722234</v>
      </c>
      <c r="U130" s="82">
        <f ca="1">--(Tabel3[[#This Row],[jour]]&lt;&gt;TRUNC(Tabel3[[#This Row],[fin]]))</f>
        <v>1</v>
      </c>
      <c r="V130" s="82">
        <f ca="1">IF(Tabel3[[#This Row],[Type]]="j0",0,--(TRUNC(Tabel3[[#This Row],[debut]])-TRUNC(Tabel3[[#This Row],[fin precedent]])&lt;Tabel3[[#This Row],[delai]]))</f>
        <v>0</v>
      </c>
      <c r="X130"/>
      <c r="Y130" s="75"/>
    </row>
    <row r="131" spans="12:25" ht="18" customHeight="1" x14ac:dyDescent="0.2">
      <c r="L131" s="78" t="s">
        <v>95</v>
      </c>
      <c r="M131" s="78" t="s">
        <v>102</v>
      </c>
      <c r="N131" s="78" t="s">
        <v>37</v>
      </c>
      <c r="O131" s="84">
        <v>45919</v>
      </c>
      <c r="P131" s="78">
        <v>100.8</v>
      </c>
      <c r="Q131" s="78">
        <f>INDEX($C$1:$I$1,MATCH(Tabel3[[#This Row],[Type]],Devoirs[[#Headers],[J0]:[J60]],0))</f>
        <v>2</v>
      </c>
      <c r="R131" s="85" cm="1">
        <f t="array" aca="1" ref="R13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45912.573784722234</v>
      </c>
      <c r="S13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45922.543159722234</v>
      </c>
      <c r="T13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45922.613159722234</v>
      </c>
      <c r="U131" s="82">
        <f ca="1">--(Tabel3[[#This Row],[jour]]&lt;&gt;TRUNC(Tabel3[[#This Row],[fin]]))</f>
        <v>1</v>
      </c>
      <c r="V131" s="82">
        <f ca="1">IF(Tabel3[[#This Row],[Type]]="j0",0,--(TRUNC(Tabel3[[#This Row],[debut]])-TRUNC(Tabel3[[#This Row],[fin precedent]])&lt;Tabel3[[#This Row],[delai]]))</f>
        <v>0</v>
      </c>
      <c r="X131"/>
      <c r="Y131" s="75"/>
    </row>
    <row r="132" spans="12:25" ht="18" customHeight="1" x14ac:dyDescent="0.2">
      <c r="L132" s="78" t="s">
        <v>51</v>
      </c>
      <c r="M132" s="78" t="s">
        <v>59</v>
      </c>
      <c r="N132" s="78" t="s">
        <v>37</v>
      </c>
      <c r="O132" s="84">
        <v>45919</v>
      </c>
      <c r="P132" s="78">
        <v>101.7</v>
      </c>
      <c r="Q132" s="78">
        <f>INDEX($C$1:$I$1,MATCH(Tabel3[[#This Row],[Type]],Devoirs[[#Headers],[J0]:[J60]],0))</f>
        <v>2</v>
      </c>
      <c r="R132" s="85" cm="1">
        <f t="array" aca="1" ref="R13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45902.368750000001</v>
      </c>
      <c r="S13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45922.613159722234</v>
      </c>
      <c r="T13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45922.683784722234</v>
      </c>
      <c r="U132" s="82">
        <f ca="1">--(Tabel3[[#This Row],[jour]]&lt;&gt;TRUNC(Tabel3[[#This Row],[fin]]))</f>
        <v>1</v>
      </c>
      <c r="V132" s="82">
        <f ca="1">IF(Tabel3[[#This Row],[Type]]="j0",0,--(TRUNC(Tabel3[[#This Row],[debut]])-TRUNC(Tabel3[[#This Row],[fin precedent]])&lt;Tabel3[[#This Row],[delai]]))</f>
        <v>0</v>
      </c>
      <c r="X132"/>
      <c r="Y132" s="75"/>
    </row>
    <row r="133" spans="12:25" ht="18" customHeight="1" x14ac:dyDescent="0.2">
      <c r="L133" s="78" t="s">
        <v>95</v>
      </c>
      <c r="M133" s="78" t="s">
        <v>99</v>
      </c>
      <c r="N133" s="78" t="s">
        <v>37</v>
      </c>
      <c r="O133" s="84">
        <v>45919</v>
      </c>
      <c r="P133" s="78">
        <v>108</v>
      </c>
      <c r="Q133" s="78">
        <f>INDEX($C$1:$I$1,MATCH(Tabel3[[#This Row],[Type]],Devoirs[[#Headers],[J0]:[J60]],0))</f>
        <v>2</v>
      </c>
      <c r="R133" s="85" cm="1">
        <f t="array" aca="1" ref="R13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45912.573784722234</v>
      </c>
      <c r="S13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45922.683784722234</v>
      </c>
      <c r="T13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45923.342118055567</v>
      </c>
      <c r="U133" s="82">
        <f ca="1">--(Tabel3[[#This Row],[jour]]&lt;&gt;TRUNC(Tabel3[[#This Row],[fin]]))</f>
        <v>1</v>
      </c>
      <c r="V133" s="82">
        <f ca="1">IF(Tabel3[[#This Row],[Type]]="j0",0,--(TRUNC(Tabel3[[#This Row],[debut]])-TRUNC(Tabel3[[#This Row],[fin precedent]])&lt;Tabel3[[#This Row],[delai]]))</f>
        <v>0</v>
      </c>
      <c r="X133"/>
      <c r="Y133" s="75"/>
    </row>
    <row r="134" spans="12:25" ht="18" customHeight="1" x14ac:dyDescent="0.2">
      <c r="L134" s="78" t="s">
        <v>125</v>
      </c>
      <c r="M134" s="78" t="s">
        <v>128</v>
      </c>
      <c r="N134" s="78" t="s">
        <v>39</v>
      </c>
      <c r="O134" s="84">
        <v>45919</v>
      </c>
      <c r="P134" s="78">
        <v>42</v>
      </c>
      <c r="Q134" s="78">
        <f>INDEX($C$1:$I$1,MATCH(Tabel3[[#This Row],[Type]],Devoirs[[#Headers],[J0]:[J60]],0))</f>
        <v>4</v>
      </c>
      <c r="R134" s="85" cm="1">
        <f t="array" aca="1" ref="R13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45915.409895833334</v>
      </c>
      <c r="S13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45923.342118055567</v>
      </c>
      <c r="T13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45923.371284722234</v>
      </c>
      <c r="U134" s="82">
        <f ca="1">--(Tabel3[[#This Row],[jour]]&lt;&gt;TRUNC(Tabel3[[#This Row],[fin]]))</f>
        <v>1</v>
      </c>
      <c r="V134" s="82">
        <f ca="1">IF(Tabel3[[#This Row],[Type]]="j0",0,--(TRUNC(Tabel3[[#This Row],[debut]])-TRUNC(Tabel3[[#This Row],[fin precedent]])&lt;Tabel3[[#This Row],[delai]]))</f>
        <v>0</v>
      </c>
      <c r="X134"/>
      <c r="Y134" s="75"/>
    </row>
    <row r="135" spans="12:25" ht="18" customHeight="1" x14ac:dyDescent="0.2">
      <c r="L135" s="78" t="s">
        <v>135</v>
      </c>
      <c r="M135" s="78" t="s">
        <v>156</v>
      </c>
      <c r="N135" s="78" t="s">
        <v>39</v>
      </c>
      <c r="O135" s="84">
        <v>45919</v>
      </c>
      <c r="P135" s="78">
        <v>64.8</v>
      </c>
      <c r="Q135" s="78">
        <f>INDEX($C$1:$I$1,MATCH(Tabel3[[#This Row],[Type]],Devoirs[[#Headers],[J0]:[J60]],0))</f>
        <v>4</v>
      </c>
      <c r="R135" s="85" cm="1">
        <f t="array" aca="1" ref="R13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45908.350000000006</v>
      </c>
      <c r="S13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45923.371284722234</v>
      </c>
      <c r="T13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45923.416284722232</v>
      </c>
      <c r="U135" s="82">
        <f ca="1">--(Tabel3[[#This Row],[jour]]&lt;&gt;TRUNC(Tabel3[[#This Row],[fin]]))</f>
        <v>1</v>
      </c>
      <c r="V135" s="82">
        <f ca="1">IF(Tabel3[[#This Row],[Type]]="j0",0,--(TRUNC(Tabel3[[#This Row],[debut]])-TRUNC(Tabel3[[#This Row],[fin precedent]])&lt;Tabel3[[#This Row],[delai]]))</f>
        <v>0</v>
      </c>
      <c r="X135"/>
      <c r="Y135" s="75"/>
    </row>
    <row r="136" spans="12:25" ht="18" customHeight="1" x14ac:dyDescent="0.2">
      <c r="L136" s="78" t="s">
        <v>74</v>
      </c>
      <c r="M136" s="78" t="s">
        <v>83</v>
      </c>
      <c r="N136" s="78" t="s">
        <v>39</v>
      </c>
      <c r="O136" s="84">
        <v>45919</v>
      </c>
      <c r="P136" s="78">
        <v>66.599999999999994</v>
      </c>
      <c r="Q136" s="78">
        <f>INDEX($C$1:$I$1,MATCH(Tabel3[[#This Row],[Type]],Devoirs[[#Headers],[J0]:[J60]],0))</f>
        <v>4</v>
      </c>
      <c r="R136" s="85" cm="1">
        <f t="array" aca="1" ref="R13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45916.567500000012</v>
      </c>
      <c r="S13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45923.416284722232</v>
      </c>
      <c r="T13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45923.462534722232</v>
      </c>
      <c r="U136" s="82">
        <f ca="1">--(Tabel3[[#This Row],[jour]]&lt;&gt;TRUNC(Tabel3[[#This Row],[fin]]))</f>
        <v>1</v>
      </c>
      <c r="V136" s="82">
        <f ca="1">IF(Tabel3[[#This Row],[Type]]="j0",0,--(TRUNC(Tabel3[[#This Row],[debut]])-TRUNC(Tabel3[[#This Row],[fin precedent]])&lt;Tabel3[[#This Row],[delai]]))</f>
        <v>0</v>
      </c>
      <c r="X136"/>
      <c r="Y136" s="75"/>
    </row>
    <row r="137" spans="12:25" ht="18" customHeight="1" x14ac:dyDescent="0.2">
      <c r="L137" s="78" t="s">
        <v>43</v>
      </c>
      <c r="M137" s="78" t="s">
        <v>48</v>
      </c>
      <c r="N137" s="78" t="s">
        <v>1</v>
      </c>
      <c r="O137" s="84">
        <v>45919</v>
      </c>
      <c r="P137" s="78">
        <v>32</v>
      </c>
      <c r="Q137" s="78">
        <f>INDEX($C$1:$I$1,MATCH(Tabel3[[#This Row],[Type]],Devoirs[[#Headers],[J0]:[J60]],0))</f>
        <v>0</v>
      </c>
      <c r="R137" s="85" t="str" cm="1">
        <f t="array" ref="R137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13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45923.462534722232</v>
      </c>
      <c r="T13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45923.484756944454</v>
      </c>
      <c r="U137" s="82">
        <f ca="1">--(Tabel3[[#This Row],[jour]]&lt;&gt;TRUNC(Tabel3[[#This Row],[fin]]))</f>
        <v>1</v>
      </c>
      <c r="V137" s="82">
        <f>IF(Tabel3[[#This Row],[Type]]="j0",0,--(TRUNC(Tabel3[[#This Row],[debut]])-TRUNC(Tabel3[[#This Row],[fin precedent]])&lt;Tabel3[[#This Row],[delai]]))</f>
        <v>0</v>
      </c>
      <c r="X137"/>
      <c r="Y137" s="75"/>
    </row>
    <row r="138" spans="12:25" ht="18" customHeight="1" x14ac:dyDescent="0.2">
      <c r="L138" s="78" t="s">
        <v>51</v>
      </c>
      <c r="M138" s="78" t="s">
        <v>58</v>
      </c>
      <c r="N138" s="78" t="s">
        <v>1</v>
      </c>
      <c r="O138" s="84">
        <v>45919</v>
      </c>
      <c r="P138" s="78">
        <v>56</v>
      </c>
      <c r="Q138" s="78">
        <f>INDEX($C$1:$I$1,MATCH(Tabel3[[#This Row],[Type]],Devoirs[[#Headers],[J0]:[J60]],0))</f>
        <v>0</v>
      </c>
      <c r="R138" s="85" t="str" cm="1">
        <f t="array" ref="R138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13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45923.484756944454</v>
      </c>
      <c r="T13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45923.523645833346</v>
      </c>
      <c r="U138" s="82">
        <f ca="1">--(Tabel3[[#This Row],[jour]]&lt;&gt;TRUNC(Tabel3[[#This Row],[fin]]))</f>
        <v>1</v>
      </c>
      <c r="V138" s="82">
        <f>IF(Tabel3[[#This Row],[Type]]="j0",0,--(TRUNC(Tabel3[[#This Row],[debut]])-TRUNC(Tabel3[[#This Row],[fin precedent]])&lt;Tabel3[[#This Row],[delai]]))</f>
        <v>0</v>
      </c>
      <c r="X138"/>
      <c r="Y138" s="75"/>
    </row>
    <row r="139" spans="12:25" ht="18" customHeight="1" x14ac:dyDescent="0.2">
      <c r="L139" s="78" t="s">
        <v>125</v>
      </c>
      <c r="M139" s="78" t="s">
        <v>131</v>
      </c>
      <c r="N139" s="78" t="s">
        <v>1</v>
      </c>
      <c r="O139" s="84">
        <v>45919</v>
      </c>
      <c r="P139" s="78">
        <v>56</v>
      </c>
      <c r="Q139" s="78">
        <f>INDEX($C$1:$I$1,MATCH(Tabel3[[#This Row],[Type]],Devoirs[[#Headers],[J0]:[J60]],0))</f>
        <v>0</v>
      </c>
      <c r="R139" s="85" t="str" cm="1">
        <f t="array" ref="R139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13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45923.523645833346</v>
      </c>
      <c r="T13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45923.562534722238</v>
      </c>
      <c r="U139" s="82">
        <f ca="1">--(Tabel3[[#This Row],[jour]]&lt;&gt;TRUNC(Tabel3[[#This Row],[fin]]))</f>
        <v>1</v>
      </c>
      <c r="V139" s="82">
        <f>IF(Tabel3[[#This Row],[Type]]="j0",0,--(TRUNC(Tabel3[[#This Row],[debut]])-TRUNC(Tabel3[[#This Row],[fin precedent]])&lt;Tabel3[[#This Row],[delai]]))</f>
        <v>0</v>
      </c>
      <c r="X139"/>
      <c r="Y139" s="75"/>
    </row>
    <row r="140" spans="12:25" ht="18" customHeight="1" x14ac:dyDescent="0.2">
      <c r="L140" s="78" t="s">
        <v>51</v>
      </c>
      <c r="M140" s="78" t="s">
        <v>52</v>
      </c>
      <c r="N140" s="78" t="s">
        <v>1</v>
      </c>
      <c r="O140" s="84">
        <v>45919</v>
      </c>
      <c r="P140" s="78">
        <v>102</v>
      </c>
      <c r="Q140" s="78">
        <f>INDEX($C$1:$I$1,MATCH(Tabel3[[#This Row],[Type]],Devoirs[[#Headers],[J0]:[J60]],0))</f>
        <v>0</v>
      </c>
      <c r="R140" s="85" t="str" cm="1">
        <f t="array" ref="R140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14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45923.562534722238</v>
      </c>
      <c r="T14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45923.633368055569</v>
      </c>
      <c r="U140" s="82">
        <f ca="1">--(Tabel3[[#This Row],[jour]]&lt;&gt;TRUNC(Tabel3[[#This Row],[fin]]))</f>
        <v>1</v>
      </c>
      <c r="V140" s="82">
        <f>IF(Tabel3[[#This Row],[Type]]="j0",0,--(TRUNC(Tabel3[[#This Row],[debut]])-TRUNC(Tabel3[[#This Row],[fin precedent]])&lt;Tabel3[[#This Row],[delai]]))</f>
        <v>0</v>
      </c>
      <c r="X140"/>
      <c r="Y140" s="75"/>
    </row>
    <row r="141" spans="12:25" ht="18" customHeight="1" x14ac:dyDescent="0.2">
      <c r="L141" s="78" t="s">
        <v>135</v>
      </c>
      <c r="M141" s="78" t="s">
        <v>158</v>
      </c>
      <c r="N141" s="78" t="s">
        <v>1</v>
      </c>
      <c r="O141" s="84">
        <v>45919</v>
      </c>
      <c r="P141" s="78">
        <v>104</v>
      </c>
      <c r="Q141" s="78">
        <f>INDEX($C$1:$I$1,MATCH(Tabel3[[#This Row],[Type]],Devoirs[[#Headers],[J0]:[J60]],0))</f>
        <v>0</v>
      </c>
      <c r="R141" s="85" t="str" cm="1">
        <f t="array" ref="R141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14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45923.633368055569</v>
      </c>
      <c r="T14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45923.705590277794</v>
      </c>
      <c r="U141" s="82">
        <f ca="1">--(Tabel3[[#This Row],[jour]]&lt;&gt;TRUNC(Tabel3[[#This Row],[fin]]))</f>
        <v>1</v>
      </c>
      <c r="V141" s="82">
        <f>IF(Tabel3[[#This Row],[Type]]="j0",0,--(TRUNC(Tabel3[[#This Row],[debut]])-TRUNC(Tabel3[[#This Row],[fin precedent]])&lt;Tabel3[[#This Row],[delai]]))</f>
        <v>0</v>
      </c>
      <c r="X141"/>
      <c r="Y141" s="75"/>
    </row>
    <row r="142" spans="12:25" ht="18" customHeight="1" x14ac:dyDescent="0.2">
      <c r="L142" s="78" t="s">
        <v>74</v>
      </c>
      <c r="M142" s="78" t="s">
        <v>82</v>
      </c>
      <c r="N142" s="78" t="s">
        <v>37</v>
      </c>
      <c r="O142" s="84">
        <v>45920</v>
      </c>
      <c r="P142" s="78">
        <v>27.900000000000002</v>
      </c>
      <c r="Q142" s="78">
        <f>INDEX($C$1:$I$1,MATCH(Tabel3[[#This Row],[Type]],Devoirs[[#Headers],[J0]:[J60]],0))</f>
        <v>2</v>
      </c>
      <c r="R142" s="85" cm="1">
        <f t="array" aca="1" ref="R14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45910.499444444467</v>
      </c>
      <c r="S14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45923.705590277794</v>
      </c>
      <c r="T14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45923.724965277797</v>
      </c>
      <c r="U142" s="82">
        <f ca="1">--(Tabel3[[#This Row],[jour]]&lt;&gt;TRUNC(Tabel3[[#This Row],[fin]]))</f>
        <v>1</v>
      </c>
      <c r="V142" s="82">
        <f ca="1">IF(Tabel3[[#This Row],[Type]]="j0",0,--(TRUNC(Tabel3[[#This Row],[debut]])-TRUNC(Tabel3[[#This Row],[fin precedent]])&lt;Tabel3[[#This Row],[delai]]))</f>
        <v>0</v>
      </c>
      <c r="X142"/>
      <c r="Y142" s="75"/>
    </row>
    <row r="143" spans="12:25" ht="18" customHeight="1" x14ac:dyDescent="0.2">
      <c r="L143" s="78" t="s">
        <v>135</v>
      </c>
      <c r="M143" s="78" t="s">
        <v>142</v>
      </c>
      <c r="N143" s="78" t="s">
        <v>37</v>
      </c>
      <c r="O143" s="84">
        <v>45920</v>
      </c>
      <c r="P143" s="78">
        <v>36</v>
      </c>
      <c r="Q143" s="78">
        <f>INDEX($C$1:$I$1,MATCH(Tabel3[[#This Row],[Type]],Devoirs[[#Headers],[J0]:[J60]],0))</f>
        <v>2</v>
      </c>
      <c r="R143" s="85" cm="1">
        <f t="array" aca="1" ref="R14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45901.355555555558</v>
      </c>
      <c r="S14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45923.724965277797</v>
      </c>
      <c r="T14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45923.749965277799</v>
      </c>
      <c r="U143" s="82">
        <f ca="1">--(Tabel3[[#This Row],[jour]]&lt;&gt;TRUNC(Tabel3[[#This Row],[fin]]))</f>
        <v>1</v>
      </c>
      <c r="V143" s="82">
        <f ca="1">IF(Tabel3[[#This Row],[Type]]="j0",0,--(TRUNC(Tabel3[[#This Row],[debut]])-TRUNC(Tabel3[[#This Row],[fin precedent]])&lt;Tabel3[[#This Row],[delai]]))</f>
        <v>0</v>
      </c>
      <c r="X143"/>
      <c r="Y143" s="75"/>
    </row>
    <row r="144" spans="12:25" ht="18" customHeight="1" x14ac:dyDescent="0.2">
      <c r="L144" s="78" t="s">
        <v>74</v>
      </c>
      <c r="M144" s="78" t="s">
        <v>75</v>
      </c>
      <c r="N144" s="78" t="s">
        <v>37</v>
      </c>
      <c r="O144" s="84">
        <v>45920</v>
      </c>
      <c r="P144" s="78">
        <v>54</v>
      </c>
      <c r="Q144" s="78">
        <f>INDEX($C$1:$I$1,MATCH(Tabel3[[#This Row],[Type]],Devoirs[[#Headers],[J0]:[J60]],0))</f>
        <v>2</v>
      </c>
      <c r="R144" s="85" cm="1">
        <f t="array" aca="1" ref="R14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45910.499444444467</v>
      </c>
      <c r="S14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45923.749965277799</v>
      </c>
      <c r="T14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45924.370798611133</v>
      </c>
      <c r="U144" s="82">
        <f ca="1">--(Tabel3[[#This Row],[jour]]&lt;&gt;TRUNC(Tabel3[[#This Row],[fin]]))</f>
        <v>1</v>
      </c>
      <c r="V144" s="82">
        <f ca="1">IF(Tabel3[[#This Row],[Type]]="j0",0,--(TRUNC(Tabel3[[#This Row],[debut]])-TRUNC(Tabel3[[#This Row],[fin precedent]])&lt;Tabel3[[#This Row],[delai]]))</f>
        <v>0</v>
      </c>
      <c r="X144"/>
      <c r="Y144" s="75"/>
    </row>
    <row r="145" spans="12:25" ht="18" customHeight="1" x14ac:dyDescent="0.2">
      <c r="L145" s="78" t="s">
        <v>51</v>
      </c>
      <c r="M145" s="78" t="s">
        <v>57</v>
      </c>
      <c r="N145" s="78" t="s">
        <v>37</v>
      </c>
      <c r="O145" s="84">
        <v>45920</v>
      </c>
      <c r="P145" s="78">
        <v>65.7</v>
      </c>
      <c r="Q145" s="78">
        <f>INDEX($C$1:$I$1,MATCH(Tabel3[[#This Row],[Type]],Devoirs[[#Headers],[J0]:[J60]],0))</f>
        <v>2</v>
      </c>
      <c r="R145" s="85" cm="1">
        <f t="array" aca="1" ref="R14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45902.368750000001</v>
      </c>
      <c r="S14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45924.370798611133</v>
      </c>
      <c r="T14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45924.416423611132</v>
      </c>
      <c r="U145" s="82">
        <f ca="1">--(Tabel3[[#This Row],[jour]]&lt;&gt;TRUNC(Tabel3[[#This Row],[fin]]))</f>
        <v>1</v>
      </c>
      <c r="V145" s="82">
        <f ca="1">IF(Tabel3[[#This Row],[Type]]="j0",0,--(TRUNC(Tabel3[[#This Row],[debut]])-TRUNC(Tabel3[[#This Row],[fin precedent]])&lt;Tabel3[[#This Row],[delai]]))</f>
        <v>0</v>
      </c>
      <c r="X145"/>
      <c r="Y145" s="75"/>
    </row>
    <row r="146" spans="12:25" ht="18" customHeight="1" x14ac:dyDescent="0.2">
      <c r="L146" s="78" t="s">
        <v>64</v>
      </c>
      <c r="M146" s="78" t="s">
        <v>72</v>
      </c>
      <c r="N146" s="78" t="s">
        <v>37</v>
      </c>
      <c r="O146" s="84">
        <v>45920</v>
      </c>
      <c r="P146" s="78">
        <v>73.8</v>
      </c>
      <c r="Q146" s="78">
        <f>INDEX($C$1:$I$1,MATCH(Tabel3[[#This Row],[Type]],Devoirs[[#Headers],[J0]:[J60]],0))</f>
        <v>2</v>
      </c>
      <c r="R146" s="85" cm="1">
        <f t="array" aca="1" ref="R14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45912.698090277787</v>
      </c>
      <c r="S14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45924.416423611132</v>
      </c>
      <c r="T14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45924.467673611129</v>
      </c>
      <c r="U146" s="82">
        <f ca="1">--(Tabel3[[#This Row],[jour]]&lt;&gt;TRUNC(Tabel3[[#This Row],[fin]]))</f>
        <v>1</v>
      </c>
      <c r="V146" s="82">
        <f ca="1">IF(Tabel3[[#This Row],[Type]]="j0",0,--(TRUNC(Tabel3[[#This Row],[debut]])-TRUNC(Tabel3[[#This Row],[fin precedent]])&lt;Tabel3[[#This Row],[delai]]))</f>
        <v>0</v>
      </c>
      <c r="X146"/>
      <c r="Y146" s="75"/>
    </row>
    <row r="147" spans="12:25" ht="18" customHeight="1" x14ac:dyDescent="0.2">
      <c r="L147" s="78" t="s">
        <v>85</v>
      </c>
      <c r="M147" s="78" t="s">
        <v>92</v>
      </c>
      <c r="N147" s="78" t="s">
        <v>37</v>
      </c>
      <c r="O147" s="84">
        <v>45920</v>
      </c>
      <c r="P147" s="78">
        <v>89.100000000000009</v>
      </c>
      <c r="Q147" s="78">
        <f>INDEX($C$1:$I$1,MATCH(Tabel3[[#This Row],[Type]],Devoirs[[#Headers],[J0]:[J60]],0))</f>
        <v>2</v>
      </c>
      <c r="R147" s="85" cm="1">
        <f t="array" aca="1" ref="R14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45902.565972222219</v>
      </c>
      <c r="S14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45924.467673611129</v>
      </c>
      <c r="T14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45924.529548611128</v>
      </c>
      <c r="U147" s="82">
        <f ca="1">--(Tabel3[[#This Row],[jour]]&lt;&gt;TRUNC(Tabel3[[#This Row],[fin]]))</f>
        <v>1</v>
      </c>
      <c r="V147" s="82">
        <f ca="1">IF(Tabel3[[#This Row],[Type]]="j0",0,--(TRUNC(Tabel3[[#This Row],[debut]])-TRUNC(Tabel3[[#This Row],[fin precedent]])&lt;Tabel3[[#This Row],[delai]]))</f>
        <v>0</v>
      </c>
      <c r="X147"/>
      <c r="Y147" s="75"/>
    </row>
    <row r="148" spans="12:25" ht="18" customHeight="1" x14ac:dyDescent="0.2">
      <c r="L148" s="78" t="s">
        <v>125</v>
      </c>
      <c r="M148" s="78" t="s">
        <v>127</v>
      </c>
      <c r="N148" s="78" t="s">
        <v>37</v>
      </c>
      <c r="O148" s="84">
        <v>45920</v>
      </c>
      <c r="P148" s="78">
        <v>96.3</v>
      </c>
      <c r="Q148" s="78">
        <f>INDEX($C$1:$I$1,MATCH(Tabel3[[#This Row],[Type]],Devoirs[[#Headers],[J0]:[J60]],0))</f>
        <v>2</v>
      </c>
      <c r="R148" s="85" cm="1">
        <f t="array" aca="1" ref="R14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45908.665937500016</v>
      </c>
      <c r="S14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45924.529548611128</v>
      </c>
      <c r="T14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45924.596423611125</v>
      </c>
      <c r="U148" s="82">
        <f ca="1">--(Tabel3[[#This Row],[jour]]&lt;&gt;TRUNC(Tabel3[[#This Row],[fin]]))</f>
        <v>1</v>
      </c>
      <c r="V148" s="82">
        <f ca="1">IF(Tabel3[[#This Row],[Type]]="j0",0,--(TRUNC(Tabel3[[#This Row],[debut]])-TRUNC(Tabel3[[#This Row],[fin precedent]])&lt;Tabel3[[#This Row],[delai]]))</f>
        <v>0</v>
      </c>
      <c r="X148"/>
      <c r="Y148" s="75"/>
    </row>
    <row r="149" spans="12:25" ht="18" customHeight="1" x14ac:dyDescent="0.2">
      <c r="L149" s="78" t="s">
        <v>85</v>
      </c>
      <c r="M149" s="78" t="s">
        <v>86</v>
      </c>
      <c r="N149" s="78" t="s">
        <v>37</v>
      </c>
      <c r="O149" s="84">
        <v>45920</v>
      </c>
      <c r="P149" s="78">
        <v>99</v>
      </c>
      <c r="Q149" s="78">
        <f>INDEX($C$1:$I$1,MATCH(Tabel3[[#This Row],[Type]],Devoirs[[#Headers],[J0]:[J60]],0))</f>
        <v>2</v>
      </c>
      <c r="R149" s="85" cm="1">
        <f t="array" aca="1" ref="R14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45902.565972222219</v>
      </c>
      <c r="S14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45924.596423611125</v>
      </c>
      <c r="T14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45924.665173611123</v>
      </c>
      <c r="U149" s="82">
        <f ca="1">--(Tabel3[[#This Row],[jour]]&lt;&gt;TRUNC(Tabel3[[#This Row],[fin]]))</f>
        <v>1</v>
      </c>
      <c r="V149" s="82">
        <f ca="1">IF(Tabel3[[#This Row],[Type]]="j0",0,--(TRUNC(Tabel3[[#This Row],[debut]])-TRUNC(Tabel3[[#This Row],[fin precedent]])&lt;Tabel3[[#This Row],[delai]]))</f>
        <v>0</v>
      </c>
      <c r="X149"/>
      <c r="Y149" s="75"/>
    </row>
    <row r="150" spans="12:25" ht="18" customHeight="1" x14ac:dyDescent="0.2">
      <c r="L150" s="78" t="s">
        <v>135</v>
      </c>
      <c r="M150" s="78" t="s">
        <v>141</v>
      </c>
      <c r="N150" s="78" t="s">
        <v>40</v>
      </c>
      <c r="O150" s="84">
        <v>45920</v>
      </c>
      <c r="P150" s="78">
        <v>28.35</v>
      </c>
      <c r="Q150" s="78">
        <f>INDEX($C$1:$I$1,MATCH(Tabel3[[#This Row],[Type]],Devoirs[[#Headers],[J0]:[J60]],0))</f>
        <v>5</v>
      </c>
      <c r="R150" s="85" cm="1">
        <f t="array" aca="1" ref="R15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45911.693923611136</v>
      </c>
      <c r="S15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45924.665173611123</v>
      </c>
      <c r="T15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45924.68486111112</v>
      </c>
      <c r="U150" s="82">
        <f ca="1">--(Tabel3[[#This Row],[jour]]&lt;&gt;TRUNC(Tabel3[[#This Row],[fin]]))</f>
        <v>1</v>
      </c>
      <c r="V150" s="82">
        <f ca="1">IF(Tabel3[[#This Row],[Type]]="j0",0,--(TRUNC(Tabel3[[#This Row],[debut]])-TRUNC(Tabel3[[#This Row],[fin precedent]])&lt;Tabel3[[#This Row],[delai]]))</f>
        <v>0</v>
      </c>
      <c r="X150"/>
      <c r="Y150" s="75"/>
    </row>
    <row r="151" spans="12:25" ht="18" customHeight="1" x14ac:dyDescent="0.2">
      <c r="L151" s="78" t="s">
        <v>43</v>
      </c>
      <c r="M151" s="78" t="s">
        <v>44</v>
      </c>
      <c r="N151" s="78" t="s">
        <v>38</v>
      </c>
      <c r="O151" s="84">
        <v>45921</v>
      </c>
      <c r="P151" s="78">
        <v>72</v>
      </c>
      <c r="Q151" s="78">
        <f>INDEX($C$1:$I$1,MATCH(Tabel3[[#This Row],[Type]],Devoirs[[#Headers],[J0]:[J60]],0))</f>
        <v>4</v>
      </c>
      <c r="R151" s="85" cm="1">
        <f t="array" aca="1" ref="R15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45917.618437500016</v>
      </c>
      <c r="S15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45924.68486111112</v>
      </c>
      <c r="T15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45924.734861111123</v>
      </c>
      <c r="U151" s="82">
        <f ca="1">--(Tabel3[[#This Row],[jour]]&lt;&gt;TRUNC(Tabel3[[#This Row],[fin]]))</f>
        <v>1</v>
      </c>
      <c r="V151" s="82">
        <f ca="1">IF(Tabel3[[#This Row],[Type]]="j0",0,--(TRUNC(Tabel3[[#This Row],[debut]])-TRUNC(Tabel3[[#This Row],[fin precedent]])&lt;Tabel3[[#This Row],[delai]]))</f>
        <v>0</v>
      </c>
      <c r="X151"/>
      <c r="Y151" s="75"/>
    </row>
    <row r="152" spans="12:25" ht="18" customHeight="1" x14ac:dyDescent="0.2">
      <c r="L152" s="78" t="s">
        <v>104</v>
      </c>
      <c r="M152" s="78" t="s">
        <v>108</v>
      </c>
      <c r="N152" s="78" t="s">
        <v>38</v>
      </c>
      <c r="O152" s="84">
        <v>45921</v>
      </c>
      <c r="P152" s="78">
        <v>84.75</v>
      </c>
      <c r="Q152" s="78">
        <f>INDEX($C$1:$I$1,MATCH(Tabel3[[#This Row],[Type]],Devoirs[[#Headers],[J0]:[J60]],0))</f>
        <v>4</v>
      </c>
      <c r="R152" s="85" cm="1">
        <f t="array" aca="1" ref="R15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45904.472083333341</v>
      </c>
      <c r="S15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45924.734861111123</v>
      </c>
      <c r="T15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45925.377048611124</v>
      </c>
      <c r="U152" s="82">
        <f ca="1">--(Tabel3[[#This Row],[jour]]&lt;&gt;TRUNC(Tabel3[[#This Row],[fin]]))</f>
        <v>1</v>
      </c>
      <c r="V152" s="82">
        <f ca="1">IF(Tabel3[[#This Row],[Type]]="j0",0,--(TRUNC(Tabel3[[#This Row],[debut]])-TRUNC(Tabel3[[#This Row],[fin precedent]])&lt;Tabel3[[#This Row],[delai]]))</f>
        <v>0</v>
      </c>
      <c r="X152"/>
      <c r="Y152" s="75"/>
    </row>
    <row r="153" spans="12:25" ht="18" customHeight="1" x14ac:dyDescent="0.2">
      <c r="L153" s="78" t="s">
        <v>43</v>
      </c>
      <c r="M153" s="78" t="s">
        <v>48</v>
      </c>
      <c r="N153" s="78" t="s">
        <v>37</v>
      </c>
      <c r="O153" s="84">
        <v>45921</v>
      </c>
      <c r="P153" s="78">
        <v>28.8</v>
      </c>
      <c r="Q153" s="78">
        <f>INDEX($C$1:$I$1,MATCH(Tabel3[[#This Row],[Type]],Devoirs[[#Headers],[J0]:[J60]],0))</f>
        <v>2</v>
      </c>
      <c r="R153" s="85" cm="1">
        <f t="array" aca="1" ref="R15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45916.66041666668</v>
      </c>
      <c r="S15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45925.377048611124</v>
      </c>
      <c r="T15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45925.397048611121</v>
      </c>
      <c r="U153" s="82">
        <f ca="1">--(Tabel3[[#This Row],[jour]]&lt;&gt;TRUNC(Tabel3[[#This Row],[fin]]))</f>
        <v>1</v>
      </c>
      <c r="V153" s="82">
        <f ca="1">IF(Tabel3[[#This Row],[Type]]="j0",0,--(TRUNC(Tabel3[[#This Row],[debut]])-TRUNC(Tabel3[[#This Row],[fin precedent]])&lt;Tabel3[[#This Row],[delai]]))</f>
        <v>0</v>
      </c>
      <c r="X153"/>
      <c r="Y153" s="75"/>
    </row>
    <row r="154" spans="12:25" ht="18" customHeight="1" x14ac:dyDescent="0.2">
      <c r="L154" s="78" t="s">
        <v>51</v>
      </c>
      <c r="M154" s="78" t="s">
        <v>58</v>
      </c>
      <c r="N154" s="78" t="s">
        <v>37</v>
      </c>
      <c r="O154" s="84">
        <v>45921</v>
      </c>
      <c r="P154" s="78">
        <v>50.4</v>
      </c>
      <c r="Q154" s="78">
        <f>INDEX($C$1:$I$1,MATCH(Tabel3[[#This Row],[Type]],Devoirs[[#Headers],[J0]:[J60]],0))</f>
        <v>2</v>
      </c>
      <c r="R154" s="85" cm="1">
        <f t="array" aca="1" ref="R15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45902.368750000001</v>
      </c>
      <c r="S15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45925.397048611121</v>
      </c>
      <c r="T15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45925.432048611125</v>
      </c>
      <c r="U154" s="82">
        <f ca="1">--(Tabel3[[#This Row],[jour]]&lt;&gt;TRUNC(Tabel3[[#This Row],[fin]]))</f>
        <v>1</v>
      </c>
      <c r="V154" s="82">
        <f ca="1">IF(Tabel3[[#This Row],[Type]]="j0",0,--(TRUNC(Tabel3[[#This Row],[debut]])-TRUNC(Tabel3[[#This Row],[fin precedent]])&lt;Tabel3[[#This Row],[delai]]))</f>
        <v>0</v>
      </c>
      <c r="X154"/>
      <c r="Y154" s="75"/>
    </row>
    <row r="155" spans="12:25" ht="18" customHeight="1" x14ac:dyDescent="0.2">
      <c r="L155" s="78" t="s">
        <v>125</v>
      </c>
      <c r="M155" s="78" t="s">
        <v>131</v>
      </c>
      <c r="N155" s="78" t="s">
        <v>37</v>
      </c>
      <c r="O155" s="84">
        <v>45921</v>
      </c>
      <c r="P155" s="78">
        <v>50.4</v>
      </c>
      <c r="Q155" s="78">
        <f>INDEX($C$1:$I$1,MATCH(Tabel3[[#This Row],[Type]],Devoirs[[#Headers],[J0]:[J60]],0))</f>
        <v>2</v>
      </c>
      <c r="R155" s="85" cm="1">
        <f t="array" aca="1" ref="R15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45908.665937500016</v>
      </c>
      <c r="S15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45925.432048611125</v>
      </c>
      <c r="T15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45925.467048611128</v>
      </c>
      <c r="U155" s="82">
        <f ca="1">--(Tabel3[[#This Row],[jour]]&lt;&gt;TRUNC(Tabel3[[#This Row],[fin]]))</f>
        <v>1</v>
      </c>
      <c r="V155" s="82">
        <f ca="1">IF(Tabel3[[#This Row],[Type]]="j0",0,--(TRUNC(Tabel3[[#This Row],[debut]])-TRUNC(Tabel3[[#This Row],[fin precedent]])&lt;Tabel3[[#This Row],[delai]]))</f>
        <v>0</v>
      </c>
      <c r="X155"/>
      <c r="Y155" s="75"/>
    </row>
    <row r="156" spans="12:25" ht="18" customHeight="1" x14ac:dyDescent="0.2">
      <c r="L156" s="78" t="s">
        <v>51</v>
      </c>
      <c r="M156" s="78" t="s">
        <v>52</v>
      </c>
      <c r="N156" s="78" t="s">
        <v>37</v>
      </c>
      <c r="O156" s="84">
        <v>45921</v>
      </c>
      <c r="P156" s="78">
        <v>91.8</v>
      </c>
      <c r="Q156" s="78">
        <f>INDEX($C$1:$I$1,MATCH(Tabel3[[#This Row],[Type]],Devoirs[[#Headers],[J0]:[J60]],0))</f>
        <v>2</v>
      </c>
      <c r="R156" s="85" cm="1">
        <f t="array" aca="1" ref="R15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45902.368750000001</v>
      </c>
      <c r="S15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45925.467048611128</v>
      </c>
      <c r="T15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45925.530798611129</v>
      </c>
      <c r="U156" s="82">
        <f ca="1">--(Tabel3[[#This Row],[jour]]&lt;&gt;TRUNC(Tabel3[[#This Row],[fin]]))</f>
        <v>1</v>
      </c>
      <c r="V156" s="82">
        <f ca="1">IF(Tabel3[[#This Row],[Type]]="j0",0,--(TRUNC(Tabel3[[#This Row],[debut]])-TRUNC(Tabel3[[#This Row],[fin precedent]])&lt;Tabel3[[#This Row],[delai]]))</f>
        <v>0</v>
      </c>
      <c r="X156"/>
      <c r="Y156" s="75"/>
    </row>
    <row r="157" spans="12:25" ht="18" customHeight="1" x14ac:dyDescent="0.2">
      <c r="L157" s="78" t="s">
        <v>135</v>
      </c>
      <c r="M157" s="78" t="s">
        <v>158</v>
      </c>
      <c r="N157" s="78" t="s">
        <v>37</v>
      </c>
      <c r="O157" s="84">
        <v>45921</v>
      </c>
      <c r="P157" s="78">
        <v>93.600000000000009</v>
      </c>
      <c r="Q157" s="78">
        <f>INDEX($C$1:$I$1,MATCH(Tabel3[[#This Row],[Type]],Devoirs[[#Headers],[J0]:[J60]],0))</f>
        <v>2</v>
      </c>
      <c r="R157" s="85" cm="1">
        <f t="array" aca="1" ref="R15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45901.355555555558</v>
      </c>
      <c r="S15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45925.530798611129</v>
      </c>
      <c r="T15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45925.595798611132</v>
      </c>
      <c r="U157" s="82">
        <f ca="1">--(Tabel3[[#This Row],[jour]]&lt;&gt;TRUNC(Tabel3[[#This Row],[fin]]))</f>
        <v>1</v>
      </c>
      <c r="V157" s="82">
        <f ca="1">IF(Tabel3[[#This Row],[Type]]="j0",0,--(TRUNC(Tabel3[[#This Row],[debut]])-TRUNC(Tabel3[[#This Row],[fin precedent]])&lt;Tabel3[[#This Row],[delai]]))</f>
        <v>0</v>
      </c>
      <c r="X157"/>
      <c r="Y157" s="75"/>
    </row>
    <row r="158" spans="12:25" ht="18" customHeight="1" x14ac:dyDescent="0.2">
      <c r="L158" s="78" t="s">
        <v>135</v>
      </c>
      <c r="M158" s="78" t="s">
        <v>157</v>
      </c>
      <c r="N158" s="78" t="s">
        <v>39</v>
      </c>
      <c r="O158" s="84">
        <v>45921</v>
      </c>
      <c r="P158" s="78">
        <v>32.4</v>
      </c>
      <c r="Q158" s="78">
        <f>INDEX($C$1:$I$1,MATCH(Tabel3[[#This Row],[Type]],Devoirs[[#Headers],[J0]:[J60]],0))</f>
        <v>4</v>
      </c>
      <c r="R158" s="85" cm="1">
        <f t="array" aca="1" ref="R15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45908.350000000006</v>
      </c>
      <c r="S15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45925.595798611132</v>
      </c>
      <c r="T15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45925.618298611131</v>
      </c>
      <c r="U158" s="82">
        <f ca="1">--(Tabel3[[#This Row],[jour]]&lt;&gt;TRUNC(Tabel3[[#This Row],[fin]]))</f>
        <v>1</v>
      </c>
      <c r="V158" s="82">
        <f ca="1">IF(Tabel3[[#This Row],[Type]]="j0",0,--(TRUNC(Tabel3[[#This Row],[debut]])-TRUNC(Tabel3[[#This Row],[fin precedent]])&lt;Tabel3[[#This Row],[delai]]))</f>
        <v>0</v>
      </c>
      <c r="X158"/>
      <c r="Y158" s="75"/>
    </row>
    <row r="159" spans="12:25" ht="18" customHeight="1" x14ac:dyDescent="0.2">
      <c r="L159" s="78" t="s">
        <v>51</v>
      </c>
      <c r="M159" s="78" t="s">
        <v>61</v>
      </c>
      <c r="N159" s="78" t="s">
        <v>39</v>
      </c>
      <c r="O159" s="84">
        <v>45921</v>
      </c>
      <c r="P159" s="78">
        <v>37.799999999999997</v>
      </c>
      <c r="Q159" s="78">
        <f>INDEX($C$1:$I$1,MATCH(Tabel3[[#This Row],[Type]],Devoirs[[#Headers],[J0]:[J60]],0))</f>
        <v>4</v>
      </c>
      <c r="R159" s="85" cm="1">
        <f t="array" aca="1" ref="R15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45908.415937500009</v>
      </c>
      <c r="S15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45925.618298611131</v>
      </c>
      <c r="T15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45925.644548611133</v>
      </c>
      <c r="U159" s="82">
        <f ca="1">--(Tabel3[[#This Row],[jour]]&lt;&gt;TRUNC(Tabel3[[#This Row],[fin]]))</f>
        <v>1</v>
      </c>
      <c r="V159" s="82">
        <f ca="1">IF(Tabel3[[#This Row],[Type]]="j0",0,--(TRUNC(Tabel3[[#This Row],[debut]])-TRUNC(Tabel3[[#This Row],[fin precedent]])&lt;Tabel3[[#This Row],[delai]]))</f>
        <v>0</v>
      </c>
      <c r="X159"/>
      <c r="Y159" s="75"/>
    </row>
    <row r="160" spans="12:25" ht="18" customHeight="1" x14ac:dyDescent="0.2">
      <c r="L160" s="78" t="s">
        <v>135</v>
      </c>
      <c r="M160" s="78" t="s">
        <v>137</v>
      </c>
      <c r="N160" s="78" t="s">
        <v>38</v>
      </c>
      <c r="O160" s="84">
        <v>45922</v>
      </c>
      <c r="P160" s="78">
        <v>27</v>
      </c>
      <c r="Q160" s="78">
        <f>INDEX($C$1:$I$1,MATCH(Tabel3[[#This Row],[Type]],Devoirs[[#Headers],[J0]:[J60]],0))</f>
        <v>4</v>
      </c>
      <c r="R160" s="85" cm="1">
        <f t="array" aca="1" ref="R16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45903.353333333333</v>
      </c>
      <c r="S16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45925.644548611133</v>
      </c>
      <c r="T16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45925.663298611136</v>
      </c>
      <c r="U160" s="82">
        <f ca="1">--(Tabel3[[#This Row],[jour]]&lt;&gt;TRUNC(Tabel3[[#This Row],[fin]]))</f>
        <v>1</v>
      </c>
      <c r="V160" s="82">
        <f ca="1">IF(Tabel3[[#This Row],[Type]]="j0",0,--(TRUNC(Tabel3[[#This Row],[debut]])-TRUNC(Tabel3[[#This Row],[fin precedent]])&lt;Tabel3[[#This Row],[delai]]))</f>
        <v>0</v>
      </c>
      <c r="X160"/>
      <c r="Y160" s="75"/>
    </row>
    <row r="161" spans="12:25" ht="18" customHeight="1" x14ac:dyDescent="0.2">
      <c r="L161" s="78" t="s">
        <v>104</v>
      </c>
      <c r="M161" s="78" t="s">
        <v>105</v>
      </c>
      <c r="N161" s="78" t="s">
        <v>38</v>
      </c>
      <c r="O161" s="84">
        <v>45922</v>
      </c>
      <c r="P161" s="78">
        <v>33.75</v>
      </c>
      <c r="Q161" s="78">
        <f>INDEX($C$1:$I$1,MATCH(Tabel3[[#This Row],[Type]],Devoirs[[#Headers],[J0]:[J60]],0))</f>
        <v>4</v>
      </c>
      <c r="R161" s="85" cm="1">
        <f t="array" aca="1" ref="R16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45904.472083333341</v>
      </c>
      <c r="S16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45925.663298611136</v>
      </c>
      <c r="T16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45925.686736111136</v>
      </c>
      <c r="U161" s="82">
        <f ca="1">--(Tabel3[[#This Row],[jour]]&lt;&gt;TRUNC(Tabel3[[#This Row],[fin]]))</f>
        <v>1</v>
      </c>
      <c r="V161" s="82">
        <f ca="1">IF(Tabel3[[#This Row],[Type]]="j0",0,--(TRUNC(Tabel3[[#This Row],[debut]])-TRUNC(Tabel3[[#This Row],[fin precedent]])&lt;Tabel3[[#This Row],[delai]]))</f>
        <v>0</v>
      </c>
      <c r="X161"/>
      <c r="Y161" s="75"/>
    </row>
    <row r="162" spans="12:25" ht="18" customHeight="1" x14ac:dyDescent="0.2">
      <c r="L162" s="78" t="s">
        <v>64</v>
      </c>
      <c r="M162" s="78" t="s">
        <v>69</v>
      </c>
      <c r="N162" s="78" t="s">
        <v>38</v>
      </c>
      <c r="O162" s="84">
        <v>45922</v>
      </c>
      <c r="P162" s="78">
        <v>36</v>
      </c>
      <c r="Q162" s="78">
        <f>INDEX($C$1:$I$1,MATCH(Tabel3[[#This Row],[Type]],Devoirs[[#Headers],[J0]:[J60]],0))</f>
        <v>4</v>
      </c>
      <c r="R162" s="85" cm="1">
        <f t="array" aca="1" ref="R16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45916.416979166672</v>
      </c>
      <c r="S16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45925.686736111136</v>
      </c>
      <c r="T16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45925.711736111138</v>
      </c>
      <c r="U162" s="82">
        <f ca="1">--(Tabel3[[#This Row],[jour]]&lt;&gt;TRUNC(Tabel3[[#This Row],[fin]]))</f>
        <v>1</v>
      </c>
      <c r="V162" s="82">
        <f ca="1">IF(Tabel3[[#This Row],[Type]]="j0",0,--(TRUNC(Tabel3[[#This Row],[debut]])-TRUNC(Tabel3[[#This Row],[fin precedent]])&lt;Tabel3[[#This Row],[delai]]))</f>
        <v>0</v>
      </c>
      <c r="X162"/>
      <c r="Y162" s="75"/>
    </row>
    <row r="163" spans="12:25" ht="18" customHeight="1" x14ac:dyDescent="0.2">
      <c r="L163" s="78" t="s">
        <v>74</v>
      </c>
      <c r="M163" s="78" t="s">
        <v>80</v>
      </c>
      <c r="N163" s="78" t="s">
        <v>38</v>
      </c>
      <c r="O163" s="84">
        <v>45922</v>
      </c>
      <c r="P163" s="78">
        <v>36.75</v>
      </c>
      <c r="Q163" s="78">
        <f>INDEX($C$1:$I$1,MATCH(Tabel3[[#This Row],[Type]],Devoirs[[#Headers],[J0]:[J60]],0))</f>
        <v>4</v>
      </c>
      <c r="R163" s="85" cm="1">
        <f t="array" aca="1" ref="R16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45911.6805902778</v>
      </c>
      <c r="S16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45925.711736111138</v>
      </c>
      <c r="T16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45925.737256944471</v>
      </c>
      <c r="U163" s="82">
        <f ca="1">--(Tabel3[[#This Row],[jour]]&lt;&gt;TRUNC(Tabel3[[#This Row],[fin]]))</f>
        <v>1</v>
      </c>
      <c r="V163" s="82">
        <f ca="1">IF(Tabel3[[#This Row],[Type]]="j0",0,--(TRUNC(Tabel3[[#This Row],[debut]])-TRUNC(Tabel3[[#This Row],[fin precedent]])&lt;Tabel3[[#This Row],[delai]]))</f>
        <v>0</v>
      </c>
      <c r="X163"/>
      <c r="Y163" s="75"/>
    </row>
    <row r="164" spans="12:25" ht="18" customHeight="1" x14ac:dyDescent="0.2">
      <c r="L164" s="78" t="s">
        <v>104</v>
      </c>
      <c r="M164" s="78" t="s">
        <v>117</v>
      </c>
      <c r="N164" s="78" t="s">
        <v>38</v>
      </c>
      <c r="O164" s="84">
        <v>45922</v>
      </c>
      <c r="P164" s="78">
        <v>45</v>
      </c>
      <c r="Q164" s="78">
        <f>INDEX($C$1:$I$1,MATCH(Tabel3[[#This Row],[Type]],Devoirs[[#Headers],[J0]:[J60]],0))</f>
        <v>4</v>
      </c>
      <c r="R164" s="85" cm="1">
        <f t="array" aca="1" ref="R16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45904.472083333341</v>
      </c>
      <c r="S16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45925.737256944471</v>
      </c>
      <c r="T16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45926.351840277806</v>
      </c>
      <c r="U164" s="82">
        <f ca="1">--(Tabel3[[#This Row],[jour]]&lt;&gt;TRUNC(Tabel3[[#This Row],[fin]]))</f>
        <v>1</v>
      </c>
      <c r="V164" s="82">
        <f ca="1">IF(Tabel3[[#This Row],[Type]]="j0",0,--(TRUNC(Tabel3[[#This Row],[debut]])-TRUNC(Tabel3[[#This Row],[fin precedent]])&lt;Tabel3[[#This Row],[delai]]))</f>
        <v>0</v>
      </c>
      <c r="X164"/>
      <c r="Y164" s="75"/>
    </row>
    <row r="165" spans="12:25" ht="18" customHeight="1" x14ac:dyDescent="0.2">
      <c r="L165" s="78" t="s">
        <v>104</v>
      </c>
      <c r="M165" s="78" t="s">
        <v>118</v>
      </c>
      <c r="N165" s="78" t="s">
        <v>39</v>
      </c>
      <c r="O165" s="84">
        <v>45922</v>
      </c>
      <c r="P165" s="78">
        <v>27</v>
      </c>
      <c r="Q165" s="78">
        <f>INDEX($C$1:$I$1,MATCH(Tabel3[[#This Row],[Type]],Devoirs[[#Headers],[J0]:[J60]],0))</f>
        <v>4</v>
      </c>
      <c r="R165" s="85" cm="1">
        <f t="array" aca="1" ref="R16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45908.505000000012</v>
      </c>
      <c r="S16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45926.351840277806</v>
      </c>
      <c r="T16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45926.370590277809</v>
      </c>
      <c r="U165" s="82">
        <f ca="1">--(Tabel3[[#This Row],[jour]]&lt;&gt;TRUNC(Tabel3[[#This Row],[fin]]))</f>
        <v>1</v>
      </c>
      <c r="V165" s="82">
        <f ca="1">IF(Tabel3[[#This Row],[Type]]="j0",0,--(TRUNC(Tabel3[[#This Row],[debut]])-TRUNC(Tabel3[[#This Row],[fin precedent]])&lt;Tabel3[[#This Row],[delai]]))</f>
        <v>0</v>
      </c>
      <c r="X165"/>
      <c r="Y165" s="75"/>
    </row>
    <row r="166" spans="12:25" ht="18" customHeight="1" x14ac:dyDescent="0.2">
      <c r="L166" s="78" t="s">
        <v>95</v>
      </c>
      <c r="M166" s="78" t="s">
        <v>96</v>
      </c>
      <c r="N166" s="78" t="s">
        <v>39</v>
      </c>
      <c r="O166" s="84">
        <v>45922</v>
      </c>
      <c r="P166" s="78">
        <v>38.4</v>
      </c>
      <c r="Q166" s="78">
        <f>INDEX($C$1:$I$1,MATCH(Tabel3[[#This Row],[Type]],Devoirs[[#Headers],[J0]:[J60]],0))</f>
        <v>4</v>
      </c>
      <c r="R166" s="85" cm="1">
        <f t="array" aca="1" ref="R16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45918.735937500016</v>
      </c>
      <c r="S16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45926.370590277809</v>
      </c>
      <c r="T16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45926.397256944474</v>
      </c>
      <c r="U166" s="82">
        <f ca="1">--(Tabel3[[#This Row],[jour]]&lt;&gt;TRUNC(Tabel3[[#This Row],[fin]]))</f>
        <v>1</v>
      </c>
      <c r="V166" s="82">
        <f ca="1">IF(Tabel3[[#This Row],[Type]]="j0",0,--(TRUNC(Tabel3[[#This Row],[debut]])-TRUNC(Tabel3[[#This Row],[fin precedent]])&lt;Tabel3[[#This Row],[delai]]))</f>
        <v>0</v>
      </c>
      <c r="X166"/>
      <c r="Y166" s="75"/>
    </row>
    <row r="167" spans="12:25" ht="18" customHeight="1" x14ac:dyDescent="0.2">
      <c r="L167" s="78" t="s">
        <v>74</v>
      </c>
      <c r="M167" s="78" t="s">
        <v>78</v>
      </c>
      <c r="N167" s="78" t="s">
        <v>39</v>
      </c>
      <c r="O167" s="84">
        <v>45922</v>
      </c>
      <c r="P167" s="78">
        <v>52.199999999999996</v>
      </c>
      <c r="Q167" s="78">
        <f>INDEX($C$1:$I$1,MATCH(Tabel3[[#This Row],[Type]],Devoirs[[#Headers],[J0]:[J60]],0))</f>
        <v>4</v>
      </c>
      <c r="R167" s="85" cm="1">
        <f t="array" aca="1" ref="R16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45916.567500000012</v>
      </c>
      <c r="S16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45926.397256944474</v>
      </c>
      <c r="T16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45926.433506944471</v>
      </c>
      <c r="U167" s="82">
        <f ca="1">--(Tabel3[[#This Row],[jour]]&lt;&gt;TRUNC(Tabel3[[#This Row],[fin]]))</f>
        <v>1</v>
      </c>
      <c r="V167" s="82">
        <f ca="1">IF(Tabel3[[#This Row],[Type]]="j0",0,--(TRUNC(Tabel3[[#This Row],[debut]])-TRUNC(Tabel3[[#This Row],[fin precedent]])&lt;Tabel3[[#This Row],[delai]]))</f>
        <v>0</v>
      </c>
      <c r="X167"/>
      <c r="Y167" s="75"/>
    </row>
    <row r="168" spans="12:25" ht="18" customHeight="1" x14ac:dyDescent="0.2">
      <c r="L168" s="78" t="s">
        <v>64</v>
      </c>
      <c r="M168" s="78" t="s">
        <v>66</v>
      </c>
      <c r="N168" s="78" t="s">
        <v>39</v>
      </c>
      <c r="O168" s="84">
        <v>45922</v>
      </c>
      <c r="P168" s="78">
        <v>55.199999999999996</v>
      </c>
      <c r="Q168" s="78">
        <f>INDEX($C$1:$I$1,MATCH(Tabel3[[#This Row],[Type]],Devoirs[[#Headers],[J0]:[J60]],0))</f>
        <v>4</v>
      </c>
      <c r="R168" s="85" cm="1">
        <f t="array" aca="1" ref="R16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45919.41250000002</v>
      </c>
      <c r="S16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45926.433506944471</v>
      </c>
      <c r="T16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45926.471840277802</v>
      </c>
      <c r="U168" s="82">
        <f ca="1">--(Tabel3[[#This Row],[jour]]&lt;&gt;TRUNC(Tabel3[[#This Row],[fin]]))</f>
        <v>1</v>
      </c>
      <c r="V168" s="82">
        <f ca="1">IF(Tabel3[[#This Row],[Type]]="j0",0,--(TRUNC(Tabel3[[#This Row],[debut]])-TRUNC(Tabel3[[#This Row],[fin precedent]])&lt;Tabel3[[#This Row],[delai]]))</f>
        <v>0</v>
      </c>
      <c r="X168"/>
      <c r="Y168" s="75"/>
    </row>
    <row r="169" spans="12:25" ht="18" customHeight="1" x14ac:dyDescent="0.2">
      <c r="L169" s="78" t="s">
        <v>64</v>
      </c>
      <c r="M169" s="78" t="s">
        <v>67</v>
      </c>
      <c r="N169" s="78" t="s">
        <v>1</v>
      </c>
      <c r="O169" s="84">
        <v>45922</v>
      </c>
      <c r="P169" s="78">
        <v>33</v>
      </c>
      <c r="Q169" s="78">
        <f>INDEX($C$1:$I$1,MATCH(Tabel3[[#This Row],[Type]],Devoirs[[#Headers],[J0]:[J60]],0))</f>
        <v>0</v>
      </c>
      <c r="R169" s="85" t="str" cm="1">
        <f t="array" ref="R169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16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45926.471840277802</v>
      </c>
      <c r="T16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45926.49475694447</v>
      </c>
      <c r="U169" s="82">
        <f ca="1">--(Tabel3[[#This Row],[jour]]&lt;&gt;TRUNC(Tabel3[[#This Row],[fin]]))</f>
        <v>1</v>
      </c>
      <c r="V169" s="82">
        <f>IF(Tabel3[[#This Row],[Type]]="j0",0,--(TRUNC(Tabel3[[#This Row],[debut]])-TRUNC(Tabel3[[#This Row],[fin precedent]])&lt;Tabel3[[#This Row],[delai]]))</f>
        <v>0</v>
      </c>
      <c r="X169"/>
      <c r="Y169" s="75"/>
    </row>
    <row r="170" spans="12:25" ht="18" customHeight="1" x14ac:dyDescent="0.2">
      <c r="L170" s="78" t="s">
        <v>104</v>
      </c>
      <c r="M170" s="78" t="s">
        <v>116</v>
      </c>
      <c r="N170" s="78" t="s">
        <v>1</v>
      </c>
      <c r="O170" s="84">
        <v>45922</v>
      </c>
      <c r="P170" s="78">
        <v>110</v>
      </c>
      <c r="Q170" s="78">
        <f>INDEX($C$1:$I$1,MATCH(Tabel3[[#This Row],[Type]],Devoirs[[#Headers],[J0]:[J60]],0))</f>
        <v>0</v>
      </c>
      <c r="R170" s="85" t="str" cm="1">
        <f t="array" ref="R170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17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45926.49475694447</v>
      </c>
      <c r="T17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45926.571145833361</v>
      </c>
      <c r="U170" s="82">
        <f ca="1">--(Tabel3[[#This Row],[jour]]&lt;&gt;TRUNC(Tabel3[[#This Row],[fin]]))</f>
        <v>1</v>
      </c>
      <c r="V170" s="82">
        <f>IF(Tabel3[[#This Row],[Type]]="j0",0,--(TRUNC(Tabel3[[#This Row],[debut]])-TRUNC(Tabel3[[#This Row],[fin precedent]])&lt;Tabel3[[#This Row],[delai]]))</f>
        <v>0</v>
      </c>
      <c r="X170"/>
      <c r="Y170" s="75"/>
    </row>
    <row r="171" spans="12:25" ht="18" customHeight="1" x14ac:dyDescent="0.2">
      <c r="L171" s="78" t="s">
        <v>104</v>
      </c>
      <c r="M171" s="78" t="s">
        <v>109</v>
      </c>
      <c r="N171" s="78" t="s">
        <v>1</v>
      </c>
      <c r="O171" s="84">
        <v>45922</v>
      </c>
      <c r="P171" s="78">
        <v>112</v>
      </c>
      <c r="Q171" s="78">
        <f>INDEX($C$1:$I$1,MATCH(Tabel3[[#This Row],[Type]],Devoirs[[#Headers],[J0]:[J60]],0))</f>
        <v>0</v>
      </c>
      <c r="R171" s="85" t="str" cm="1">
        <f t="array" ref="R171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17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45926.571145833361</v>
      </c>
      <c r="T17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45926.648923611137</v>
      </c>
      <c r="U171" s="82">
        <f ca="1">--(Tabel3[[#This Row],[jour]]&lt;&gt;TRUNC(Tabel3[[#This Row],[fin]]))</f>
        <v>1</v>
      </c>
      <c r="V171" s="82">
        <f>IF(Tabel3[[#This Row],[Type]]="j0",0,--(TRUNC(Tabel3[[#This Row],[debut]])-TRUNC(Tabel3[[#This Row],[fin precedent]])&lt;Tabel3[[#This Row],[delai]]))</f>
        <v>0</v>
      </c>
      <c r="X171"/>
      <c r="Y171" s="75"/>
    </row>
    <row r="172" spans="12:25" ht="18" customHeight="1" x14ac:dyDescent="0.2">
      <c r="L172" s="78" t="s">
        <v>95</v>
      </c>
      <c r="M172" s="78" t="s">
        <v>98</v>
      </c>
      <c r="N172" s="78" t="s">
        <v>38</v>
      </c>
      <c r="O172" s="84">
        <v>45923</v>
      </c>
      <c r="P172" s="78">
        <v>67.5</v>
      </c>
      <c r="Q172" s="78">
        <f>INDEX($C$1:$I$1,MATCH(Tabel3[[#This Row],[Type]],Devoirs[[#Headers],[J0]:[J60]],0))</f>
        <v>4</v>
      </c>
      <c r="R172" s="85" cm="1">
        <f t="array" aca="1" ref="R17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45915.721770833334</v>
      </c>
      <c r="S17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45926.648923611137</v>
      </c>
      <c r="T17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45926.695798611137</v>
      </c>
      <c r="U172" s="82">
        <f ca="1">--(Tabel3[[#This Row],[jour]]&lt;&gt;TRUNC(Tabel3[[#This Row],[fin]]))</f>
        <v>1</v>
      </c>
      <c r="V172" s="82">
        <f ca="1">IF(Tabel3[[#This Row],[Type]]="j0",0,--(TRUNC(Tabel3[[#This Row],[debut]])-TRUNC(Tabel3[[#This Row],[fin precedent]])&lt;Tabel3[[#This Row],[delai]]))</f>
        <v>0</v>
      </c>
      <c r="X172"/>
      <c r="Y172" s="75"/>
    </row>
    <row r="173" spans="12:25" ht="18" customHeight="1" x14ac:dyDescent="0.2">
      <c r="L173" s="78" t="s">
        <v>95</v>
      </c>
      <c r="M173" s="78" t="s">
        <v>102</v>
      </c>
      <c r="N173" s="78" t="s">
        <v>38</v>
      </c>
      <c r="O173" s="84">
        <v>45923</v>
      </c>
      <c r="P173" s="78">
        <v>84</v>
      </c>
      <c r="Q173" s="78">
        <f>INDEX($C$1:$I$1,MATCH(Tabel3[[#This Row],[Type]],Devoirs[[#Headers],[J0]:[J60]],0))</f>
        <v>4</v>
      </c>
      <c r="R173" s="85" cm="1">
        <f t="array" aca="1" ref="R17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45915.721770833334</v>
      </c>
      <c r="S17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45926.695798611137</v>
      </c>
      <c r="T17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45927.337465277807</v>
      </c>
      <c r="U173" s="82">
        <f ca="1">--(Tabel3[[#This Row],[jour]]&lt;&gt;TRUNC(Tabel3[[#This Row],[fin]]))</f>
        <v>1</v>
      </c>
      <c r="V173" s="82">
        <f ca="1">IF(Tabel3[[#This Row],[Type]]="j0",0,--(TRUNC(Tabel3[[#This Row],[debut]])-TRUNC(Tabel3[[#This Row],[fin precedent]])&lt;Tabel3[[#This Row],[delai]]))</f>
        <v>0</v>
      </c>
      <c r="X173"/>
      <c r="Y173" s="75"/>
    </row>
    <row r="174" spans="12:25" ht="18" customHeight="1" x14ac:dyDescent="0.2">
      <c r="L174" s="78" t="s">
        <v>51</v>
      </c>
      <c r="M174" s="78" t="s">
        <v>59</v>
      </c>
      <c r="N174" s="78" t="s">
        <v>38</v>
      </c>
      <c r="O174" s="84">
        <v>45923</v>
      </c>
      <c r="P174" s="78">
        <v>84.75</v>
      </c>
      <c r="Q174" s="78">
        <f>INDEX($C$1:$I$1,MATCH(Tabel3[[#This Row],[Type]],Devoirs[[#Headers],[J0]:[J60]],0))</f>
        <v>4</v>
      </c>
      <c r="R174" s="85" cm="1">
        <f t="array" aca="1" ref="R17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45904.365208333336</v>
      </c>
      <c r="S17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45927.337465277807</v>
      </c>
      <c r="T17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45927.396319444473</v>
      </c>
      <c r="U174" s="82">
        <f ca="1">--(Tabel3[[#This Row],[jour]]&lt;&gt;TRUNC(Tabel3[[#This Row],[fin]]))</f>
        <v>1</v>
      </c>
      <c r="V174" s="82">
        <f ca="1">IF(Tabel3[[#This Row],[Type]]="j0",0,--(TRUNC(Tabel3[[#This Row],[debut]])-TRUNC(Tabel3[[#This Row],[fin precedent]])&lt;Tabel3[[#This Row],[delai]]))</f>
        <v>0</v>
      </c>
      <c r="X174"/>
      <c r="Y174" s="75"/>
    </row>
    <row r="175" spans="12:25" ht="18" customHeight="1" x14ac:dyDescent="0.2">
      <c r="L175" s="78" t="s">
        <v>95</v>
      </c>
      <c r="M175" s="78" t="s">
        <v>99</v>
      </c>
      <c r="N175" s="78" t="s">
        <v>38</v>
      </c>
      <c r="O175" s="84">
        <v>45923</v>
      </c>
      <c r="P175" s="78">
        <v>90</v>
      </c>
      <c r="Q175" s="78">
        <f>INDEX($C$1:$I$1,MATCH(Tabel3[[#This Row],[Type]],Devoirs[[#Headers],[J0]:[J60]],0))</f>
        <v>4</v>
      </c>
      <c r="R175" s="85" cm="1">
        <f t="array" aca="1" ref="R17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45915.721770833334</v>
      </c>
      <c r="S17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45927.396319444473</v>
      </c>
      <c r="T17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45927.458819444473</v>
      </c>
      <c r="U175" s="82">
        <f ca="1">--(Tabel3[[#This Row],[jour]]&lt;&gt;TRUNC(Tabel3[[#This Row],[fin]]))</f>
        <v>1</v>
      </c>
      <c r="V175" s="82">
        <f ca="1">IF(Tabel3[[#This Row],[Type]]="j0",0,--(TRUNC(Tabel3[[#This Row],[debut]])-TRUNC(Tabel3[[#This Row],[fin precedent]])&lt;Tabel3[[#This Row],[delai]]))</f>
        <v>0</v>
      </c>
      <c r="X175"/>
      <c r="Y175" s="75"/>
    </row>
    <row r="176" spans="12:25" ht="18" customHeight="1" x14ac:dyDescent="0.2">
      <c r="L176" s="78" t="s">
        <v>135</v>
      </c>
      <c r="M176" s="78" t="s">
        <v>140</v>
      </c>
      <c r="N176" s="78" t="s">
        <v>40</v>
      </c>
      <c r="O176" s="84">
        <v>45923</v>
      </c>
      <c r="P176" s="78">
        <v>31.05</v>
      </c>
      <c r="Q176" s="78">
        <f>INDEX($C$1:$I$1,MATCH(Tabel3[[#This Row],[Type]],Devoirs[[#Headers],[J0]:[J60]],0))</f>
        <v>5</v>
      </c>
      <c r="R176" s="85" cm="1">
        <f t="array" aca="1" ref="R17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45911.693923611136</v>
      </c>
      <c r="S17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45927.458819444473</v>
      </c>
      <c r="T17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45927.480381944471</v>
      </c>
      <c r="U176" s="82">
        <f ca="1">--(Tabel3[[#This Row],[jour]]&lt;&gt;TRUNC(Tabel3[[#This Row],[fin]]))</f>
        <v>1</v>
      </c>
      <c r="V176" s="82">
        <f ca="1">IF(Tabel3[[#This Row],[Type]]="j0",0,--(TRUNC(Tabel3[[#This Row],[debut]])-TRUNC(Tabel3[[#This Row],[fin precedent]])&lt;Tabel3[[#This Row],[delai]]))</f>
        <v>0</v>
      </c>
      <c r="X176"/>
      <c r="Y176" s="75"/>
    </row>
    <row r="177" spans="12:25" ht="18" customHeight="1" x14ac:dyDescent="0.2">
      <c r="L177" s="78" t="s">
        <v>125</v>
      </c>
      <c r="M177" s="78" t="s">
        <v>133</v>
      </c>
      <c r="N177" s="78" t="s">
        <v>40</v>
      </c>
      <c r="O177" s="84">
        <v>45923</v>
      </c>
      <c r="P177" s="78">
        <v>35.1</v>
      </c>
      <c r="Q177" s="78">
        <f>INDEX($C$1:$I$1,MATCH(Tabel3[[#This Row],[Type]],Devoirs[[#Headers],[J0]:[J60]],0))</f>
        <v>5</v>
      </c>
      <c r="R177" s="85" cm="1">
        <f t="array" aca="1" ref="R17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45919.707187500011</v>
      </c>
      <c r="S17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45927.480381944471</v>
      </c>
      <c r="T17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45927.504756944472</v>
      </c>
      <c r="U177" s="82">
        <f ca="1">--(Tabel3[[#This Row],[jour]]&lt;&gt;TRUNC(Tabel3[[#This Row],[fin]]))</f>
        <v>1</v>
      </c>
      <c r="V177" s="82">
        <f ca="1">IF(Tabel3[[#This Row],[Type]]="j0",0,--(TRUNC(Tabel3[[#This Row],[debut]])-TRUNC(Tabel3[[#This Row],[fin precedent]])&lt;Tabel3[[#This Row],[delai]]))</f>
        <v>0</v>
      </c>
      <c r="X177"/>
      <c r="Y177" s="75"/>
    </row>
    <row r="178" spans="12:25" ht="18" customHeight="1" x14ac:dyDescent="0.2">
      <c r="L178" s="78" t="s">
        <v>135</v>
      </c>
      <c r="M178" s="78" t="s">
        <v>159</v>
      </c>
      <c r="N178" s="78" t="s">
        <v>40</v>
      </c>
      <c r="O178" s="84">
        <v>45923</v>
      </c>
      <c r="P178" s="78">
        <v>37.35</v>
      </c>
      <c r="Q178" s="78">
        <f>INDEX($C$1:$I$1,MATCH(Tabel3[[#This Row],[Type]],Devoirs[[#Headers],[J0]:[J60]],0))</f>
        <v>5</v>
      </c>
      <c r="R178" s="85" cm="1">
        <f t="array" aca="1" ref="R17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45911.693923611136</v>
      </c>
      <c r="S17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45927.504756944472</v>
      </c>
      <c r="T17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45927.530694444475</v>
      </c>
      <c r="U178" s="82">
        <f ca="1">--(Tabel3[[#This Row],[jour]]&lt;&gt;TRUNC(Tabel3[[#This Row],[fin]]))</f>
        <v>1</v>
      </c>
      <c r="V178" s="82">
        <f ca="1">IF(Tabel3[[#This Row],[Type]]="j0",0,--(TRUNC(Tabel3[[#This Row],[debut]])-TRUNC(Tabel3[[#This Row],[fin precedent]])&lt;Tabel3[[#This Row],[delai]]))</f>
        <v>0</v>
      </c>
      <c r="X178"/>
      <c r="Y178" s="75"/>
    </row>
    <row r="179" spans="12:25" ht="18" customHeight="1" x14ac:dyDescent="0.2">
      <c r="L179" s="78" t="s">
        <v>104</v>
      </c>
      <c r="M179" s="78" t="s">
        <v>115</v>
      </c>
      <c r="N179" s="78" t="s">
        <v>40</v>
      </c>
      <c r="O179" s="84">
        <v>45923</v>
      </c>
      <c r="P179" s="78">
        <v>38.25</v>
      </c>
      <c r="Q179" s="78">
        <f>INDEX($C$1:$I$1,MATCH(Tabel3[[#This Row],[Type]],Devoirs[[#Headers],[J0]:[J60]],0))</f>
        <v>5</v>
      </c>
      <c r="R179" s="85" cm="1">
        <f t="array" aca="1" ref="R17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45912.451006944459</v>
      </c>
      <c r="S17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45927.530694444475</v>
      </c>
      <c r="T17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45927.557256944478</v>
      </c>
      <c r="U179" s="82">
        <f ca="1">--(Tabel3[[#This Row],[jour]]&lt;&gt;TRUNC(Tabel3[[#This Row],[fin]]))</f>
        <v>1</v>
      </c>
      <c r="V179" s="82">
        <f ca="1">IF(Tabel3[[#This Row],[Type]]="j0",0,--(TRUNC(Tabel3[[#This Row],[debut]])-TRUNC(Tabel3[[#This Row],[fin precedent]])&lt;Tabel3[[#This Row],[delai]]))</f>
        <v>0</v>
      </c>
      <c r="X179"/>
      <c r="Y179" s="75"/>
    </row>
    <row r="180" spans="12:25" ht="18" customHeight="1" x14ac:dyDescent="0.2">
      <c r="L180" s="78" t="s">
        <v>104</v>
      </c>
      <c r="M180" s="78" t="s">
        <v>113</v>
      </c>
      <c r="N180" s="78" t="s">
        <v>40</v>
      </c>
      <c r="O180" s="84">
        <v>45923</v>
      </c>
      <c r="P180" s="78">
        <v>41.85</v>
      </c>
      <c r="Q180" s="78">
        <f>INDEX($C$1:$I$1,MATCH(Tabel3[[#This Row],[Type]],Devoirs[[#Headers],[J0]:[J60]],0))</f>
        <v>5</v>
      </c>
      <c r="R180" s="85" cm="1">
        <f t="array" aca="1" ref="R18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45912.451006944459</v>
      </c>
      <c r="S18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45927.557256944478</v>
      </c>
      <c r="T18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45927.586319444476</v>
      </c>
      <c r="U180" s="82">
        <f ca="1">--(Tabel3[[#This Row],[jour]]&lt;&gt;TRUNC(Tabel3[[#This Row],[fin]]))</f>
        <v>1</v>
      </c>
      <c r="V180" s="82">
        <f ca="1">IF(Tabel3[[#This Row],[Type]]="j0",0,--(TRUNC(Tabel3[[#This Row],[debut]])-TRUNC(Tabel3[[#This Row],[fin precedent]])&lt;Tabel3[[#This Row],[delai]]))</f>
        <v>0</v>
      </c>
      <c r="X180"/>
      <c r="Y180" s="75"/>
    </row>
    <row r="181" spans="12:25" ht="18" customHeight="1" x14ac:dyDescent="0.2">
      <c r="L181" s="78" t="s">
        <v>125</v>
      </c>
      <c r="M181" s="78" t="s">
        <v>130</v>
      </c>
      <c r="N181" s="78" t="s">
        <v>40</v>
      </c>
      <c r="O181" s="84">
        <v>45923</v>
      </c>
      <c r="P181" s="78">
        <v>45.45</v>
      </c>
      <c r="Q181" s="78">
        <f>INDEX($C$1:$I$1,MATCH(Tabel3[[#This Row],[Type]],Devoirs[[#Headers],[J0]:[J60]],0))</f>
        <v>5</v>
      </c>
      <c r="R181" s="85" cm="1">
        <f t="array" aca="1" ref="R18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45919.707187500011</v>
      </c>
      <c r="S18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45927.586319444476</v>
      </c>
      <c r="T18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45927.617881944476</v>
      </c>
      <c r="U181" s="82">
        <f ca="1">--(Tabel3[[#This Row],[jour]]&lt;&gt;TRUNC(Tabel3[[#This Row],[fin]]))</f>
        <v>1</v>
      </c>
      <c r="V181" s="82">
        <f ca="1">IF(Tabel3[[#This Row],[Type]]="j0",0,--(TRUNC(Tabel3[[#This Row],[debut]])-TRUNC(Tabel3[[#This Row],[fin precedent]])&lt;Tabel3[[#This Row],[delai]]))</f>
        <v>0</v>
      </c>
      <c r="X181"/>
      <c r="Y181" s="75"/>
    </row>
    <row r="182" spans="12:25" ht="18" customHeight="1" x14ac:dyDescent="0.2">
      <c r="L182" s="78" t="s">
        <v>104</v>
      </c>
      <c r="M182" s="78" t="s">
        <v>106</v>
      </c>
      <c r="N182" s="78" t="s">
        <v>40</v>
      </c>
      <c r="O182" s="84">
        <v>45923</v>
      </c>
      <c r="P182" s="78">
        <v>47.7</v>
      </c>
      <c r="Q182" s="78">
        <f>INDEX($C$1:$I$1,MATCH(Tabel3[[#This Row],[Type]],Devoirs[[#Headers],[J0]:[J60]],0))</f>
        <v>5</v>
      </c>
      <c r="R182" s="85" cm="1">
        <f t="array" aca="1" ref="R18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45912.451006944459</v>
      </c>
      <c r="S18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45927.617881944476</v>
      </c>
      <c r="T18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45927.651006944478</v>
      </c>
      <c r="U182" s="82">
        <f ca="1">--(Tabel3[[#This Row],[jour]]&lt;&gt;TRUNC(Tabel3[[#This Row],[fin]]))</f>
        <v>1</v>
      </c>
      <c r="V182" s="82">
        <f ca="1">IF(Tabel3[[#This Row],[Type]]="j0",0,--(TRUNC(Tabel3[[#This Row],[debut]])-TRUNC(Tabel3[[#This Row],[fin precedent]])&lt;Tabel3[[#This Row],[delai]]))</f>
        <v>0</v>
      </c>
      <c r="X182"/>
      <c r="Y182" s="75"/>
    </row>
    <row r="183" spans="12:25" ht="18" customHeight="1" x14ac:dyDescent="0.2">
      <c r="L183" s="78" t="s">
        <v>135</v>
      </c>
      <c r="M183" s="78" t="s">
        <v>136</v>
      </c>
      <c r="N183" s="78" t="s">
        <v>1</v>
      </c>
      <c r="O183" s="84">
        <v>45923</v>
      </c>
      <c r="P183" s="78">
        <v>58</v>
      </c>
      <c r="Q183" s="78">
        <f>INDEX($C$1:$I$1,MATCH(Tabel3[[#This Row],[Type]],Devoirs[[#Headers],[J0]:[J60]],0))</f>
        <v>0</v>
      </c>
      <c r="R183" s="85" t="str" cm="1">
        <f t="array" ref="R183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18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45927.651006944478</v>
      </c>
      <c r="T18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45927.691284722256</v>
      </c>
      <c r="U183" s="82">
        <f ca="1">--(Tabel3[[#This Row],[jour]]&lt;&gt;TRUNC(Tabel3[[#This Row],[fin]]))</f>
        <v>1</v>
      </c>
      <c r="V183" s="82">
        <f>IF(Tabel3[[#This Row],[Type]]="j0",0,--(TRUNC(Tabel3[[#This Row],[debut]])-TRUNC(Tabel3[[#This Row],[fin precedent]])&lt;Tabel3[[#This Row],[delai]]))</f>
        <v>0</v>
      </c>
      <c r="X183"/>
      <c r="Y183" s="75"/>
    </row>
    <row r="184" spans="12:25" ht="18" customHeight="1" x14ac:dyDescent="0.2">
      <c r="L184" s="78" t="s">
        <v>85</v>
      </c>
      <c r="M184" s="78" t="s">
        <v>93</v>
      </c>
      <c r="N184" s="78" t="s">
        <v>1</v>
      </c>
      <c r="O184" s="84">
        <v>45923</v>
      </c>
      <c r="P184" s="78">
        <v>78</v>
      </c>
      <c r="Q184" s="78">
        <f>INDEX($C$1:$I$1,MATCH(Tabel3[[#This Row],[Type]],Devoirs[[#Headers],[J0]:[J60]],0))</f>
        <v>0</v>
      </c>
      <c r="R184" s="85" t="str" cm="1">
        <f t="array" ref="R184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18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45927.691284722256</v>
      </c>
      <c r="T18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45927.745451388924</v>
      </c>
      <c r="U184" s="82">
        <f ca="1">--(Tabel3[[#This Row],[jour]]&lt;&gt;TRUNC(Tabel3[[#This Row],[fin]]))</f>
        <v>1</v>
      </c>
      <c r="V184" s="82">
        <f>IF(Tabel3[[#This Row],[Type]]="j0",0,--(TRUNC(Tabel3[[#This Row],[debut]])-TRUNC(Tabel3[[#This Row],[fin precedent]])&lt;Tabel3[[#This Row],[delai]]))</f>
        <v>0</v>
      </c>
      <c r="X184"/>
      <c r="Y184" s="75"/>
    </row>
    <row r="185" spans="12:25" ht="18" customHeight="1" x14ac:dyDescent="0.2">
      <c r="L185" s="78" t="s">
        <v>43</v>
      </c>
      <c r="M185" s="78" t="s">
        <v>45</v>
      </c>
      <c r="N185" s="78" t="s">
        <v>1</v>
      </c>
      <c r="O185" s="84">
        <v>45923</v>
      </c>
      <c r="P185" s="78">
        <v>82</v>
      </c>
      <c r="Q185" s="78">
        <f>INDEX($C$1:$I$1,MATCH(Tabel3[[#This Row],[Type]],Devoirs[[#Headers],[J0]:[J60]],0))</f>
        <v>0</v>
      </c>
      <c r="R185" s="85" t="str" cm="1">
        <f t="array" ref="R185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18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45927.745451388924</v>
      </c>
      <c r="T18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45929.385729166701</v>
      </c>
      <c r="U185" s="82">
        <f ca="1">--(Tabel3[[#This Row],[jour]]&lt;&gt;TRUNC(Tabel3[[#This Row],[fin]]))</f>
        <v>1</v>
      </c>
      <c r="V185" s="82">
        <f>IF(Tabel3[[#This Row],[Type]]="j0",0,--(TRUNC(Tabel3[[#This Row],[debut]])-TRUNC(Tabel3[[#This Row],[fin precedent]])&lt;Tabel3[[#This Row],[delai]]))</f>
        <v>0</v>
      </c>
      <c r="X185"/>
      <c r="Y185" s="75"/>
    </row>
    <row r="186" spans="12:25" ht="18" customHeight="1" x14ac:dyDescent="0.2">
      <c r="L186" s="78" t="s">
        <v>125</v>
      </c>
      <c r="M186" s="78" t="s">
        <v>134</v>
      </c>
      <c r="N186" s="78" t="s">
        <v>1</v>
      </c>
      <c r="O186" s="84">
        <v>45923</v>
      </c>
      <c r="P186" s="78">
        <v>102</v>
      </c>
      <c r="Q186" s="78">
        <f>INDEX($C$1:$I$1,MATCH(Tabel3[[#This Row],[Type]],Devoirs[[#Headers],[J0]:[J60]],0))</f>
        <v>0</v>
      </c>
      <c r="R186" s="85" t="str" cm="1">
        <f t="array" ref="R186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18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45929.385729166701</v>
      </c>
      <c r="T18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45929.456562500032</v>
      </c>
      <c r="U186" s="82">
        <f ca="1">--(Tabel3[[#This Row],[jour]]&lt;&gt;TRUNC(Tabel3[[#This Row],[fin]]))</f>
        <v>1</v>
      </c>
      <c r="V186" s="82">
        <f>IF(Tabel3[[#This Row],[Type]]="j0",0,--(TRUNC(Tabel3[[#This Row],[debut]])-TRUNC(Tabel3[[#This Row],[fin precedent]])&lt;Tabel3[[#This Row],[delai]]))</f>
        <v>0</v>
      </c>
      <c r="X186"/>
      <c r="Y186" s="75"/>
    </row>
    <row r="187" spans="12:25" ht="18" customHeight="1" x14ac:dyDescent="0.2">
      <c r="L187" s="78" t="s">
        <v>74</v>
      </c>
      <c r="M187" s="78" t="s">
        <v>82</v>
      </c>
      <c r="N187" s="78" t="s">
        <v>38</v>
      </c>
      <c r="O187" s="84">
        <v>45924</v>
      </c>
      <c r="P187" s="78">
        <v>23.25</v>
      </c>
      <c r="Q187" s="78">
        <f>INDEX($C$1:$I$1,MATCH(Tabel3[[#This Row],[Type]],Devoirs[[#Headers],[J0]:[J60]],0))</f>
        <v>4</v>
      </c>
      <c r="R187" s="85" cm="1">
        <f t="array" aca="1" ref="R18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45911.6805902778</v>
      </c>
      <c r="S18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45929.456562500032</v>
      </c>
      <c r="T18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45929.472708333364</v>
      </c>
      <c r="U187" s="82">
        <f ca="1">--(Tabel3[[#This Row],[jour]]&lt;&gt;TRUNC(Tabel3[[#This Row],[fin]]))</f>
        <v>1</v>
      </c>
      <c r="V187" s="82">
        <f ca="1">IF(Tabel3[[#This Row],[Type]]="j0",0,--(TRUNC(Tabel3[[#This Row],[debut]])-TRUNC(Tabel3[[#This Row],[fin precedent]])&lt;Tabel3[[#This Row],[delai]]))</f>
        <v>0</v>
      </c>
      <c r="X187"/>
      <c r="Y187" s="75"/>
    </row>
    <row r="188" spans="12:25" ht="18" customHeight="1" x14ac:dyDescent="0.2">
      <c r="L188" s="78" t="s">
        <v>135</v>
      </c>
      <c r="M188" s="78" t="s">
        <v>142</v>
      </c>
      <c r="N188" s="78" t="s">
        <v>38</v>
      </c>
      <c r="O188" s="84">
        <v>45924</v>
      </c>
      <c r="P188" s="78">
        <v>30</v>
      </c>
      <c r="Q188" s="78">
        <f>INDEX($C$1:$I$1,MATCH(Tabel3[[#This Row],[Type]],Devoirs[[#Headers],[J0]:[J60]],0))</f>
        <v>4</v>
      </c>
      <c r="R188" s="85" cm="1">
        <f t="array" aca="1" ref="R18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45903.353333333333</v>
      </c>
      <c r="S18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45929.472708333364</v>
      </c>
      <c r="T18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45929.493541666699</v>
      </c>
      <c r="U188" s="82">
        <f ca="1">--(Tabel3[[#This Row],[jour]]&lt;&gt;TRUNC(Tabel3[[#This Row],[fin]]))</f>
        <v>1</v>
      </c>
      <c r="V188" s="82">
        <f ca="1">IF(Tabel3[[#This Row],[Type]]="j0",0,--(TRUNC(Tabel3[[#This Row],[debut]])-TRUNC(Tabel3[[#This Row],[fin precedent]])&lt;Tabel3[[#This Row],[delai]]))</f>
        <v>0</v>
      </c>
      <c r="X188"/>
      <c r="Y188" s="75"/>
    </row>
    <row r="189" spans="12:25" ht="18" customHeight="1" x14ac:dyDescent="0.2">
      <c r="L189" s="78" t="s">
        <v>74</v>
      </c>
      <c r="M189" s="78" t="s">
        <v>75</v>
      </c>
      <c r="N189" s="78" t="s">
        <v>38</v>
      </c>
      <c r="O189" s="84">
        <v>45924</v>
      </c>
      <c r="P189" s="78">
        <v>45</v>
      </c>
      <c r="Q189" s="78">
        <f>INDEX($C$1:$I$1,MATCH(Tabel3[[#This Row],[Type]],Devoirs[[#Headers],[J0]:[J60]],0))</f>
        <v>4</v>
      </c>
      <c r="R189" s="85" cm="1">
        <f t="array" aca="1" ref="R18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45911.6805902778</v>
      </c>
      <c r="S18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45929.493541666699</v>
      </c>
      <c r="T18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45929.524791666699</v>
      </c>
      <c r="U189" s="82">
        <f ca="1">--(Tabel3[[#This Row],[jour]]&lt;&gt;TRUNC(Tabel3[[#This Row],[fin]]))</f>
        <v>1</v>
      </c>
      <c r="V189" s="82">
        <f ca="1">IF(Tabel3[[#This Row],[Type]]="j0",0,--(TRUNC(Tabel3[[#This Row],[debut]])-TRUNC(Tabel3[[#This Row],[fin precedent]])&lt;Tabel3[[#This Row],[delai]]))</f>
        <v>0</v>
      </c>
      <c r="X189"/>
      <c r="Y189" s="75"/>
    </row>
    <row r="190" spans="12:25" ht="18" customHeight="1" x14ac:dyDescent="0.2">
      <c r="L190" s="78" t="s">
        <v>51</v>
      </c>
      <c r="M190" s="78" t="s">
        <v>57</v>
      </c>
      <c r="N190" s="78" t="s">
        <v>38</v>
      </c>
      <c r="O190" s="84">
        <v>45924</v>
      </c>
      <c r="P190" s="78">
        <v>54.75</v>
      </c>
      <c r="Q190" s="78">
        <f>INDEX($C$1:$I$1,MATCH(Tabel3[[#This Row],[Type]],Devoirs[[#Headers],[J0]:[J60]],0))</f>
        <v>4</v>
      </c>
      <c r="R190" s="85" cm="1">
        <f t="array" aca="1" ref="R19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45904.365208333336</v>
      </c>
      <c r="S19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45929.524791666699</v>
      </c>
      <c r="T19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45929.562812500029</v>
      </c>
      <c r="U190" s="82">
        <f ca="1">--(Tabel3[[#This Row],[jour]]&lt;&gt;TRUNC(Tabel3[[#This Row],[fin]]))</f>
        <v>1</v>
      </c>
      <c r="V190" s="82">
        <f ca="1">IF(Tabel3[[#This Row],[Type]]="j0",0,--(TRUNC(Tabel3[[#This Row],[debut]])-TRUNC(Tabel3[[#This Row],[fin precedent]])&lt;Tabel3[[#This Row],[delai]]))</f>
        <v>0</v>
      </c>
      <c r="X190"/>
      <c r="Y190" s="75"/>
    </row>
    <row r="191" spans="12:25" ht="18" customHeight="1" x14ac:dyDescent="0.2">
      <c r="L191" s="78" t="s">
        <v>64</v>
      </c>
      <c r="M191" s="78" t="s">
        <v>72</v>
      </c>
      <c r="N191" s="78" t="s">
        <v>38</v>
      </c>
      <c r="O191" s="84">
        <v>45924</v>
      </c>
      <c r="P191" s="78">
        <v>61.5</v>
      </c>
      <c r="Q191" s="78">
        <f>INDEX($C$1:$I$1,MATCH(Tabel3[[#This Row],[Type]],Devoirs[[#Headers],[J0]:[J60]],0))</f>
        <v>4</v>
      </c>
      <c r="R191" s="85" cm="1">
        <f t="array" aca="1" ref="R19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45916.416979166672</v>
      </c>
      <c r="S19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45929.562812500029</v>
      </c>
      <c r="T19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45929.605520833364</v>
      </c>
      <c r="U191" s="82">
        <f ca="1">--(Tabel3[[#This Row],[jour]]&lt;&gt;TRUNC(Tabel3[[#This Row],[fin]]))</f>
        <v>1</v>
      </c>
      <c r="V191" s="82">
        <f ca="1">IF(Tabel3[[#This Row],[Type]]="j0",0,--(TRUNC(Tabel3[[#This Row],[debut]])-TRUNC(Tabel3[[#This Row],[fin precedent]])&lt;Tabel3[[#This Row],[delai]]))</f>
        <v>0</v>
      </c>
      <c r="X191"/>
      <c r="Y191" s="75"/>
    </row>
    <row r="192" spans="12:25" ht="18" customHeight="1" x14ac:dyDescent="0.2">
      <c r="L192" s="78" t="s">
        <v>85</v>
      </c>
      <c r="M192" s="78" t="s">
        <v>92</v>
      </c>
      <c r="N192" s="78" t="s">
        <v>38</v>
      </c>
      <c r="O192" s="84">
        <v>45924</v>
      </c>
      <c r="P192" s="78">
        <v>74.25</v>
      </c>
      <c r="Q192" s="78">
        <f>INDEX($C$1:$I$1,MATCH(Tabel3[[#This Row],[Type]],Devoirs[[#Headers],[J0]:[J60]],0))</f>
        <v>4</v>
      </c>
      <c r="R192" s="85" cm="1">
        <f t="array" aca="1" ref="R19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45904.542708333342</v>
      </c>
      <c r="S19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45929.605520833364</v>
      </c>
      <c r="T19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45929.657083333361</v>
      </c>
      <c r="U192" s="82">
        <f ca="1">--(Tabel3[[#This Row],[jour]]&lt;&gt;TRUNC(Tabel3[[#This Row],[fin]]))</f>
        <v>1</v>
      </c>
      <c r="V192" s="82">
        <f ca="1">IF(Tabel3[[#This Row],[Type]]="j0",0,--(TRUNC(Tabel3[[#This Row],[debut]])-TRUNC(Tabel3[[#This Row],[fin precedent]])&lt;Tabel3[[#This Row],[delai]]))</f>
        <v>0</v>
      </c>
      <c r="X192"/>
      <c r="Y192" s="75"/>
    </row>
    <row r="193" spans="12:25" ht="18" customHeight="1" x14ac:dyDescent="0.2">
      <c r="L193" s="78" t="s">
        <v>125</v>
      </c>
      <c r="M193" s="78" t="s">
        <v>127</v>
      </c>
      <c r="N193" s="78" t="s">
        <v>38</v>
      </c>
      <c r="O193" s="84">
        <v>45924</v>
      </c>
      <c r="P193" s="78">
        <v>80.25</v>
      </c>
      <c r="Q193" s="78">
        <f>INDEX($C$1:$I$1,MATCH(Tabel3[[#This Row],[Type]],Devoirs[[#Headers],[J0]:[J60]],0))</f>
        <v>4</v>
      </c>
      <c r="R193" s="85" cm="1">
        <f t="array" aca="1" ref="R19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45910.591319444466</v>
      </c>
      <c r="S19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45929.657083333361</v>
      </c>
      <c r="T19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45929.712812500031</v>
      </c>
      <c r="U193" s="82">
        <f ca="1">--(Tabel3[[#This Row],[jour]]&lt;&gt;TRUNC(Tabel3[[#This Row],[fin]]))</f>
        <v>1</v>
      </c>
      <c r="V193" s="82">
        <f ca="1">IF(Tabel3[[#This Row],[Type]]="j0",0,--(TRUNC(Tabel3[[#This Row],[debut]])-TRUNC(Tabel3[[#This Row],[fin precedent]])&lt;Tabel3[[#This Row],[delai]]))</f>
        <v>0</v>
      </c>
      <c r="X193"/>
      <c r="Y193" s="75"/>
    </row>
    <row r="194" spans="12:25" ht="18" customHeight="1" x14ac:dyDescent="0.2">
      <c r="L194" s="78" t="s">
        <v>85</v>
      </c>
      <c r="M194" s="78" t="s">
        <v>86</v>
      </c>
      <c r="N194" s="78" t="s">
        <v>38</v>
      </c>
      <c r="O194" s="84">
        <v>45924</v>
      </c>
      <c r="P194" s="78">
        <v>82.5</v>
      </c>
      <c r="Q194" s="78">
        <f>INDEX($C$1:$I$1,MATCH(Tabel3[[#This Row],[Type]],Devoirs[[#Headers],[J0]:[J60]],0))</f>
        <v>4</v>
      </c>
      <c r="R194" s="85" cm="1">
        <f t="array" aca="1" ref="R19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45904.542708333342</v>
      </c>
      <c r="S19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45929.712812500031</v>
      </c>
      <c r="T19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45930.353437500031</v>
      </c>
      <c r="U194" s="82">
        <f ca="1">--(Tabel3[[#This Row],[jour]]&lt;&gt;TRUNC(Tabel3[[#This Row],[fin]]))</f>
        <v>1</v>
      </c>
      <c r="V194" s="82">
        <f ca="1">IF(Tabel3[[#This Row],[Type]]="j0",0,--(TRUNC(Tabel3[[#This Row],[debut]])-TRUNC(Tabel3[[#This Row],[fin precedent]])&lt;Tabel3[[#This Row],[delai]]))</f>
        <v>0</v>
      </c>
      <c r="X194"/>
      <c r="Y194" s="75"/>
    </row>
    <row r="195" spans="12:25" ht="18" customHeight="1" x14ac:dyDescent="0.2">
      <c r="L195" s="78" t="s">
        <v>64</v>
      </c>
      <c r="M195" s="78" t="s">
        <v>67</v>
      </c>
      <c r="N195" s="78" t="s">
        <v>37</v>
      </c>
      <c r="O195" s="84">
        <v>45924</v>
      </c>
      <c r="P195" s="78">
        <v>29.7</v>
      </c>
      <c r="Q195" s="78">
        <f>INDEX($C$1:$I$1,MATCH(Tabel3[[#This Row],[Type]],Devoirs[[#Headers],[J0]:[J60]],0))</f>
        <v>2</v>
      </c>
      <c r="R195" s="85" cm="1">
        <f t="array" aca="1" ref="R19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45912.698090277787</v>
      </c>
      <c r="S19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45930.353437500031</v>
      </c>
      <c r="T19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45930.374062500028</v>
      </c>
      <c r="U195" s="82">
        <f ca="1">--(Tabel3[[#This Row],[jour]]&lt;&gt;TRUNC(Tabel3[[#This Row],[fin]]))</f>
        <v>1</v>
      </c>
      <c r="V195" s="82">
        <f ca="1">IF(Tabel3[[#This Row],[Type]]="j0",0,--(TRUNC(Tabel3[[#This Row],[debut]])-TRUNC(Tabel3[[#This Row],[fin precedent]])&lt;Tabel3[[#This Row],[delai]]))</f>
        <v>0</v>
      </c>
      <c r="X195"/>
      <c r="Y195" s="75"/>
    </row>
    <row r="196" spans="12:25" ht="18" customHeight="1" x14ac:dyDescent="0.2">
      <c r="L196" s="78" t="s">
        <v>104</v>
      </c>
      <c r="M196" s="78" t="s">
        <v>116</v>
      </c>
      <c r="N196" s="78" t="s">
        <v>37</v>
      </c>
      <c r="O196" s="84">
        <v>45924</v>
      </c>
      <c r="P196" s="78">
        <v>99</v>
      </c>
      <c r="Q196" s="78">
        <f>INDEX($C$1:$I$1,MATCH(Tabel3[[#This Row],[Type]],Devoirs[[#Headers],[J0]:[J60]],0))</f>
        <v>2</v>
      </c>
      <c r="R196" s="85" cm="1">
        <f t="array" aca="1" ref="R19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45902.487499999996</v>
      </c>
      <c r="S19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45930.374062500028</v>
      </c>
      <c r="T19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45930.442812500027</v>
      </c>
      <c r="U196" s="82">
        <f ca="1">--(Tabel3[[#This Row],[jour]]&lt;&gt;TRUNC(Tabel3[[#This Row],[fin]]))</f>
        <v>1</v>
      </c>
      <c r="V196" s="82">
        <f ca="1">IF(Tabel3[[#This Row],[Type]]="j0",0,--(TRUNC(Tabel3[[#This Row],[debut]])-TRUNC(Tabel3[[#This Row],[fin precedent]])&lt;Tabel3[[#This Row],[delai]]))</f>
        <v>0</v>
      </c>
      <c r="X196"/>
      <c r="Y196" s="75"/>
    </row>
    <row r="197" spans="12:25" ht="18" customHeight="1" x14ac:dyDescent="0.2">
      <c r="L197" s="78" t="s">
        <v>104</v>
      </c>
      <c r="M197" s="78" t="s">
        <v>109</v>
      </c>
      <c r="N197" s="78" t="s">
        <v>37</v>
      </c>
      <c r="O197" s="84">
        <v>45924</v>
      </c>
      <c r="P197" s="78">
        <v>100.8</v>
      </c>
      <c r="Q197" s="78">
        <f>INDEX($C$1:$I$1,MATCH(Tabel3[[#This Row],[Type]],Devoirs[[#Headers],[J0]:[J60]],0))</f>
        <v>2</v>
      </c>
      <c r="R197" s="85" cm="1">
        <f t="array" aca="1" ref="R19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45902.487499999996</v>
      </c>
      <c r="S19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45930.442812500027</v>
      </c>
      <c r="T19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45930.512812500026</v>
      </c>
      <c r="U197" s="82">
        <f ca="1">--(Tabel3[[#This Row],[jour]]&lt;&gt;TRUNC(Tabel3[[#This Row],[fin]]))</f>
        <v>1</v>
      </c>
      <c r="V197" s="82">
        <f ca="1">IF(Tabel3[[#This Row],[Type]]="j0",0,--(TRUNC(Tabel3[[#This Row],[debut]])-TRUNC(Tabel3[[#This Row],[fin precedent]])&lt;Tabel3[[#This Row],[delai]]))</f>
        <v>0</v>
      </c>
      <c r="X197"/>
      <c r="Y197" s="75"/>
    </row>
    <row r="198" spans="12:25" ht="18" customHeight="1" x14ac:dyDescent="0.2">
      <c r="L198" s="78" t="s">
        <v>125</v>
      </c>
      <c r="M198" s="78" t="s">
        <v>128</v>
      </c>
      <c r="N198" s="78" t="s">
        <v>40</v>
      </c>
      <c r="O198" s="84">
        <v>45924</v>
      </c>
      <c r="P198" s="78">
        <v>31.5</v>
      </c>
      <c r="Q198" s="78">
        <f>INDEX($C$1:$I$1,MATCH(Tabel3[[#This Row],[Type]],Devoirs[[#Headers],[J0]:[J60]],0))</f>
        <v>5</v>
      </c>
      <c r="R198" s="85" cm="1">
        <f t="array" aca="1" ref="R19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45919.707187500011</v>
      </c>
      <c r="S19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45930.512812500026</v>
      </c>
      <c r="T19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45930.534687500025</v>
      </c>
      <c r="U198" s="82">
        <f ca="1">--(Tabel3[[#This Row],[jour]]&lt;&gt;TRUNC(Tabel3[[#This Row],[fin]]))</f>
        <v>1</v>
      </c>
      <c r="V198" s="82">
        <f ca="1">IF(Tabel3[[#This Row],[Type]]="j0",0,--(TRUNC(Tabel3[[#This Row],[debut]])-TRUNC(Tabel3[[#This Row],[fin precedent]])&lt;Tabel3[[#This Row],[delai]]))</f>
        <v>0</v>
      </c>
      <c r="X198"/>
      <c r="Y198" s="75"/>
    </row>
    <row r="199" spans="12:25" ht="18" customHeight="1" x14ac:dyDescent="0.2">
      <c r="L199" s="78" t="s">
        <v>135</v>
      </c>
      <c r="M199" s="78" t="s">
        <v>156</v>
      </c>
      <c r="N199" s="78" t="s">
        <v>40</v>
      </c>
      <c r="O199" s="84">
        <v>45924</v>
      </c>
      <c r="P199" s="78">
        <v>48.6</v>
      </c>
      <c r="Q199" s="78">
        <f>INDEX($C$1:$I$1,MATCH(Tabel3[[#This Row],[Type]],Devoirs[[#Headers],[J0]:[J60]],0))</f>
        <v>5</v>
      </c>
      <c r="R199" s="85" cm="1">
        <f t="array" aca="1" ref="R19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45911.693923611136</v>
      </c>
      <c r="S19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45930.534687500025</v>
      </c>
      <c r="T19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45930.568437500027</v>
      </c>
      <c r="U199" s="82">
        <f ca="1">--(Tabel3[[#This Row],[jour]]&lt;&gt;TRUNC(Tabel3[[#This Row],[fin]]))</f>
        <v>1</v>
      </c>
      <c r="V199" s="82">
        <f ca="1">IF(Tabel3[[#This Row],[Type]]="j0",0,--(TRUNC(Tabel3[[#This Row],[debut]])-TRUNC(Tabel3[[#This Row],[fin precedent]])&lt;Tabel3[[#This Row],[delai]]))</f>
        <v>0</v>
      </c>
      <c r="X199"/>
      <c r="Y199" s="75"/>
    </row>
    <row r="200" spans="12:25" ht="18" customHeight="1" x14ac:dyDescent="0.2">
      <c r="L200" s="78" t="s">
        <v>74</v>
      </c>
      <c r="M200" s="78" t="s">
        <v>83</v>
      </c>
      <c r="N200" s="78" t="s">
        <v>40</v>
      </c>
      <c r="O200" s="84">
        <v>45924</v>
      </c>
      <c r="P200" s="78">
        <v>49.95</v>
      </c>
      <c r="Q200" s="78">
        <f>INDEX($C$1:$I$1,MATCH(Tabel3[[#This Row],[Type]],Devoirs[[#Headers],[J0]:[J60]],0))</f>
        <v>5</v>
      </c>
      <c r="R200" s="85" cm="1">
        <f t="array" aca="1" ref="R20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45923.462534722232</v>
      </c>
      <c r="S20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45930.568437500027</v>
      </c>
      <c r="T20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45930.603125000031</v>
      </c>
      <c r="U200" s="82">
        <f ca="1">--(Tabel3[[#This Row],[jour]]&lt;&gt;TRUNC(Tabel3[[#This Row],[fin]]))</f>
        <v>1</v>
      </c>
      <c r="V200" s="82">
        <f ca="1">IF(Tabel3[[#This Row],[Type]]="j0",0,--(TRUNC(Tabel3[[#This Row],[debut]])-TRUNC(Tabel3[[#This Row],[fin precedent]])&lt;Tabel3[[#This Row],[delai]]))</f>
        <v>0</v>
      </c>
      <c r="X200"/>
      <c r="Y200" s="75"/>
    </row>
    <row r="201" spans="12:25" ht="18" customHeight="1" x14ac:dyDescent="0.2">
      <c r="L201" s="78" t="s">
        <v>74</v>
      </c>
      <c r="M201" s="78" t="s">
        <v>84</v>
      </c>
      <c r="N201" s="78" t="s">
        <v>1</v>
      </c>
      <c r="O201" s="84">
        <v>45924</v>
      </c>
      <c r="P201" s="78">
        <v>40</v>
      </c>
      <c r="Q201" s="78">
        <f>INDEX($C$1:$I$1,MATCH(Tabel3[[#This Row],[Type]],Devoirs[[#Headers],[J0]:[J60]],0))</f>
        <v>0</v>
      </c>
      <c r="R201" s="85" t="str" cm="1">
        <f t="array" ref="R201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20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45930.603125000031</v>
      </c>
      <c r="T20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45930.630902777812</v>
      </c>
      <c r="U201" s="82">
        <f ca="1">--(Tabel3[[#This Row],[jour]]&lt;&gt;TRUNC(Tabel3[[#This Row],[fin]]))</f>
        <v>1</v>
      </c>
      <c r="V201" s="82">
        <f>IF(Tabel3[[#This Row],[Type]]="j0",0,--(TRUNC(Tabel3[[#This Row],[debut]])-TRUNC(Tabel3[[#This Row],[fin precedent]])&lt;Tabel3[[#This Row],[delai]]))</f>
        <v>0</v>
      </c>
      <c r="X201"/>
      <c r="Y201" s="75"/>
    </row>
    <row r="202" spans="12:25" ht="18" customHeight="1" x14ac:dyDescent="0.2">
      <c r="L202" s="78" t="s">
        <v>64</v>
      </c>
      <c r="M202" s="78" t="s">
        <v>68</v>
      </c>
      <c r="N202" s="78" t="s">
        <v>1</v>
      </c>
      <c r="O202" s="84">
        <v>45924</v>
      </c>
      <c r="P202" s="78">
        <v>60</v>
      </c>
      <c r="Q202" s="78">
        <f>INDEX($C$1:$I$1,MATCH(Tabel3[[#This Row],[Type]],Devoirs[[#Headers],[J0]:[J60]],0))</f>
        <v>0</v>
      </c>
      <c r="R202" s="85" t="str" cm="1">
        <f t="array" ref="R202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20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45930.630902777812</v>
      </c>
      <c r="T20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45930.672569444476</v>
      </c>
      <c r="U202" s="82">
        <f ca="1">--(Tabel3[[#This Row],[jour]]&lt;&gt;TRUNC(Tabel3[[#This Row],[fin]]))</f>
        <v>1</v>
      </c>
      <c r="V202" s="82">
        <f>IF(Tabel3[[#This Row],[Type]]="j0",0,--(TRUNC(Tabel3[[#This Row],[debut]])-TRUNC(Tabel3[[#This Row],[fin precedent]])&lt;Tabel3[[#This Row],[delai]]))</f>
        <v>0</v>
      </c>
      <c r="X202"/>
      <c r="Y202" s="75"/>
    </row>
    <row r="203" spans="12:25" ht="18" customHeight="1" x14ac:dyDescent="0.2">
      <c r="L203" s="78" t="s">
        <v>104</v>
      </c>
      <c r="M203" s="78" t="s">
        <v>121</v>
      </c>
      <c r="N203" s="78" t="s">
        <v>1</v>
      </c>
      <c r="O203" s="84">
        <v>45924</v>
      </c>
      <c r="P203" s="78">
        <v>69</v>
      </c>
      <c r="Q203" s="78">
        <f>INDEX($C$1:$I$1,MATCH(Tabel3[[#This Row],[Type]],Devoirs[[#Headers],[J0]:[J60]],0))</f>
        <v>0</v>
      </c>
      <c r="R203" s="85" t="str" cm="1">
        <f t="array" ref="R203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20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45930.672569444476</v>
      </c>
      <c r="T20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45930.720486111146</v>
      </c>
      <c r="U203" s="82">
        <f ca="1">--(Tabel3[[#This Row],[jour]]&lt;&gt;TRUNC(Tabel3[[#This Row],[fin]]))</f>
        <v>1</v>
      </c>
      <c r="V203" s="82">
        <f>IF(Tabel3[[#This Row],[Type]]="j0",0,--(TRUNC(Tabel3[[#This Row],[debut]])-TRUNC(Tabel3[[#This Row],[fin precedent]])&lt;Tabel3[[#This Row],[delai]]))</f>
        <v>0</v>
      </c>
      <c r="X203"/>
      <c r="Y203" s="75"/>
    </row>
    <row r="204" spans="12:25" ht="18" customHeight="1" x14ac:dyDescent="0.2">
      <c r="L204" s="78" t="s">
        <v>104</v>
      </c>
      <c r="M204" s="78" t="s">
        <v>112</v>
      </c>
      <c r="N204" s="78" t="s">
        <v>1</v>
      </c>
      <c r="O204" s="84">
        <v>45924</v>
      </c>
      <c r="P204" s="78">
        <v>98</v>
      </c>
      <c r="Q204" s="78">
        <f>INDEX($C$1:$I$1,MATCH(Tabel3[[#This Row],[Type]],Devoirs[[#Headers],[J0]:[J60]],0))</f>
        <v>0</v>
      </c>
      <c r="R204" s="85" t="str" cm="1">
        <f t="array" ref="R204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20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45930.720486111146</v>
      </c>
      <c r="T20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45931.371875000041</v>
      </c>
      <c r="U204" s="82">
        <f ca="1">--(Tabel3[[#This Row],[jour]]&lt;&gt;TRUNC(Tabel3[[#This Row],[fin]]))</f>
        <v>1</v>
      </c>
      <c r="V204" s="82">
        <f>IF(Tabel3[[#This Row],[Type]]="j0",0,--(TRUNC(Tabel3[[#This Row],[debut]])-TRUNC(Tabel3[[#This Row],[fin precedent]])&lt;Tabel3[[#This Row],[delai]]))</f>
        <v>0</v>
      </c>
      <c r="X204"/>
      <c r="Y204" s="75"/>
    </row>
    <row r="205" spans="12:25" ht="18" customHeight="1" x14ac:dyDescent="0.2">
      <c r="L205" s="78" t="s">
        <v>95</v>
      </c>
      <c r="M205" s="78" t="s">
        <v>100</v>
      </c>
      <c r="N205" s="78" t="s">
        <v>1</v>
      </c>
      <c r="O205" s="84">
        <v>45924</v>
      </c>
      <c r="P205" s="78">
        <v>100</v>
      </c>
      <c r="Q205" s="78">
        <f>INDEX($C$1:$I$1,MATCH(Tabel3[[#This Row],[Type]],Devoirs[[#Headers],[J0]:[J60]],0))</f>
        <v>0</v>
      </c>
      <c r="R205" s="85" t="str" cm="1">
        <f t="array" ref="R205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20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45931.371875000041</v>
      </c>
      <c r="T20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45931.441319444486</v>
      </c>
      <c r="U205" s="82">
        <f ca="1">--(Tabel3[[#This Row],[jour]]&lt;&gt;TRUNC(Tabel3[[#This Row],[fin]]))</f>
        <v>1</v>
      </c>
      <c r="V205" s="82">
        <f>IF(Tabel3[[#This Row],[Type]]="j0",0,--(TRUNC(Tabel3[[#This Row],[debut]])-TRUNC(Tabel3[[#This Row],[fin precedent]])&lt;Tabel3[[#This Row],[delai]]))</f>
        <v>0</v>
      </c>
      <c r="X205"/>
      <c r="Y205" s="75"/>
    </row>
    <row r="206" spans="12:25" ht="18" customHeight="1" x14ac:dyDescent="0.2">
      <c r="L206" s="78" t="s">
        <v>95</v>
      </c>
      <c r="M206" s="78" t="s">
        <v>101</v>
      </c>
      <c r="N206" s="78" t="s">
        <v>1</v>
      </c>
      <c r="O206" s="84">
        <v>45924</v>
      </c>
      <c r="P206" s="78">
        <v>100</v>
      </c>
      <c r="Q206" s="78">
        <f>INDEX($C$1:$I$1,MATCH(Tabel3[[#This Row],[Type]],Devoirs[[#Headers],[J0]:[J60]],0))</f>
        <v>0</v>
      </c>
      <c r="R206" s="85" t="str" cm="1">
        <f t="array" ref="R206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20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45931.441319444486</v>
      </c>
      <c r="T20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45931.510763888931</v>
      </c>
      <c r="U206" s="82">
        <f ca="1">--(Tabel3[[#This Row],[jour]]&lt;&gt;TRUNC(Tabel3[[#This Row],[fin]]))</f>
        <v>1</v>
      </c>
      <c r="V206" s="82">
        <f>IF(Tabel3[[#This Row],[Type]]="j0",0,--(TRUNC(Tabel3[[#This Row],[debut]])-TRUNC(Tabel3[[#This Row],[fin precedent]])&lt;Tabel3[[#This Row],[delai]]))</f>
        <v>0</v>
      </c>
      <c r="X206"/>
      <c r="Y206" s="75"/>
    </row>
    <row r="207" spans="12:25" ht="18" customHeight="1" x14ac:dyDescent="0.2">
      <c r="L207" s="78" t="s">
        <v>104</v>
      </c>
      <c r="M207" s="78" t="s">
        <v>110</v>
      </c>
      <c r="N207" s="78" t="s">
        <v>1</v>
      </c>
      <c r="O207" s="84">
        <v>45924</v>
      </c>
      <c r="P207" s="78">
        <v>100</v>
      </c>
      <c r="Q207" s="78">
        <f>INDEX($C$1:$I$1,MATCH(Tabel3[[#This Row],[Type]],Devoirs[[#Headers],[J0]:[J60]],0))</f>
        <v>0</v>
      </c>
      <c r="R207" s="85" t="str" cm="1">
        <f t="array" ref="R207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20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45931.510763888931</v>
      </c>
      <c r="T20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45931.580208333377</v>
      </c>
      <c r="U207" s="82">
        <f ca="1">--(Tabel3[[#This Row],[jour]]&lt;&gt;TRUNC(Tabel3[[#This Row],[fin]]))</f>
        <v>1</v>
      </c>
      <c r="V207" s="82">
        <f>IF(Tabel3[[#This Row],[Type]]="j0",0,--(TRUNC(Tabel3[[#This Row],[debut]])-TRUNC(Tabel3[[#This Row],[fin precedent]])&lt;Tabel3[[#This Row],[delai]]))</f>
        <v>0</v>
      </c>
      <c r="X207"/>
      <c r="Y207" s="75"/>
    </row>
    <row r="208" spans="12:25" ht="18" customHeight="1" x14ac:dyDescent="0.2">
      <c r="L208" s="78" t="s">
        <v>43</v>
      </c>
      <c r="M208" s="78" t="s">
        <v>48</v>
      </c>
      <c r="N208" s="78" t="s">
        <v>38</v>
      </c>
      <c r="O208" s="84">
        <v>45925</v>
      </c>
      <c r="P208" s="78">
        <v>24</v>
      </c>
      <c r="Q208" s="78">
        <f>INDEX($C$1:$I$1,MATCH(Tabel3[[#This Row],[Type]],Devoirs[[#Headers],[J0]:[J60]],0))</f>
        <v>4</v>
      </c>
      <c r="R208" s="85" cm="1">
        <f t="array" aca="1" ref="R20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45917.618437500016</v>
      </c>
      <c r="S20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45931.580208333377</v>
      </c>
      <c r="T20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45931.596875000047</v>
      </c>
      <c r="U208" s="82">
        <f ca="1">--(Tabel3[[#This Row],[jour]]&lt;&gt;TRUNC(Tabel3[[#This Row],[fin]]))</f>
        <v>1</v>
      </c>
      <c r="V208" s="82">
        <f ca="1">IF(Tabel3[[#This Row],[Type]]="j0",0,--(TRUNC(Tabel3[[#This Row],[debut]])-TRUNC(Tabel3[[#This Row],[fin precedent]])&lt;Tabel3[[#This Row],[delai]]))</f>
        <v>0</v>
      </c>
      <c r="X208"/>
      <c r="Y208" s="75"/>
    </row>
    <row r="209" spans="12:25" ht="18" customHeight="1" x14ac:dyDescent="0.2">
      <c r="L209" s="78" t="s">
        <v>51</v>
      </c>
      <c r="M209" s="78" t="s">
        <v>58</v>
      </c>
      <c r="N209" s="78" t="s">
        <v>38</v>
      </c>
      <c r="O209" s="84">
        <v>45925</v>
      </c>
      <c r="P209" s="78">
        <v>42</v>
      </c>
      <c r="Q209" s="78">
        <f>INDEX($C$1:$I$1,MATCH(Tabel3[[#This Row],[Type]],Devoirs[[#Headers],[J0]:[J60]],0))</f>
        <v>4</v>
      </c>
      <c r="R209" s="85" cm="1">
        <f t="array" aca="1" ref="R20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45904.365208333336</v>
      </c>
      <c r="S20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45931.596875000047</v>
      </c>
      <c r="T20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45931.626041666714</v>
      </c>
      <c r="U209" s="82">
        <f ca="1">--(Tabel3[[#This Row],[jour]]&lt;&gt;TRUNC(Tabel3[[#This Row],[fin]]))</f>
        <v>1</v>
      </c>
      <c r="V209" s="82">
        <f ca="1">IF(Tabel3[[#This Row],[Type]]="j0",0,--(TRUNC(Tabel3[[#This Row],[debut]])-TRUNC(Tabel3[[#This Row],[fin precedent]])&lt;Tabel3[[#This Row],[delai]]))</f>
        <v>0</v>
      </c>
      <c r="X209"/>
      <c r="Y209" s="75"/>
    </row>
    <row r="210" spans="12:25" ht="18" customHeight="1" x14ac:dyDescent="0.2">
      <c r="L210" s="78" t="s">
        <v>125</v>
      </c>
      <c r="M210" s="78" t="s">
        <v>131</v>
      </c>
      <c r="N210" s="78" t="s">
        <v>38</v>
      </c>
      <c r="O210" s="84">
        <v>45925</v>
      </c>
      <c r="P210" s="78">
        <v>42</v>
      </c>
      <c r="Q210" s="78">
        <f>INDEX($C$1:$I$1,MATCH(Tabel3[[#This Row],[Type]],Devoirs[[#Headers],[J0]:[J60]],0))</f>
        <v>4</v>
      </c>
      <c r="R210" s="85" cm="1">
        <f t="array" aca="1" ref="R21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45910.591319444466</v>
      </c>
      <c r="S21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45931.626041666714</v>
      </c>
      <c r="T21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45931.655208333381</v>
      </c>
      <c r="U210" s="82">
        <f ca="1">--(Tabel3[[#This Row],[jour]]&lt;&gt;TRUNC(Tabel3[[#This Row],[fin]]))</f>
        <v>1</v>
      </c>
      <c r="V210" s="82">
        <f ca="1">IF(Tabel3[[#This Row],[Type]]="j0",0,--(TRUNC(Tabel3[[#This Row],[debut]])-TRUNC(Tabel3[[#This Row],[fin precedent]])&lt;Tabel3[[#This Row],[delai]]))</f>
        <v>0</v>
      </c>
      <c r="X210"/>
      <c r="Y210" s="75"/>
    </row>
    <row r="211" spans="12:25" ht="18" customHeight="1" x14ac:dyDescent="0.2">
      <c r="L211" s="78" t="s">
        <v>51</v>
      </c>
      <c r="M211" s="78" t="s">
        <v>52</v>
      </c>
      <c r="N211" s="78" t="s">
        <v>38</v>
      </c>
      <c r="O211" s="84">
        <v>45925</v>
      </c>
      <c r="P211" s="78">
        <v>76.5</v>
      </c>
      <c r="Q211" s="78">
        <f>INDEX($C$1:$I$1,MATCH(Tabel3[[#This Row],[Type]],Devoirs[[#Headers],[J0]:[J60]],0))</f>
        <v>4</v>
      </c>
      <c r="R211" s="85" cm="1">
        <f t="array" aca="1" ref="R21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45904.365208333336</v>
      </c>
      <c r="S21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45931.655208333381</v>
      </c>
      <c r="T21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45931.708333333379</v>
      </c>
      <c r="U211" s="82">
        <f ca="1">--(Tabel3[[#This Row],[jour]]&lt;&gt;TRUNC(Tabel3[[#This Row],[fin]]))</f>
        <v>1</v>
      </c>
      <c r="V211" s="82">
        <f ca="1">IF(Tabel3[[#This Row],[Type]]="j0",0,--(TRUNC(Tabel3[[#This Row],[debut]])-TRUNC(Tabel3[[#This Row],[fin precedent]])&lt;Tabel3[[#This Row],[delai]]))</f>
        <v>0</v>
      </c>
      <c r="X211"/>
      <c r="Y211" s="75"/>
    </row>
    <row r="212" spans="12:25" ht="18" customHeight="1" x14ac:dyDescent="0.2">
      <c r="L212" s="78" t="s">
        <v>135</v>
      </c>
      <c r="M212" s="78" t="s">
        <v>158</v>
      </c>
      <c r="N212" s="78" t="s">
        <v>38</v>
      </c>
      <c r="O212" s="84">
        <v>45925</v>
      </c>
      <c r="P212" s="78">
        <v>78</v>
      </c>
      <c r="Q212" s="78">
        <f>INDEX($C$1:$I$1,MATCH(Tabel3[[#This Row],[Type]],Devoirs[[#Headers],[J0]:[J60]],0))</f>
        <v>4</v>
      </c>
      <c r="R212" s="85" cm="1">
        <f t="array" aca="1" ref="R21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45903.353333333333</v>
      </c>
      <c r="S21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45931.708333333379</v>
      </c>
      <c r="T21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45932.345833333384</v>
      </c>
      <c r="U212" s="82">
        <f ca="1">--(Tabel3[[#This Row],[jour]]&lt;&gt;TRUNC(Tabel3[[#This Row],[fin]]))</f>
        <v>1</v>
      </c>
      <c r="V212" s="82">
        <f ca="1">IF(Tabel3[[#This Row],[Type]]="j0",0,--(TRUNC(Tabel3[[#This Row],[debut]])-TRUNC(Tabel3[[#This Row],[fin precedent]])&lt;Tabel3[[#This Row],[delai]]))</f>
        <v>0</v>
      </c>
      <c r="X212"/>
      <c r="Y212" s="75"/>
    </row>
    <row r="213" spans="12:25" ht="18" customHeight="1" x14ac:dyDescent="0.2">
      <c r="L213" s="78" t="s">
        <v>135</v>
      </c>
      <c r="M213" s="78" t="s">
        <v>136</v>
      </c>
      <c r="N213" s="78" t="s">
        <v>37</v>
      </c>
      <c r="O213" s="84">
        <v>45925</v>
      </c>
      <c r="P213" s="78">
        <v>52.2</v>
      </c>
      <c r="Q213" s="78">
        <f>INDEX($C$1:$I$1,MATCH(Tabel3[[#This Row],[Type]],Devoirs[[#Headers],[J0]:[J60]],0))</f>
        <v>2</v>
      </c>
      <c r="R213" s="85" cm="1">
        <f t="array" aca="1" ref="R21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45901.355555555558</v>
      </c>
      <c r="S21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45932.345833333384</v>
      </c>
      <c r="T21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45932.382083333381</v>
      </c>
      <c r="U213" s="82">
        <f ca="1">--(Tabel3[[#This Row],[jour]]&lt;&gt;TRUNC(Tabel3[[#This Row],[fin]]))</f>
        <v>1</v>
      </c>
      <c r="V213" s="82">
        <f ca="1">IF(Tabel3[[#This Row],[Type]]="j0",0,--(TRUNC(Tabel3[[#This Row],[debut]])-TRUNC(Tabel3[[#This Row],[fin precedent]])&lt;Tabel3[[#This Row],[delai]]))</f>
        <v>0</v>
      </c>
      <c r="X213"/>
      <c r="Y213" s="75"/>
    </row>
    <row r="214" spans="12:25" ht="18" customHeight="1" x14ac:dyDescent="0.2">
      <c r="L214" s="78" t="s">
        <v>85</v>
      </c>
      <c r="M214" s="78" t="s">
        <v>93</v>
      </c>
      <c r="N214" s="78" t="s">
        <v>37</v>
      </c>
      <c r="O214" s="84">
        <v>45925</v>
      </c>
      <c r="P214" s="78">
        <v>70.2</v>
      </c>
      <c r="Q214" s="78">
        <f>INDEX($C$1:$I$1,MATCH(Tabel3[[#This Row],[Type]],Devoirs[[#Headers],[J0]:[J60]],0))</f>
        <v>2</v>
      </c>
      <c r="R214" s="85" cm="1">
        <f t="array" aca="1" ref="R21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45902.565972222219</v>
      </c>
      <c r="S21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45932.382083333381</v>
      </c>
      <c r="T21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45932.430833333383</v>
      </c>
      <c r="U214" s="82">
        <f ca="1">--(Tabel3[[#This Row],[jour]]&lt;&gt;TRUNC(Tabel3[[#This Row],[fin]]))</f>
        <v>1</v>
      </c>
      <c r="V214" s="82">
        <f ca="1">IF(Tabel3[[#This Row],[Type]]="j0",0,--(TRUNC(Tabel3[[#This Row],[debut]])-TRUNC(Tabel3[[#This Row],[fin precedent]])&lt;Tabel3[[#This Row],[delai]]))</f>
        <v>0</v>
      </c>
      <c r="X214"/>
      <c r="Y214" s="75"/>
    </row>
    <row r="215" spans="12:25" ht="18" customHeight="1" x14ac:dyDescent="0.2">
      <c r="L215" s="78" t="s">
        <v>43</v>
      </c>
      <c r="M215" s="78" t="s">
        <v>45</v>
      </c>
      <c r="N215" s="78" t="s">
        <v>37</v>
      </c>
      <c r="O215" s="84">
        <v>45925</v>
      </c>
      <c r="P215" s="78">
        <v>73.8</v>
      </c>
      <c r="Q215" s="78">
        <f>INDEX($C$1:$I$1,MATCH(Tabel3[[#This Row],[Type]],Devoirs[[#Headers],[J0]:[J60]],0))</f>
        <v>2</v>
      </c>
      <c r="R215" s="85" cm="1">
        <f t="array" aca="1" ref="R21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45916.66041666668</v>
      </c>
      <c r="S21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45932.430833333383</v>
      </c>
      <c r="T21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45932.48208333338</v>
      </c>
      <c r="U215" s="82">
        <f ca="1">--(Tabel3[[#This Row],[jour]]&lt;&gt;TRUNC(Tabel3[[#This Row],[fin]]))</f>
        <v>1</v>
      </c>
      <c r="V215" s="82">
        <f ca="1">IF(Tabel3[[#This Row],[Type]]="j0",0,--(TRUNC(Tabel3[[#This Row],[debut]])-TRUNC(Tabel3[[#This Row],[fin precedent]])&lt;Tabel3[[#This Row],[delai]]))</f>
        <v>0</v>
      </c>
      <c r="X215"/>
      <c r="Y215" s="75"/>
    </row>
    <row r="216" spans="12:25" ht="18" customHeight="1" x14ac:dyDescent="0.2">
      <c r="L216" s="78" t="s">
        <v>125</v>
      </c>
      <c r="M216" s="78" t="s">
        <v>134</v>
      </c>
      <c r="N216" s="78" t="s">
        <v>37</v>
      </c>
      <c r="O216" s="84">
        <v>45925</v>
      </c>
      <c r="P216" s="78">
        <v>91.8</v>
      </c>
      <c r="Q216" s="78">
        <f>INDEX($C$1:$I$1,MATCH(Tabel3[[#This Row],[Type]],Devoirs[[#Headers],[J0]:[J60]],0))</f>
        <v>2</v>
      </c>
      <c r="R216" s="85" cm="1">
        <f t="array" aca="1" ref="R21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45908.665937500016</v>
      </c>
      <c r="S21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45932.48208333338</v>
      </c>
      <c r="T21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45932.545833333381</v>
      </c>
      <c r="U216" s="82">
        <f ca="1">--(Tabel3[[#This Row],[jour]]&lt;&gt;TRUNC(Tabel3[[#This Row],[fin]]))</f>
        <v>1</v>
      </c>
      <c r="V216" s="82">
        <f ca="1">IF(Tabel3[[#This Row],[Type]]="j0",0,--(TRUNC(Tabel3[[#This Row],[debut]])-TRUNC(Tabel3[[#This Row],[fin precedent]])&lt;Tabel3[[#This Row],[delai]]))</f>
        <v>0</v>
      </c>
      <c r="X216"/>
      <c r="Y216" s="75"/>
    </row>
    <row r="217" spans="12:25" ht="18" customHeight="1" x14ac:dyDescent="0.2">
      <c r="L217" s="78" t="s">
        <v>43</v>
      </c>
      <c r="M217" s="78" t="s">
        <v>44</v>
      </c>
      <c r="N217" s="78" t="s">
        <v>39</v>
      </c>
      <c r="O217" s="84">
        <v>45925</v>
      </c>
      <c r="P217" s="78">
        <v>57.599999999999994</v>
      </c>
      <c r="Q217" s="78">
        <f>INDEX($C$1:$I$1,MATCH(Tabel3[[#This Row],[Type]],Devoirs[[#Headers],[J0]:[J60]],0))</f>
        <v>4</v>
      </c>
      <c r="R217" s="85" cm="1">
        <f t="array" aca="1" ref="R21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45924.734861111123</v>
      </c>
      <c r="S21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45932.545833333381</v>
      </c>
      <c r="T21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45932.585833333382</v>
      </c>
      <c r="U217" s="82">
        <f ca="1">--(Tabel3[[#This Row],[jour]]&lt;&gt;TRUNC(Tabel3[[#This Row],[fin]]))</f>
        <v>1</v>
      </c>
      <c r="V217" s="82">
        <f ca="1">IF(Tabel3[[#This Row],[Type]]="j0",0,--(TRUNC(Tabel3[[#This Row],[debut]])-TRUNC(Tabel3[[#This Row],[fin precedent]])&lt;Tabel3[[#This Row],[delai]]))</f>
        <v>0</v>
      </c>
      <c r="X217"/>
      <c r="Y217" s="75"/>
    </row>
    <row r="218" spans="12:25" ht="18" customHeight="1" x14ac:dyDescent="0.2">
      <c r="L218" s="78" t="s">
        <v>104</v>
      </c>
      <c r="M218" s="78" t="s">
        <v>108</v>
      </c>
      <c r="N218" s="78" t="s">
        <v>39</v>
      </c>
      <c r="O218" s="84">
        <v>45925</v>
      </c>
      <c r="P218" s="78">
        <v>67.8</v>
      </c>
      <c r="Q218" s="78">
        <f>INDEX($C$1:$I$1,MATCH(Tabel3[[#This Row],[Type]],Devoirs[[#Headers],[J0]:[J60]],0))</f>
        <v>4</v>
      </c>
      <c r="R218" s="85" cm="1">
        <f t="array" aca="1" ref="R21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45908.505000000012</v>
      </c>
      <c r="S21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45932.585833333382</v>
      </c>
      <c r="T21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45932.632916666713</v>
      </c>
      <c r="U218" s="82">
        <f ca="1">--(Tabel3[[#This Row],[jour]]&lt;&gt;TRUNC(Tabel3[[#This Row],[fin]]))</f>
        <v>1</v>
      </c>
      <c r="V218" s="82">
        <f ca="1">IF(Tabel3[[#This Row],[Type]]="j0",0,--(TRUNC(Tabel3[[#This Row],[debut]])-TRUNC(Tabel3[[#This Row],[fin precedent]])&lt;Tabel3[[#This Row],[delai]]))</f>
        <v>0</v>
      </c>
      <c r="X218"/>
      <c r="Y218" s="75"/>
    </row>
    <row r="219" spans="12:25" ht="18" customHeight="1" x14ac:dyDescent="0.2">
      <c r="L219" s="78" t="s">
        <v>104</v>
      </c>
      <c r="M219" s="78" t="s">
        <v>119</v>
      </c>
      <c r="N219" s="78" t="s">
        <v>1</v>
      </c>
      <c r="O219" s="84">
        <v>45925</v>
      </c>
      <c r="P219" s="78">
        <v>34</v>
      </c>
      <c r="Q219" s="78">
        <f>INDEX($C$1:$I$1,MATCH(Tabel3[[#This Row],[Type]],Devoirs[[#Headers],[J0]:[J60]],0))</f>
        <v>0</v>
      </c>
      <c r="R219" s="85" t="str" cm="1">
        <f t="array" ref="R219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21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45932.632916666713</v>
      </c>
      <c r="T21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45932.656527777821</v>
      </c>
      <c r="U219" s="82">
        <f ca="1">--(Tabel3[[#This Row],[jour]]&lt;&gt;TRUNC(Tabel3[[#This Row],[fin]]))</f>
        <v>1</v>
      </c>
      <c r="V219" s="82">
        <f>IF(Tabel3[[#This Row],[Type]]="j0",0,--(TRUNC(Tabel3[[#This Row],[debut]])-TRUNC(Tabel3[[#This Row],[fin precedent]])&lt;Tabel3[[#This Row],[delai]]))</f>
        <v>0</v>
      </c>
      <c r="X219"/>
      <c r="Y219" s="75"/>
    </row>
    <row r="220" spans="12:25" ht="18" customHeight="1" x14ac:dyDescent="0.2">
      <c r="L220" s="78" t="s">
        <v>85</v>
      </c>
      <c r="M220" s="78" t="s">
        <v>87</v>
      </c>
      <c r="N220" s="78" t="s">
        <v>1</v>
      </c>
      <c r="O220" s="84">
        <v>45925</v>
      </c>
      <c r="P220" s="78">
        <v>36</v>
      </c>
      <c r="Q220" s="78">
        <f>INDEX($C$1:$I$1,MATCH(Tabel3[[#This Row],[Type]],Devoirs[[#Headers],[J0]:[J60]],0))</f>
        <v>0</v>
      </c>
      <c r="R220" s="85" t="str" cm="1">
        <f t="array" ref="R220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22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45932.656527777821</v>
      </c>
      <c r="T22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45932.681527777822</v>
      </c>
      <c r="U220" s="82">
        <f ca="1">--(Tabel3[[#This Row],[jour]]&lt;&gt;TRUNC(Tabel3[[#This Row],[fin]]))</f>
        <v>1</v>
      </c>
      <c r="V220" s="82">
        <f>IF(Tabel3[[#This Row],[Type]]="j0",0,--(TRUNC(Tabel3[[#This Row],[debut]])-TRUNC(Tabel3[[#This Row],[fin precedent]])&lt;Tabel3[[#This Row],[delai]]))</f>
        <v>0</v>
      </c>
      <c r="X220"/>
      <c r="Y220" s="75"/>
    </row>
    <row r="221" spans="12:25" ht="18" customHeight="1" x14ac:dyDescent="0.2">
      <c r="L221" s="78" t="s">
        <v>85</v>
      </c>
      <c r="M221" s="78" t="s">
        <v>94</v>
      </c>
      <c r="N221" s="78" t="s">
        <v>1</v>
      </c>
      <c r="O221" s="84">
        <v>45925</v>
      </c>
      <c r="P221" s="78">
        <v>70</v>
      </c>
      <c r="Q221" s="78">
        <f>INDEX($C$1:$I$1,MATCH(Tabel3[[#This Row],[Type]],Devoirs[[#Headers],[J0]:[J60]],0))</f>
        <v>0</v>
      </c>
      <c r="R221" s="85" t="str" cm="1">
        <f t="array" ref="R221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22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45932.681527777822</v>
      </c>
      <c r="T22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45932.730138888932</v>
      </c>
      <c r="U221" s="82">
        <f ca="1">--(Tabel3[[#This Row],[jour]]&lt;&gt;TRUNC(Tabel3[[#This Row],[fin]]))</f>
        <v>1</v>
      </c>
      <c r="V221" s="82">
        <f>IF(Tabel3[[#This Row],[Type]]="j0",0,--(TRUNC(Tabel3[[#This Row],[debut]])-TRUNC(Tabel3[[#This Row],[fin precedent]])&lt;Tabel3[[#This Row],[delai]]))</f>
        <v>0</v>
      </c>
      <c r="X221"/>
      <c r="Y221" s="75"/>
    </row>
    <row r="222" spans="12:25" ht="18" customHeight="1" x14ac:dyDescent="0.2">
      <c r="L222" s="78" t="s">
        <v>43</v>
      </c>
      <c r="M222" s="78" t="s">
        <v>46</v>
      </c>
      <c r="N222" s="78" t="s">
        <v>1</v>
      </c>
      <c r="O222" s="84">
        <v>45925</v>
      </c>
      <c r="P222" s="78">
        <v>76</v>
      </c>
      <c r="Q222" s="78">
        <f>INDEX($C$1:$I$1,MATCH(Tabel3[[#This Row],[Type]],Devoirs[[#Headers],[J0]:[J60]],0))</f>
        <v>0</v>
      </c>
      <c r="R222" s="85" t="str" cm="1">
        <f t="array" ref="R222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22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45932.730138888932</v>
      </c>
      <c r="T22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45933.366250000043</v>
      </c>
      <c r="U222" s="82">
        <f ca="1">--(Tabel3[[#This Row],[jour]]&lt;&gt;TRUNC(Tabel3[[#This Row],[fin]]))</f>
        <v>1</v>
      </c>
      <c r="V222" s="82">
        <f>IF(Tabel3[[#This Row],[Type]]="j0",0,--(TRUNC(Tabel3[[#This Row],[debut]])-TRUNC(Tabel3[[#This Row],[fin precedent]])&lt;Tabel3[[#This Row],[delai]]))</f>
        <v>0</v>
      </c>
      <c r="X222"/>
      <c r="Y222" s="75"/>
    </row>
    <row r="223" spans="12:25" ht="18" customHeight="1" x14ac:dyDescent="0.2">
      <c r="L223" s="78" t="s">
        <v>125</v>
      </c>
      <c r="M223" s="78" t="s">
        <v>129</v>
      </c>
      <c r="N223" s="78" t="s">
        <v>1</v>
      </c>
      <c r="O223" s="84">
        <v>45925</v>
      </c>
      <c r="P223" s="78">
        <v>88</v>
      </c>
      <c r="Q223" s="78">
        <f>INDEX($C$1:$I$1,MATCH(Tabel3[[#This Row],[Type]],Devoirs[[#Headers],[J0]:[J60]],0))</f>
        <v>0</v>
      </c>
      <c r="R223" s="85" t="str" cm="1">
        <f t="array" ref="R223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22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45933.366250000043</v>
      </c>
      <c r="T22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45933.427361111157</v>
      </c>
      <c r="U223" s="82">
        <f ca="1">--(Tabel3[[#This Row],[jour]]&lt;&gt;TRUNC(Tabel3[[#This Row],[fin]]))</f>
        <v>1</v>
      </c>
      <c r="V223" s="82">
        <f>IF(Tabel3[[#This Row],[Type]]="j0",0,--(TRUNC(Tabel3[[#This Row],[debut]])-TRUNC(Tabel3[[#This Row],[fin precedent]])&lt;Tabel3[[#This Row],[delai]]))</f>
        <v>0</v>
      </c>
      <c r="X223"/>
      <c r="Y223" s="75"/>
    </row>
    <row r="224" spans="12:25" ht="18" customHeight="1" x14ac:dyDescent="0.2">
      <c r="L224" s="78" t="s">
        <v>74</v>
      </c>
      <c r="M224" s="78" t="s">
        <v>84</v>
      </c>
      <c r="N224" s="78" t="s">
        <v>37</v>
      </c>
      <c r="O224" s="84">
        <v>45926</v>
      </c>
      <c r="P224" s="78">
        <v>36</v>
      </c>
      <c r="Q224" s="78">
        <f>INDEX($C$1:$I$1,MATCH(Tabel3[[#This Row],[Type]],Devoirs[[#Headers],[J0]:[J60]],0))</f>
        <v>2</v>
      </c>
      <c r="R224" s="85" cm="1">
        <f t="array" aca="1" ref="R22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45910.499444444467</v>
      </c>
      <c r="S22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45933.427361111157</v>
      </c>
      <c r="T22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45933.452361111158</v>
      </c>
      <c r="U224" s="82">
        <f ca="1">--(Tabel3[[#This Row],[jour]]&lt;&gt;TRUNC(Tabel3[[#This Row],[fin]]))</f>
        <v>1</v>
      </c>
      <c r="V224" s="82">
        <f ca="1">IF(Tabel3[[#This Row],[Type]]="j0",0,--(TRUNC(Tabel3[[#This Row],[debut]])-TRUNC(Tabel3[[#This Row],[fin precedent]])&lt;Tabel3[[#This Row],[delai]]))</f>
        <v>0</v>
      </c>
      <c r="X224"/>
      <c r="Y224" s="75"/>
    </row>
    <row r="225" spans="12:25" ht="18" customHeight="1" x14ac:dyDescent="0.2">
      <c r="L225" s="78" t="s">
        <v>64</v>
      </c>
      <c r="M225" s="78" t="s">
        <v>68</v>
      </c>
      <c r="N225" s="78" t="s">
        <v>37</v>
      </c>
      <c r="O225" s="84">
        <v>45926</v>
      </c>
      <c r="P225" s="78">
        <v>54</v>
      </c>
      <c r="Q225" s="78">
        <f>INDEX($C$1:$I$1,MATCH(Tabel3[[#This Row],[Type]],Devoirs[[#Headers],[J0]:[J60]],0))</f>
        <v>2</v>
      </c>
      <c r="R225" s="85" cm="1">
        <f t="array" aca="1" ref="R22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45912.698090277787</v>
      </c>
      <c r="S22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45933.452361111158</v>
      </c>
      <c r="T22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45933.489861111157</v>
      </c>
      <c r="U225" s="82">
        <f ca="1">--(Tabel3[[#This Row],[jour]]&lt;&gt;TRUNC(Tabel3[[#This Row],[fin]]))</f>
        <v>1</v>
      </c>
      <c r="V225" s="82">
        <f ca="1">IF(Tabel3[[#This Row],[Type]]="j0",0,--(TRUNC(Tabel3[[#This Row],[debut]])-TRUNC(Tabel3[[#This Row],[fin precedent]])&lt;Tabel3[[#This Row],[delai]]))</f>
        <v>0</v>
      </c>
      <c r="X225"/>
      <c r="Y225" s="75"/>
    </row>
    <row r="226" spans="12:25" ht="18" customHeight="1" x14ac:dyDescent="0.2">
      <c r="L226" s="78" t="s">
        <v>104</v>
      </c>
      <c r="M226" s="78" t="s">
        <v>121</v>
      </c>
      <c r="N226" s="78" t="s">
        <v>37</v>
      </c>
      <c r="O226" s="84">
        <v>45926</v>
      </c>
      <c r="P226" s="78">
        <v>62.1</v>
      </c>
      <c r="Q226" s="78">
        <f>INDEX($C$1:$I$1,MATCH(Tabel3[[#This Row],[Type]],Devoirs[[#Headers],[J0]:[J60]],0))</f>
        <v>2</v>
      </c>
      <c r="R226" s="85" cm="1">
        <f t="array" aca="1" ref="R22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45902.487499999996</v>
      </c>
      <c r="S22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45933.489861111157</v>
      </c>
      <c r="T22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45933.532986111153</v>
      </c>
      <c r="U226" s="82">
        <f ca="1">--(Tabel3[[#This Row],[jour]]&lt;&gt;TRUNC(Tabel3[[#This Row],[fin]]))</f>
        <v>1</v>
      </c>
      <c r="V226" s="82">
        <f ca="1">IF(Tabel3[[#This Row],[Type]]="j0",0,--(TRUNC(Tabel3[[#This Row],[debut]])-TRUNC(Tabel3[[#This Row],[fin precedent]])&lt;Tabel3[[#This Row],[delai]]))</f>
        <v>0</v>
      </c>
      <c r="X226"/>
      <c r="Y226" s="75"/>
    </row>
    <row r="227" spans="12:25" ht="18" customHeight="1" x14ac:dyDescent="0.2">
      <c r="L227" s="78" t="s">
        <v>104</v>
      </c>
      <c r="M227" s="78" t="s">
        <v>112</v>
      </c>
      <c r="N227" s="78" t="s">
        <v>37</v>
      </c>
      <c r="O227" s="84">
        <v>45926</v>
      </c>
      <c r="P227" s="78">
        <v>88.2</v>
      </c>
      <c r="Q227" s="78">
        <f>INDEX($C$1:$I$1,MATCH(Tabel3[[#This Row],[Type]],Devoirs[[#Headers],[J0]:[J60]],0))</f>
        <v>2</v>
      </c>
      <c r="R227" s="85" cm="1">
        <f t="array" aca="1" ref="R22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45902.487499999996</v>
      </c>
      <c r="S22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45933.532986111153</v>
      </c>
      <c r="T22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45933.594236111152</v>
      </c>
      <c r="U227" s="82">
        <f ca="1">--(Tabel3[[#This Row],[jour]]&lt;&gt;TRUNC(Tabel3[[#This Row],[fin]]))</f>
        <v>1</v>
      </c>
      <c r="V227" s="82">
        <f ca="1">IF(Tabel3[[#This Row],[Type]]="j0",0,--(TRUNC(Tabel3[[#This Row],[debut]])-TRUNC(Tabel3[[#This Row],[fin precedent]])&lt;Tabel3[[#This Row],[delai]]))</f>
        <v>0</v>
      </c>
      <c r="X227"/>
      <c r="Y227" s="75"/>
    </row>
    <row r="228" spans="12:25" ht="18" customHeight="1" x14ac:dyDescent="0.2">
      <c r="L228" s="78" t="s">
        <v>95</v>
      </c>
      <c r="M228" s="78" t="s">
        <v>100</v>
      </c>
      <c r="N228" s="78" t="s">
        <v>37</v>
      </c>
      <c r="O228" s="84">
        <v>45926</v>
      </c>
      <c r="P228" s="78">
        <v>90</v>
      </c>
      <c r="Q228" s="78">
        <f>INDEX($C$1:$I$1,MATCH(Tabel3[[#This Row],[Type]],Devoirs[[#Headers],[J0]:[J60]],0))</f>
        <v>2</v>
      </c>
      <c r="R228" s="85" cm="1">
        <f t="array" aca="1" ref="R22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45912.573784722234</v>
      </c>
      <c r="S22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45933.594236111152</v>
      </c>
      <c r="T22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45933.656736111152</v>
      </c>
      <c r="U228" s="82">
        <f ca="1">--(Tabel3[[#This Row],[jour]]&lt;&gt;TRUNC(Tabel3[[#This Row],[fin]]))</f>
        <v>1</v>
      </c>
      <c r="V228" s="82">
        <f ca="1">IF(Tabel3[[#This Row],[Type]]="j0",0,--(TRUNC(Tabel3[[#This Row],[debut]])-TRUNC(Tabel3[[#This Row],[fin precedent]])&lt;Tabel3[[#This Row],[delai]]))</f>
        <v>0</v>
      </c>
      <c r="X228"/>
      <c r="Y228" s="75"/>
    </row>
    <row r="229" spans="12:25" ht="18" customHeight="1" x14ac:dyDescent="0.2">
      <c r="L229" s="78" t="s">
        <v>95</v>
      </c>
      <c r="M229" s="78" t="s">
        <v>101</v>
      </c>
      <c r="N229" s="78" t="s">
        <v>37</v>
      </c>
      <c r="O229" s="84">
        <v>45926</v>
      </c>
      <c r="P229" s="78">
        <v>90</v>
      </c>
      <c r="Q229" s="78">
        <f>INDEX($C$1:$I$1,MATCH(Tabel3[[#This Row],[Type]],Devoirs[[#Headers],[J0]:[J60]],0))</f>
        <v>2</v>
      </c>
      <c r="R229" s="85" cm="1">
        <f t="array" aca="1" ref="R22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45912.573784722234</v>
      </c>
      <c r="S22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45933.656736111152</v>
      </c>
      <c r="T22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45933.719236111152</v>
      </c>
      <c r="U229" s="82">
        <f ca="1">--(Tabel3[[#This Row],[jour]]&lt;&gt;TRUNC(Tabel3[[#This Row],[fin]]))</f>
        <v>1</v>
      </c>
      <c r="V229" s="82">
        <f ca="1">IF(Tabel3[[#This Row],[Type]]="j0",0,--(TRUNC(Tabel3[[#This Row],[debut]])-TRUNC(Tabel3[[#This Row],[fin precedent]])&lt;Tabel3[[#This Row],[delai]]))</f>
        <v>0</v>
      </c>
      <c r="X229"/>
      <c r="Y229" s="75"/>
    </row>
    <row r="230" spans="12:25" ht="18" customHeight="1" x14ac:dyDescent="0.2">
      <c r="L230" s="78" t="s">
        <v>104</v>
      </c>
      <c r="M230" s="78" t="s">
        <v>110</v>
      </c>
      <c r="N230" s="78" t="s">
        <v>37</v>
      </c>
      <c r="O230" s="84">
        <v>45926</v>
      </c>
      <c r="P230" s="78">
        <v>90</v>
      </c>
      <c r="Q230" s="78">
        <f>INDEX($C$1:$I$1,MATCH(Tabel3[[#This Row],[Type]],Devoirs[[#Headers],[J0]:[J60]],0))</f>
        <v>2</v>
      </c>
      <c r="R230" s="85" cm="1">
        <f t="array" aca="1" ref="R23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45902.487499999996</v>
      </c>
      <c r="S23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45933.719236111152</v>
      </c>
      <c r="T23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45934.365069444488</v>
      </c>
      <c r="U230" s="82">
        <f ca="1">--(Tabel3[[#This Row],[jour]]&lt;&gt;TRUNC(Tabel3[[#This Row],[fin]]))</f>
        <v>1</v>
      </c>
      <c r="V230" s="82">
        <f ca="1">IF(Tabel3[[#This Row],[Type]]="j0",0,--(TRUNC(Tabel3[[#This Row],[debut]])-TRUNC(Tabel3[[#This Row],[fin precedent]])&lt;Tabel3[[#This Row],[delai]]))</f>
        <v>0</v>
      </c>
      <c r="X230"/>
      <c r="Y230" s="75"/>
    </row>
    <row r="231" spans="12:25" ht="18" customHeight="1" x14ac:dyDescent="0.2">
      <c r="L231" s="78" t="s">
        <v>135</v>
      </c>
      <c r="M231" s="78" t="s">
        <v>157</v>
      </c>
      <c r="N231" s="78" t="s">
        <v>40</v>
      </c>
      <c r="O231" s="84">
        <v>45926</v>
      </c>
      <c r="P231" s="78">
        <v>24.3</v>
      </c>
      <c r="Q231" s="78">
        <f>INDEX($C$1:$I$1,MATCH(Tabel3[[#This Row],[Type]],Devoirs[[#Headers],[J0]:[J60]],0))</f>
        <v>5</v>
      </c>
      <c r="R231" s="85" cm="1">
        <f t="array" aca="1" ref="R23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45911.693923611136</v>
      </c>
      <c r="S23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45934.365069444488</v>
      </c>
      <c r="T23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45934.381944444489</v>
      </c>
      <c r="U231" s="82">
        <f ca="1">--(Tabel3[[#This Row],[jour]]&lt;&gt;TRUNC(Tabel3[[#This Row],[fin]]))</f>
        <v>1</v>
      </c>
      <c r="V231" s="82">
        <f ca="1">IF(Tabel3[[#This Row],[Type]]="j0",0,--(TRUNC(Tabel3[[#This Row],[debut]])-TRUNC(Tabel3[[#This Row],[fin precedent]])&lt;Tabel3[[#This Row],[delai]]))</f>
        <v>0</v>
      </c>
      <c r="X231"/>
      <c r="Y231" s="75"/>
    </row>
    <row r="232" spans="12:25" ht="18" customHeight="1" x14ac:dyDescent="0.2">
      <c r="L232" s="78" t="s">
        <v>51</v>
      </c>
      <c r="M232" s="78" t="s">
        <v>61</v>
      </c>
      <c r="N232" s="78" t="s">
        <v>40</v>
      </c>
      <c r="O232" s="84">
        <v>45926</v>
      </c>
      <c r="P232" s="78">
        <v>28.35</v>
      </c>
      <c r="Q232" s="78">
        <f>INDEX($C$1:$I$1,MATCH(Tabel3[[#This Row],[Type]],Devoirs[[#Headers],[J0]:[J60]],0))</f>
        <v>5</v>
      </c>
      <c r="R232" s="85" cm="1">
        <f t="array" aca="1" ref="R23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45912.379756944465</v>
      </c>
      <c r="S23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45934.381944444489</v>
      </c>
      <c r="T23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45934.401631944485</v>
      </c>
      <c r="U232" s="82">
        <f ca="1">--(Tabel3[[#This Row],[jour]]&lt;&gt;TRUNC(Tabel3[[#This Row],[fin]]))</f>
        <v>1</v>
      </c>
      <c r="V232" s="82">
        <f ca="1">IF(Tabel3[[#This Row],[Type]]="j0",0,--(TRUNC(Tabel3[[#This Row],[debut]])-TRUNC(Tabel3[[#This Row],[fin precedent]])&lt;Tabel3[[#This Row],[delai]]))</f>
        <v>0</v>
      </c>
      <c r="X232"/>
      <c r="Y232" s="75"/>
    </row>
    <row r="233" spans="12:25" ht="18" customHeight="1" x14ac:dyDescent="0.2">
      <c r="L233" s="78" t="s">
        <v>135</v>
      </c>
      <c r="M233" s="78" t="s">
        <v>137</v>
      </c>
      <c r="N233" s="78" t="s">
        <v>39</v>
      </c>
      <c r="O233" s="84">
        <v>45926</v>
      </c>
      <c r="P233" s="78">
        <v>21.599999999999998</v>
      </c>
      <c r="Q233" s="78">
        <f>INDEX($C$1:$I$1,MATCH(Tabel3[[#This Row],[Type]],Devoirs[[#Headers],[J0]:[J60]],0))</f>
        <v>4</v>
      </c>
      <c r="R233" s="85" cm="1">
        <f t="array" aca="1" ref="R23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45908.350000000006</v>
      </c>
      <c r="S23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45934.401631944485</v>
      </c>
      <c r="T23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45934.416631944485</v>
      </c>
      <c r="U233" s="82">
        <f ca="1">--(Tabel3[[#This Row],[jour]]&lt;&gt;TRUNC(Tabel3[[#This Row],[fin]]))</f>
        <v>1</v>
      </c>
      <c r="V233" s="82">
        <f ca="1">IF(Tabel3[[#This Row],[Type]]="j0",0,--(TRUNC(Tabel3[[#This Row],[debut]])-TRUNC(Tabel3[[#This Row],[fin precedent]])&lt;Tabel3[[#This Row],[delai]]))</f>
        <v>0</v>
      </c>
      <c r="X233"/>
      <c r="Y233" s="75"/>
    </row>
    <row r="234" spans="12:25" ht="18" customHeight="1" x14ac:dyDescent="0.2">
      <c r="L234" s="78" t="s">
        <v>104</v>
      </c>
      <c r="M234" s="78" t="s">
        <v>105</v>
      </c>
      <c r="N234" s="78" t="s">
        <v>39</v>
      </c>
      <c r="O234" s="84">
        <v>45926</v>
      </c>
      <c r="P234" s="78">
        <v>27</v>
      </c>
      <c r="Q234" s="78">
        <f>INDEX($C$1:$I$1,MATCH(Tabel3[[#This Row],[Type]],Devoirs[[#Headers],[J0]:[J60]],0))</f>
        <v>4</v>
      </c>
      <c r="R234" s="85" cm="1">
        <f t="array" aca="1" ref="R23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45908.505000000012</v>
      </c>
      <c r="S23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45934.416631944485</v>
      </c>
      <c r="T23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45934.435381944488</v>
      </c>
      <c r="U234" s="82">
        <f ca="1">--(Tabel3[[#This Row],[jour]]&lt;&gt;TRUNC(Tabel3[[#This Row],[fin]]))</f>
        <v>1</v>
      </c>
      <c r="V234" s="82">
        <f ca="1">IF(Tabel3[[#This Row],[Type]]="j0",0,--(TRUNC(Tabel3[[#This Row],[debut]])-TRUNC(Tabel3[[#This Row],[fin precedent]])&lt;Tabel3[[#This Row],[delai]]))</f>
        <v>0</v>
      </c>
      <c r="X234"/>
      <c r="Y234" s="75"/>
    </row>
    <row r="235" spans="12:25" ht="18" customHeight="1" x14ac:dyDescent="0.2">
      <c r="L235" s="78" t="s">
        <v>64</v>
      </c>
      <c r="M235" s="78" t="s">
        <v>69</v>
      </c>
      <c r="N235" s="78" t="s">
        <v>39</v>
      </c>
      <c r="O235" s="84">
        <v>45926</v>
      </c>
      <c r="P235" s="78">
        <v>28.799999999999997</v>
      </c>
      <c r="Q235" s="78">
        <f>INDEX($C$1:$I$1,MATCH(Tabel3[[#This Row],[Type]],Devoirs[[#Headers],[J0]:[J60]],0))</f>
        <v>4</v>
      </c>
      <c r="R235" s="85" cm="1">
        <f t="array" aca="1" ref="R23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45919.41250000002</v>
      </c>
      <c r="S23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45934.435381944488</v>
      </c>
      <c r="T23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45934.455381944485</v>
      </c>
      <c r="U235" s="82">
        <f ca="1">--(Tabel3[[#This Row],[jour]]&lt;&gt;TRUNC(Tabel3[[#This Row],[fin]]))</f>
        <v>1</v>
      </c>
      <c r="V235" s="82">
        <f ca="1">IF(Tabel3[[#This Row],[Type]]="j0",0,--(TRUNC(Tabel3[[#This Row],[debut]])-TRUNC(Tabel3[[#This Row],[fin precedent]])&lt;Tabel3[[#This Row],[delai]]))</f>
        <v>0</v>
      </c>
      <c r="X235"/>
      <c r="Y235" s="75"/>
    </row>
    <row r="236" spans="12:25" ht="18" customHeight="1" x14ac:dyDescent="0.2">
      <c r="L236" s="78" t="s">
        <v>74</v>
      </c>
      <c r="M236" s="78" t="s">
        <v>80</v>
      </c>
      <c r="N236" s="78" t="s">
        <v>39</v>
      </c>
      <c r="O236" s="84">
        <v>45926</v>
      </c>
      <c r="P236" s="78">
        <v>29.4</v>
      </c>
      <c r="Q236" s="78">
        <f>INDEX($C$1:$I$1,MATCH(Tabel3[[#This Row],[Type]],Devoirs[[#Headers],[J0]:[J60]],0))</f>
        <v>4</v>
      </c>
      <c r="R236" s="85" cm="1">
        <f t="array" aca="1" ref="R23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45916.567500000012</v>
      </c>
      <c r="S23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45934.455381944485</v>
      </c>
      <c r="T23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45934.475798611151</v>
      </c>
      <c r="U236" s="82">
        <f ca="1">--(Tabel3[[#This Row],[jour]]&lt;&gt;TRUNC(Tabel3[[#This Row],[fin]]))</f>
        <v>1</v>
      </c>
      <c r="V236" s="82">
        <f ca="1">IF(Tabel3[[#This Row],[Type]]="j0",0,--(TRUNC(Tabel3[[#This Row],[debut]])-TRUNC(Tabel3[[#This Row],[fin precedent]])&lt;Tabel3[[#This Row],[delai]]))</f>
        <v>0</v>
      </c>
      <c r="X236"/>
      <c r="Y236" s="75"/>
    </row>
    <row r="237" spans="12:25" ht="18" customHeight="1" x14ac:dyDescent="0.2">
      <c r="L237" s="78" t="s">
        <v>104</v>
      </c>
      <c r="M237" s="78" t="s">
        <v>117</v>
      </c>
      <c r="N237" s="78" t="s">
        <v>39</v>
      </c>
      <c r="O237" s="84">
        <v>45926</v>
      </c>
      <c r="P237" s="78">
        <v>36</v>
      </c>
      <c r="Q237" s="78">
        <f>INDEX($C$1:$I$1,MATCH(Tabel3[[#This Row],[Type]],Devoirs[[#Headers],[J0]:[J60]],0))</f>
        <v>4</v>
      </c>
      <c r="R237" s="85" cm="1">
        <f t="array" aca="1" ref="R23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45908.505000000012</v>
      </c>
      <c r="S23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45934.475798611151</v>
      </c>
      <c r="T23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45934.500798611152</v>
      </c>
      <c r="U237" s="82">
        <f ca="1">--(Tabel3[[#This Row],[jour]]&lt;&gt;TRUNC(Tabel3[[#This Row],[fin]]))</f>
        <v>1</v>
      </c>
      <c r="V237" s="82">
        <f ca="1">IF(Tabel3[[#This Row],[Type]]="j0",0,--(TRUNC(Tabel3[[#This Row],[debut]])-TRUNC(Tabel3[[#This Row],[fin precedent]])&lt;Tabel3[[#This Row],[delai]]))</f>
        <v>0</v>
      </c>
      <c r="X237"/>
      <c r="Y237" s="75"/>
    </row>
    <row r="238" spans="12:25" ht="18" customHeight="1" x14ac:dyDescent="0.2">
      <c r="L238" s="78" t="s">
        <v>104</v>
      </c>
      <c r="M238" s="78" t="s">
        <v>119</v>
      </c>
      <c r="N238" s="78" t="s">
        <v>37</v>
      </c>
      <c r="O238" s="84">
        <v>45927</v>
      </c>
      <c r="P238" s="78">
        <v>30.6</v>
      </c>
      <c r="Q238" s="78">
        <f>INDEX($C$1:$I$1,MATCH(Tabel3[[#This Row],[Type]],Devoirs[[#Headers],[J0]:[J60]],0))</f>
        <v>2</v>
      </c>
      <c r="R238" s="85" cm="1">
        <f t="array" aca="1" ref="R23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45902.487499999996</v>
      </c>
      <c r="S23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45934.500798611152</v>
      </c>
      <c r="T23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45934.52204861115</v>
      </c>
      <c r="U238" s="82">
        <f ca="1">--(Tabel3[[#This Row],[jour]]&lt;&gt;TRUNC(Tabel3[[#This Row],[fin]]))</f>
        <v>1</v>
      </c>
      <c r="V238" s="82">
        <f ca="1">IF(Tabel3[[#This Row],[Type]]="j0",0,--(TRUNC(Tabel3[[#This Row],[debut]])-TRUNC(Tabel3[[#This Row],[fin precedent]])&lt;Tabel3[[#This Row],[delai]]))</f>
        <v>0</v>
      </c>
      <c r="X238"/>
      <c r="Y238" s="75"/>
    </row>
    <row r="239" spans="12:25" ht="18" customHeight="1" x14ac:dyDescent="0.2">
      <c r="L239" s="78" t="s">
        <v>85</v>
      </c>
      <c r="M239" s="78" t="s">
        <v>87</v>
      </c>
      <c r="N239" s="78" t="s">
        <v>37</v>
      </c>
      <c r="O239" s="84">
        <v>45927</v>
      </c>
      <c r="P239" s="78">
        <v>32.4</v>
      </c>
      <c r="Q239" s="78">
        <f>INDEX($C$1:$I$1,MATCH(Tabel3[[#This Row],[Type]],Devoirs[[#Headers],[J0]:[J60]],0))</f>
        <v>2</v>
      </c>
      <c r="R239" s="85" cm="1">
        <f t="array" aca="1" ref="R23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45902.565972222219</v>
      </c>
      <c r="S23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45934.52204861115</v>
      </c>
      <c r="T23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45934.544548611149</v>
      </c>
      <c r="U239" s="82">
        <f ca="1">--(Tabel3[[#This Row],[jour]]&lt;&gt;TRUNC(Tabel3[[#This Row],[fin]]))</f>
        <v>1</v>
      </c>
      <c r="V239" s="82">
        <f ca="1">IF(Tabel3[[#This Row],[Type]]="j0",0,--(TRUNC(Tabel3[[#This Row],[debut]])-TRUNC(Tabel3[[#This Row],[fin precedent]])&lt;Tabel3[[#This Row],[delai]]))</f>
        <v>0</v>
      </c>
      <c r="X239"/>
      <c r="Y239" s="75"/>
    </row>
    <row r="240" spans="12:25" ht="18" customHeight="1" x14ac:dyDescent="0.2">
      <c r="L240" s="78" t="s">
        <v>85</v>
      </c>
      <c r="M240" s="78" t="s">
        <v>94</v>
      </c>
      <c r="N240" s="78" t="s">
        <v>37</v>
      </c>
      <c r="O240" s="84">
        <v>45927</v>
      </c>
      <c r="P240" s="78">
        <v>63</v>
      </c>
      <c r="Q240" s="78">
        <f>INDEX($C$1:$I$1,MATCH(Tabel3[[#This Row],[Type]],Devoirs[[#Headers],[J0]:[J60]],0))</f>
        <v>2</v>
      </c>
      <c r="R240" s="85" cm="1">
        <f t="array" aca="1" ref="R24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45902.565972222219</v>
      </c>
      <c r="S24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45934.544548611149</v>
      </c>
      <c r="T24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45934.588298611146</v>
      </c>
      <c r="U240" s="82">
        <f ca="1">--(Tabel3[[#This Row],[jour]]&lt;&gt;TRUNC(Tabel3[[#This Row],[fin]]))</f>
        <v>1</v>
      </c>
      <c r="V240" s="82">
        <f ca="1">IF(Tabel3[[#This Row],[Type]]="j0",0,--(TRUNC(Tabel3[[#This Row],[debut]])-TRUNC(Tabel3[[#This Row],[fin precedent]])&lt;Tabel3[[#This Row],[delai]]))</f>
        <v>0</v>
      </c>
      <c r="X240"/>
      <c r="Y240" s="75"/>
    </row>
    <row r="241" spans="12:25" ht="18" customHeight="1" x14ac:dyDescent="0.2">
      <c r="L241" s="78" t="s">
        <v>43</v>
      </c>
      <c r="M241" s="78" t="s">
        <v>46</v>
      </c>
      <c r="N241" s="78" t="s">
        <v>37</v>
      </c>
      <c r="O241" s="84">
        <v>45927</v>
      </c>
      <c r="P241" s="78">
        <v>68.400000000000006</v>
      </c>
      <c r="Q241" s="78">
        <f>INDEX($C$1:$I$1,MATCH(Tabel3[[#This Row],[Type]],Devoirs[[#Headers],[J0]:[J60]],0))</f>
        <v>2</v>
      </c>
      <c r="R241" s="85" cm="1">
        <f t="array" aca="1" ref="R24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45916.66041666668</v>
      </c>
      <c r="S24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45934.588298611146</v>
      </c>
      <c r="T24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45934.635798611147</v>
      </c>
      <c r="U241" s="82">
        <f ca="1">--(Tabel3[[#This Row],[jour]]&lt;&gt;TRUNC(Tabel3[[#This Row],[fin]]))</f>
        <v>1</v>
      </c>
      <c r="V241" s="82">
        <f ca="1">IF(Tabel3[[#This Row],[Type]]="j0",0,--(TRUNC(Tabel3[[#This Row],[debut]])-TRUNC(Tabel3[[#This Row],[fin precedent]])&lt;Tabel3[[#This Row],[delai]]))</f>
        <v>0</v>
      </c>
      <c r="X241"/>
      <c r="Y241" s="75"/>
    </row>
    <row r="242" spans="12:25" ht="18" customHeight="1" x14ac:dyDescent="0.2">
      <c r="L242" s="78" t="s">
        <v>125</v>
      </c>
      <c r="M242" s="78" t="s">
        <v>129</v>
      </c>
      <c r="N242" s="78" t="s">
        <v>37</v>
      </c>
      <c r="O242" s="84">
        <v>45927</v>
      </c>
      <c r="P242" s="78">
        <v>79.2</v>
      </c>
      <c r="Q242" s="78">
        <f>INDEX($C$1:$I$1,MATCH(Tabel3[[#This Row],[Type]],Devoirs[[#Headers],[J0]:[J60]],0))</f>
        <v>2</v>
      </c>
      <c r="R242" s="85" cm="1">
        <f t="array" aca="1" ref="R24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45908.665937500016</v>
      </c>
      <c r="S24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45934.635798611147</v>
      </c>
      <c r="T24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45934.690798611147</v>
      </c>
      <c r="U242" s="82">
        <f ca="1">--(Tabel3[[#This Row],[jour]]&lt;&gt;TRUNC(Tabel3[[#This Row],[fin]]))</f>
        <v>1</v>
      </c>
      <c r="V242" s="82">
        <f ca="1">IF(Tabel3[[#This Row],[Type]]="j0",0,--(TRUNC(Tabel3[[#This Row],[debut]])-TRUNC(Tabel3[[#This Row],[fin precedent]])&lt;Tabel3[[#This Row],[delai]]))</f>
        <v>0</v>
      </c>
      <c r="X242"/>
      <c r="Y242" s="75"/>
    </row>
    <row r="243" spans="12:25" ht="18" customHeight="1" x14ac:dyDescent="0.2">
      <c r="L243" s="78" t="s">
        <v>104</v>
      </c>
      <c r="M243" s="78" t="s">
        <v>118</v>
      </c>
      <c r="N243" s="78" t="s">
        <v>40</v>
      </c>
      <c r="O243" s="84">
        <v>45927</v>
      </c>
      <c r="P243" s="78">
        <v>20.25</v>
      </c>
      <c r="Q243" s="78">
        <f>INDEX($C$1:$I$1,MATCH(Tabel3[[#This Row],[Type]],Devoirs[[#Headers],[J0]:[J60]],0))</f>
        <v>5</v>
      </c>
      <c r="R243" s="85" cm="1">
        <f t="array" aca="1" ref="R24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45912.451006944459</v>
      </c>
      <c r="S24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45934.690798611147</v>
      </c>
      <c r="T24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45934.704861111146</v>
      </c>
      <c r="U243" s="82">
        <f ca="1">--(Tabel3[[#This Row],[jour]]&lt;&gt;TRUNC(Tabel3[[#This Row],[fin]]))</f>
        <v>1</v>
      </c>
      <c r="V243" s="82">
        <f ca="1">IF(Tabel3[[#This Row],[Type]]="j0",0,--(TRUNC(Tabel3[[#This Row],[debut]])-TRUNC(Tabel3[[#This Row],[fin precedent]])&lt;Tabel3[[#This Row],[delai]]))</f>
        <v>0</v>
      </c>
      <c r="X243"/>
      <c r="Y243" s="75"/>
    </row>
    <row r="244" spans="12:25" ht="18" customHeight="1" x14ac:dyDescent="0.2">
      <c r="L244" s="78" t="s">
        <v>95</v>
      </c>
      <c r="M244" s="78" t="s">
        <v>96</v>
      </c>
      <c r="N244" s="78" t="s">
        <v>40</v>
      </c>
      <c r="O244" s="84">
        <v>45927</v>
      </c>
      <c r="P244" s="78">
        <v>28.8</v>
      </c>
      <c r="Q244" s="78">
        <f>INDEX($C$1:$I$1,MATCH(Tabel3[[#This Row],[Type]],Devoirs[[#Headers],[J0]:[J60]],0))</f>
        <v>5</v>
      </c>
      <c r="R244" s="85" cm="1">
        <f t="array" aca="1" ref="R24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45926.397256944474</v>
      </c>
      <c r="S24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45934.704861111146</v>
      </c>
      <c r="T24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45934.724861111143</v>
      </c>
      <c r="U244" s="82">
        <f ca="1">--(Tabel3[[#This Row],[jour]]&lt;&gt;TRUNC(Tabel3[[#This Row],[fin]]))</f>
        <v>1</v>
      </c>
      <c r="V244" s="82">
        <f ca="1">IF(Tabel3[[#This Row],[Type]]="j0",0,--(TRUNC(Tabel3[[#This Row],[debut]])-TRUNC(Tabel3[[#This Row],[fin precedent]])&lt;Tabel3[[#This Row],[delai]]))</f>
        <v>0</v>
      </c>
      <c r="X244"/>
      <c r="Y244" s="75"/>
    </row>
    <row r="245" spans="12:25" ht="18" customHeight="1" x14ac:dyDescent="0.2">
      <c r="L245" s="78" t="s">
        <v>74</v>
      </c>
      <c r="M245" s="78" t="s">
        <v>78</v>
      </c>
      <c r="N245" s="78" t="s">
        <v>40</v>
      </c>
      <c r="O245" s="84">
        <v>45927</v>
      </c>
      <c r="P245" s="78">
        <v>39.15</v>
      </c>
      <c r="Q245" s="78">
        <f>INDEX($C$1:$I$1,MATCH(Tabel3[[#This Row],[Type]],Devoirs[[#Headers],[J0]:[J60]],0))</f>
        <v>5</v>
      </c>
      <c r="R245" s="85" cm="1">
        <f t="array" aca="1" ref="R24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45923.462534722232</v>
      </c>
      <c r="S24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45934.724861111143</v>
      </c>
      <c r="T24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45936.335381944482</v>
      </c>
      <c r="U245" s="82">
        <f ca="1">--(Tabel3[[#This Row],[jour]]&lt;&gt;TRUNC(Tabel3[[#This Row],[fin]]))</f>
        <v>1</v>
      </c>
      <c r="V245" s="82">
        <f ca="1">IF(Tabel3[[#This Row],[Type]]="j0",0,--(TRUNC(Tabel3[[#This Row],[debut]])-TRUNC(Tabel3[[#This Row],[fin precedent]])&lt;Tabel3[[#This Row],[delai]]))</f>
        <v>0</v>
      </c>
      <c r="X245"/>
      <c r="Y245" s="75"/>
    </row>
    <row r="246" spans="12:25" ht="18" customHeight="1" x14ac:dyDescent="0.2">
      <c r="L246" s="78" t="s">
        <v>64</v>
      </c>
      <c r="M246" s="78" t="s">
        <v>66</v>
      </c>
      <c r="N246" s="78" t="s">
        <v>40</v>
      </c>
      <c r="O246" s="84">
        <v>45927</v>
      </c>
      <c r="P246" s="78">
        <v>41.4</v>
      </c>
      <c r="Q246" s="78">
        <f>INDEX($C$1:$I$1,MATCH(Tabel3[[#This Row],[Type]],Devoirs[[#Headers],[J0]:[J60]],0))</f>
        <v>5</v>
      </c>
      <c r="R246" s="85" cm="1">
        <f t="array" aca="1" ref="R24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45926.471840277802</v>
      </c>
      <c r="S24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45936.335381944482</v>
      </c>
      <c r="T24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45936.36413194448</v>
      </c>
      <c r="U246" s="82">
        <f ca="1">--(Tabel3[[#This Row],[jour]]&lt;&gt;TRUNC(Tabel3[[#This Row],[fin]]))</f>
        <v>1</v>
      </c>
      <c r="V246" s="82">
        <f ca="1">IF(Tabel3[[#This Row],[Type]]="j0",0,--(TRUNC(Tabel3[[#This Row],[debut]])-TRUNC(Tabel3[[#This Row],[fin precedent]])&lt;Tabel3[[#This Row],[delai]]))</f>
        <v>0</v>
      </c>
      <c r="X246"/>
      <c r="Y246" s="75"/>
    </row>
    <row r="247" spans="12:25" ht="18" customHeight="1" x14ac:dyDescent="0.2">
      <c r="L247" s="78" t="s">
        <v>95</v>
      </c>
      <c r="M247" s="78" t="s">
        <v>98</v>
      </c>
      <c r="N247" s="78" t="s">
        <v>39</v>
      </c>
      <c r="O247" s="84">
        <v>45927</v>
      </c>
      <c r="P247" s="78">
        <v>54</v>
      </c>
      <c r="Q247" s="78">
        <f>INDEX($C$1:$I$1,MATCH(Tabel3[[#This Row],[Type]],Devoirs[[#Headers],[J0]:[J60]],0))</f>
        <v>4</v>
      </c>
      <c r="R247" s="85" cm="1">
        <f t="array" aca="1" ref="R24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45918.735937500016</v>
      </c>
      <c r="S24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45936.36413194448</v>
      </c>
      <c r="T24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45936.401631944478</v>
      </c>
      <c r="U247" s="82">
        <f ca="1">--(Tabel3[[#This Row],[jour]]&lt;&gt;TRUNC(Tabel3[[#This Row],[fin]]))</f>
        <v>1</v>
      </c>
      <c r="V247" s="82">
        <f ca="1">IF(Tabel3[[#This Row],[Type]]="j0",0,--(TRUNC(Tabel3[[#This Row],[debut]])-TRUNC(Tabel3[[#This Row],[fin precedent]])&lt;Tabel3[[#This Row],[delai]]))</f>
        <v>0</v>
      </c>
      <c r="X247"/>
      <c r="Y247" s="75"/>
    </row>
    <row r="248" spans="12:25" ht="18" customHeight="1" x14ac:dyDescent="0.2">
      <c r="L248" s="78" t="s">
        <v>95</v>
      </c>
      <c r="M248" s="78" t="s">
        <v>102</v>
      </c>
      <c r="N248" s="78" t="s">
        <v>39</v>
      </c>
      <c r="O248" s="84">
        <v>45927</v>
      </c>
      <c r="P248" s="78">
        <v>67.2</v>
      </c>
      <c r="Q248" s="78">
        <f>INDEX($C$1:$I$1,MATCH(Tabel3[[#This Row],[Type]],Devoirs[[#Headers],[J0]:[J60]],0))</f>
        <v>4</v>
      </c>
      <c r="R248" s="85" cm="1">
        <f t="array" aca="1" ref="R24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45918.735937500016</v>
      </c>
      <c r="S24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45936.401631944478</v>
      </c>
      <c r="T24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45936.448298611147</v>
      </c>
      <c r="U248" s="82">
        <f ca="1">--(Tabel3[[#This Row],[jour]]&lt;&gt;TRUNC(Tabel3[[#This Row],[fin]]))</f>
        <v>1</v>
      </c>
      <c r="V248" s="82">
        <f ca="1">IF(Tabel3[[#This Row],[Type]]="j0",0,--(TRUNC(Tabel3[[#This Row],[debut]])-TRUNC(Tabel3[[#This Row],[fin precedent]])&lt;Tabel3[[#This Row],[delai]]))</f>
        <v>0</v>
      </c>
      <c r="X248"/>
      <c r="Y248" s="75"/>
    </row>
    <row r="249" spans="12:25" ht="18" customHeight="1" x14ac:dyDescent="0.2">
      <c r="L249" s="78" t="s">
        <v>51</v>
      </c>
      <c r="M249" s="78" t="s">
        <v>59</v>
      </c>
      <c r="N249" s="78" t="s">
        <v>39</v>
      </c>
      <c r="O249" s="84">
        <v>45927</v>
      </c>
      <c r="P249" s="78">
        <v>67.8</v>
      </c>
      <c r="Q249" s="78">
        <f>INDEX($C$1:$I$1,MATCH(Tabel3[[#This Row],[Type]],Devoirs[[#Headers],[J0]:[J60]],0))</f>
        <v>4</v>
      </c>
      <c r="R249" s="85" cm="1">
        <f t="array" aca="1" ref="R24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45908.415937500009</v>
      </c>
      <c r="S24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45936.448298611147</v>
      </c>
      <c r="T24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45936.495381944478</v>
      </c>
      <c r="U249" s="82">
        <f ca="1">--(Tabel3[[#This Row],[jour]]&lt;&gt;TRUNC(Tabel3[[#This Row],[fin]]))</f>
        <v>1</v>
      </c>
      <c r="V249" s="82">
        <f ca="1">IF(Tabel3[[#This Row],[Type]]="j0",0,--(TRUNC(Tabel3[[#This Row],[debut]])-TRUNC(Tabel3[[#This Row],[fin precedent]])&lt;Tabel3[[#This Row],[delai]]))</f>
        <v>0</v>
      </c>
      <c r="X249"/>
      <c r="Y249" s="75"/>
    </row>
    <row r="250" spans="12:25" ht="18" customHeight="1" x14ac:dyDescent="0.2">
      <c r="L250" s="78" t="s">
        <v>95</v>
      </c>
      <c r="M250" s="78" t="s">
        <v>99</v>
      </c>
      <c r="N250" s="78" t="s">
        <v>39</v>
      </c>
      <c r="O250" s="84">
        <v>45927</v>
      </c>
      <c r="P250" s="78">
        <v>72</v>
      </c>
      <c r="Q250" s="78">
        <f>INDEX($C$1:$I$1,MATCH(Tabel3[[#This Row],[Type]],Devoirs[[#Headers],[J0]:[J60]],0))</f>
        <v>4</v>
      </c>
      <c r="R250" s="85" cm="1">
        <f t="array" aca="1" ref="R25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45918.735937500016</v>
      </c>
      <c r="S25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45936.495381944478</v>
      </c>
      <c r="T25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45936.545381944481</v>
      </c>
      <c r="U250" s="82">
        <f ca="1">--(Tabel3[[#This Row],[jour]]&lt;&gt;TRUNC(Tabel3[[#This Row],[fin]]))</f>
        <v>1</v>
      </c>
      <c r="V250" s="82">
        <f ca="1">IF(Tabel3[[#This Row],[Type]]="j0",0,--(TRUNC(Tabel3[[#This Row],[debut]])-TRUNC(Tabel3[[#This Row],[fin precedent]])&lt;Tabel3[[#This Row],[delai]]))</f>
        <v>0</v>
      </c>
      <c r="X250"/>
      <c r="Y250" s="75"/>
    </row>
    <row r="251" spans="12:25" ht="18" customHeight="1" x14ac:dyDescent="0.2">
      <c r="L251" s="78" t="s">
        <v>64</v>
      </c>
      <c r="M251" s="78" t="s">
        <v>67</v>
      </c>
      <c r="N251" s="78" t="s">
        <v>38</v>
      </c>
      <c r="O251" s="84">
        <v>45928</v>
      </c>
      <c r="P251" s="78">
        <v>24.75</v>
      </c>
      <c r="Q251" s="78">
        <f>INDEX($C$1:$I$1,MATCH(Tabel3[[#This Row],[Type]],Devoirs[[#Headers],[J0]:[J60]],0))</f>
        <v>4</v>
      </c>
      <c r="R251" s="85" cm="1">
        <f t="array" aca="1" ref="R25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45916.416979166672</v>
      </c>
      <c r="S25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45936.545381944481</v>
      </c>
      <c r="T25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45936.562569444483</v>
      </c>
      <c r="U251" s="82">
        <f ca="1">--(Tabel3[[#This Row],[jour]]&lt;&gt;TRUNC(Tabel3[[#This Row],[fin]]))</f>
        <v>1</v>
      </c>
      <c r="V251" s="82">
        <f ca="1">IF(Tabel3[[#This Row],[Type]]="j0",0,--(TRUNC(Tabel3[[#This Row],[debut]])-TRUNC(Tabel3[[#This Row],[fin precedent]])&lt;Tabel3[[#This Row],[delai]]))</f>
        <v>0</v>
      </c>
      <c r="X251"/>
      <c r="Y251" s="75"/>
    </row>
    <row r="252" spans="12:25" ht="18" customHeight="1" x14ac:dyDescent="0.2">
      <c r="L252" s="78" t="s">
        <v>104</v>
      </c>
      <c r="M252" s="78" t="s">
        <v>116</v>
      </c>
      <c r="N252" s="78" t="s">
        <v>38</v>
      </c>
      <c r="O252" s="84">
        <v>45928</v>
      </c>
      <c r="P252" s="78">
        <v>82.5</v>
      </c>
      <c r="Q252" s="78">
        <f>INDEX($C$1:$I$1,MATCH(Tabel3[[#This Row],[Type]],Devoirs[[#Headers],[J0]:[J60]],0))</f>
        <v>4</v>
      </c>
      <c r="R252" s="85" cm="1">
        <f t="array" aca="1" ref="R25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45904.472083333341</v>
      </c>
      <c r="S25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45936.562569444483</v>
      </c>
      <c r="T25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45936.619861111147</v>
      </c>
      <c r="U252" s="82">
        <f ca="1">--(Tabel3[[#This Row],[jour]]&lt;&gt;TRUNC(Tabel3[[#This Row],[fin]]))</f>
        <v>1</v>
      </c>
      <c r="V252" s="82">
        <f ca="1">IF(Tabel3[[#This Row],[Type]]="j0",0,--(TRUNC(Tabel3[[#This Row],[debut]])-TRUNC(Tabel3[[#This Row],[fin precedent]])&lt;Tabel3[[#This Row],[delai]]))</f>
        <v>0</v>
      </c>
      <c r="X252"/>
      <c r="Y252" s="75"/>
    </row>
    <row r="253" spans="12:25" ht="18" customHeight="1" x14ac:dyDescent="0.2">
      <c r="L253" s="78" t="s">
        <v>104</v>
      </c>
      <c r="M253" s="78" t="s">
        <v>109</v>
      </c>
      <c r="N253" s="78" t="s">
        <v>38</v>
      </c>
      <c r="O253" s="84">
        <v>45928</v>
      </c>
      <c r="P253" s="78">
        <v>84</v>
      </c>
      <c r="Q253" s="78">
        <f>INDEX($C$1:$I$1,MATCH(Tabel3[[#This Row],[Type]],Devoirs[[#Headers],[J0]:[J60]],0))</f>
        <v>4</v>
      </c>
      <c r="R253" s="85" cm="1">
        <f t="array" aca="1" ref="R25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45904.472083333341</v>
      </c>
      <c r="S25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45936.619861111147</v>
      </c>
      <c r="T25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45936.678194444481</v>
      </c>
      <c r="U253" s="82">
        <f ca="1">--(Tabel3[[#This Row],[jour]]&lt;&gt;TRUNC(Tabel3[[#This Row],[fin]]))</f>
        <v>1</v>
      </c>
      <c r="V253" s="82">
        <f ca="1">IF(Tabel3[[#This Row],[Type]]="j0",0,--(TRUNC(Tabel3[[#This Row],[debut]])-TRUNC(Tabel3[[#This Row],[fin precedent]])&lt;Tabel3[[#This Row],[delai]]))</f>
        <v>0</v>
      </c>
      <c r="X253"/>
      <c r="Y253" s="75"/>
    </row>
    <row r="254" spans="12:25" ht="18" customHeight="1" x14ac:dyDescent="0.2">
      <c r="L254" s="78" t="s">
        <v>74</v>
      </c>
      <c r="M254" s="78" t="s">
        <v>82</v>
      </c>
      <c r="N254" s="78" t="s">
        <v>39</v>
      </c>
      <c r="O254" s="84">
        <v>45928</v>
      </c>
      <c r="P254" s="78">
        <v>18.599999999999998</v>
      </c>
      <c r="Q254" s="78">
        <f>INDEX($C$1:$I$1,MATCH(Tabel3[[#This Row],[Type]],Devoirs[[#Headers],[J0]:[J60]],0))</f>
        <v>4</v>
      </c>
      <c r="R254" s="85" cm="1">
        <f t="array" aca="1" ref="R25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45916.567500000012</v>
      </c>
      <c r="S25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45936.678194444481</v>
      </c>
      <c r="T25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45936.691111111148</v>
      </c>
      <c r="U254" s="82">
        <f ca="1">--(Tabel3[[#This Row],[jour]]&lt;&gt;TRUNC(Tabel3[[#This Row],[fin]]))</f>
        <v>1</v>
      </c>
      <c r="V254" s="82">
        <f ca="1">IF(Tabel3[[#This Row],[Type]]="j0",0,--(TRUNC(Tabel3[[#This Row],[debut]])-TRUNC(Tabel3[[#This Row],[fin precedent]])&lt;Tabel3[[#This Row],[delai]]))</f>
        <v>0</v>
      </c>
      <c r="X254"/>
      <c r="Y254" s="75"/>
    </row>
    <row r="255" spans="12:25" ht="18" customHeight="1" x14ac:dyDescent="0.2">
      <c r="L255" s="78" t="s">
        <v>135</v>
      </c>
      <c r="M255" s="78" t="s">
        <v>142</v>
      </c>
      <c r="N255" s="78" t="s">
        <v>39</v>
      </c>
      <c r="O255" s="84">
        <v>45928</v>
      </c>
      <c r="P255" s="78">
        <v>24</v>
      </c>
      <c r="Q255" s="78">
        <f>INDEX($C$1:$I$1,MATCH(Tabel3[[#This Row],[Type]],Devoirs[[#Headers],[J0]:[J60]],0))</f>
        <v>4</v>
      </c>
      <c r="R255" s="85" cm="1">
        <f t="array" aca="1" ref="R25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45908.350000000006</v>
      </c>
      <c r="S25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45936.691111111148</v>
      </c>
      <c r="T25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45936.707777777818</v>
      </c>
      <c r="U255" s="82">
        <f ca="1">--(Tabel3[[#This Row],[jour]]&lt;&gt;TRUNC(Tabel3[[#This Row],[fin]]))</f>
        <v>1</v>
      </c>
      <c r="V255" s="82">
        <f ca="1">IF(Tabel3[[#This Row],[Type]]="j0",0,--(TRUNC(Tabel3[[#This Row],[debut]])-TRUNC(Tabel3[[#This Row],[fin precedent]])&lt;Tabel3[[#This Row],[delai]]))</f>
        <v>0</v>
      </c>
      <c r="X255"/>
      <c r="Y255" s="75"/>
    </row>
    <row r="256" spans="12:25" ht="18" customHeight="1" x14ac:dyDescent="0.2">
      <c r="L256" s="78" t="s">
        <v>74</v>
      </c>
      <c r="M256" s="78" t="s">
        <v>75</v>
      </c>
      <c r="N256" s="78" t="s">
        <v>39</v>
      </c>
      <c r="O256" s="84">
        <v>45928</v>
      </c>
      <c r="P256" s="78">
        <v>36</v>
      </c>
      <c r="Q256" s="78">
        <f>INDEX($C$1:$I$1,MATCH(Tabel3[[#This Row],[Type]],Devoirs[[#Headers],[J0]:[J60]],0))</f>
        <v>4</v>
      </c>
      <c r="R256" s="85" cm="1">
        <f t="array" aca="1" ref="R25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45916.567500000012</v>
      </c>
      <c r="S25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45936.707777777818</v>
      </c>
      <c r="T25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45936.732777777819</v>
      </c>
      <c r="U256" s="82">
        <f ca="1">--(Tabel3[[#This Row],[jour]]&lt;&gt;TRUNC(Tabel3[[#This Row],[fin]]))</f>
        <v>1</v>
      </c>
      <c r="V256" s="82">
        <f ca="1">IF(Tabel3[[#This Row],[Type]]="j0",0,--(TRUNC(Tabel3[[#This Row],[debut]])-TRUNC(Tabel3[[#This Row],[fin precedent]])&lt;Tabel3[[#This Row],[delai]]))</f>
        <v>0</v>
      </c>
      <c r="X256"/>
      <c r="Y256" s="75"/>
    </row>
    <row r="257" spans="12:25" ht="18" customHeight="1" x14ac:dyDescent="0.2">
      <c r="L257" s="78" t="s">
        <v>51</v>
      </c>
      <c r="M257" s="78" t="s">
        <v>57</v>
      </c>
      <c r="N257" s="78" t="s">
        <v>39</v>
      </c>
      <c r="O257" s="84">
        <v>45928</v>
      </c>
      <c r="P257" s="78">
        <v>43.8</v>
      </c>
      <c r="Q257" s="78">
        <f>INDEX($C$1:$I$1,MATCH(Tabel3[[#This Row],[Type]],Devoirs[[#Headers],[J0]:[J60]],0))</f>
        <v>4</v>
      </c>
      <c r="R257" s="85" cm="1">
        <f t="array" aca="1" ref="R25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45908.415937500009</v>
      </c>
      <c r="S25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45936.732777777819</v>
      </c>
      <c r="T25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45937.346527777823</v>
      </c>
      <c r="U257" s="82">
        <f ca="1">--(Tabel3[[#This Row],[jour]]&lt;&gt;TRUNC(Tabel3[[#This Row],[fin]]))</f>
        <v>1</v>
      </c>
      <c r="V257" s="82">
        <f ca="1">IF(Tabel3[[#This Row],[Type]]="j0",0,--(TRUNC(Tabel3[[#This Row],[debut]])-TRUNC(Tabel3[[#This Row],[fin precedent]])&lt;Tabel3[[#This Row],[delai]]))</f>
        <v>0</v>
      </c>
      <c r="X257"/>
      <c r="Y257" s="75"/>
    </row>
    <row r="258" spans="12:25" ht="18" customHeight="1" x14ac:dyDescent="0.2">
      <c r="L258" s="78" t="s">
        <v>64</v>
      </c>
      <c r="M258" s="78" t="s">
        <v>72</v>
      </c>
      <c r="N258" s="78" t="s">
        <v>39</v>
      </c>
      <c r="O258" s="84">
        <v>45928</v>
      </c>
      <c r="P258" s="78">
        <v>49.199999999999996</v>
      </c>
      <c r="Q258" s="78">
        <f>INDEX($C$1:$I$1,MATCH(Tabel3[[#This Row],[Type]],Devoirs[[#Headers],[J0]:[J60]],0))</f>
        <v>4</v>
      </c>
      <c r="R258" s="85" cm="1">
        <f t="array" aca="1" ref="R25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45919.41250000002</v>
      </c>
      <c r="S25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45937.346527777823</v>
      </c>
      <c r="T25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45937.380694444488</v>
      </c>
      <c r="U258" s="82">
        <f ca="1">--(Tabel3[[#This Row],[jour]]&lt;&gt;TRUNC(Tabel3[[#This Row],[fin]]))</f>
        <v>1</v>
      </c>
      <c r="V258" s="82">
        <f ca="1">IF(Tabel3[[#This Row],[Type]]="j0",0,--(TRUNC(Tabel3[[#This Row],[debut]])-TRUNC(Tabel3[[#This Row],[fin precedent]])&lt;Tabel3[[#This Row],[delai]]))</f>
        <v>0</v>
      </c>
      <c r="X258"/>
      <c r="Y258" s="75"/>
    </row>
    <row r="259" spans="12:25" ht="18" customHeight="1" x14ac:dyDescent="0.2">
      <c r="L259" s="78" t="s">
        <v>85</v>
      </c>
      <c r="M259" s="78" t="s">
        <v>92</v>
      </c>
      <c r="N259" s="78" t="s">
        <v>39</v>
      </c>
      <c r="O259" s="84">
        <v>45928</v>
      </c>
      <c r="P259" s="78">
        <v>59.4</v>
      </c>
      <c r="Q259" s="78">
        <f>INDEX($C$1:$I$1,MATCH(Tabel3[[#This Row],[Type]],Devoirs[[#Headers],[J0]:[J60]],0))</f>
        <v>4</v>
      </c>
      <c r="R259" s="85" cm="1">
        <f t="array" aca="1" ref="R25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45908.563854166678</v>
      </c>
      <c r="S25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45937.380694444488</v>
      </c>
      <c r="T25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45937.42194444449</v>
      </c>
      <c r="U259" s="82">
        <f ca="1">--(Tabel3[[#This Row],[jour]]&lt;&gt;TRUNC(Tabel3[[#This Row],[fin]]))</f>
        <v>1</v>
      </c>
      <c r="V259" s="82">
        <f ca="1">IF(Tabel3[[#This Row],[Type]]="j0",0,--(TRUNC(Tabel3[[#This Row],[debut]])-TRUNC(Tabel3[[#This Row],[fin precedent]])&lt;Tabel3[[#This Row],[delai]]))</f>
        <v>0</v>
      </c>
      <c r="X259"/>
      <c r="Y259" s="75"/>
    </row>
    <row r="260" spans="12:25" ht="18" customHeight="1" x14ac:dyDescent="0.2">
      <c r="L260" s="78" t="s">
        <v>125</v>
      </c>
      <c r="M260" s="78" t="s">
        <v>127</v>
      </c>
      <c r="N260" s="78" t="s">
        <v>39</v>
      </c>
      <c r="O260" s="84">
        <v>45928</v>
      </c>
      <c r="P260" s="78">
        <v>64.2</v>
      </c>
      <c r="Q260" s="78">
        <f>INDEX($C$1:$I$1,MATCH(Tabel3[[#This Row],[Type]],Devoirs[[#Headers],[J0]:[J60]],0))</f>
        <v>4</v>
      </c>
      <c r="R260" s="85" cm="1">
        <f t="array" aca="1" ref="R26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45915.409895833334</v>
      </c>
      <c r="S26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45937.42194444449</v>
      </c>
      <c r="T26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45937.466527777826</v>
      </c>
      <c r="U260" s="82">
        <f ca="1">--(Tabel3[[#This Row],[jour]]&lt;&gt;TRUNC(Tabel3[[#This Row],[fin]]))</f>
        <v>1</v>
      </c>
      <c r="V260" s="82">
        <f ca="1">IF(Tabel3[[#This Row],[Type]]="j0",0,--(TRUNC(Tabel3[[#This Row],[debut]])-TRUNC(Tabel3[[#This Row],[fin precedent]])&lt;Tabel3[[#This Row],[delai]]))</f>
        <v>0</v>
      </c>
      <c r="X260"/>
      <c r="Y260" s="75"/>
    </row>
    <row r="261" spans="12:25" ht="18" customHeight="1" x14ac:dyDescent="0.2">
      <c r="L261" s="78" t="s">
        <v>85</v>
      </c>
      <c r="M261" s="78" t="s">
        <v>86</v>
      </c>
      <c r="N261" s="78" t="s">
        <v>39</v>
      </c>
      <c r="O261" s="84">
        <v>45928</v>
      </c>
      <c r="P261" s="78">
        <v>66</v>
      </c>
      <c r="Q261" s="78">
        <f>INDEX($C$1:$I$1,MATCH(Tabel3[[#This Row],[Type]],Devoirs[[#Headers],[J0]:[J60]],0))</f>
        <v>4</v>
      </c>
      <c r="R261" s="85" cm="1">
        <f t="array" aca="1" ref="R26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45908.563854166678</v>
      </c>
      <c r="S26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45937.466527777826</v>
      </c>
      <c r="T26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45937.512361111156</v>
      </c>
      <c r="U261" s="82">
        <f ca="1">--(Tabel3[[#This Row],[jour]]&lt;&gt;TRUNC(Tabel3[[#This Row],[fin]]))</f>
        <v>1</v>
      </c>
      <c r="V261" s="82">
        <f ca="1">IF(Tabel3[[#This Row],[Type]]="j0",0,--(TRUNC(Tabel3[[#This Row],[debut]])-TRUNC(Tabel3[[#This Row],[fin precedent]])&lt;Tabel3[[#This Row],[delai]]))</f>
        <v>0</v>
      </c>
      <c r="X261"/>
      <c r="Y261" s="75"/>
    </row>
    <row r="262" spans="12:25" ht="18" customHeight="1" x14ac:dyDescent="0.2">
      <c r="L262" s="78" t="s">
        <v>135</v>
      </c>
      <c r="M262" s="78" t="s">
        <v>136</v>
      </c>
      <c r="N262" s="78" t="s">
        <v>38</v>
      </c>
      <c r="O262" s="84">
        <v>45929</v>
      </c>
      <c r="P262" s="78">
        <v>43.5</v>
      </c>
      <c r="Q262" s="78">
        <f>INDEX($C$1:$I$1,MATCH(Tabel3[[#This Row],[Type]],Devoirs[[#Headers],[J0]:[J60]],0))</f>
        <v>4</v>
      </c>
      <c r="R262" s="85" cm="1">
        <f t="array" aca="1" ref="R26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45903.353333333333</v>
      </c>
      <c r="S26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45937.512361111156</v>
      </c>
      <c r="T26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45937.542569444486</v>
      </c>
      <c r="U262" s="82">
        <f ca="1">--(Tabel3[[#This Row],[jour]]&lt;&gt;TRUNC(Tabel3[[#This Row],[fin]]))</f>
        <v>1</v>
      </c>
      <c r="V262" s="82">
        <f ca="1">IF(Tabel3[[#This Row],[Type]]="j0",0,--(TRUNC(Tabel3[[#This Row],[debut]])-TRUNC(Tabel3[[#This Row],[fin precedent]])&lt;Tabel3[[#This Row],[delai]]))</f>
        <v>0</v>
      </c>
      <c r="X262"/>
      <c r="Y262" s="75"/>
    </row>
    <row r="263" spans="12:25" ht="18" customHeight="1" x14ac:dyDescent="0.2">
      <c r="L263" s="78" t="s">
        <v>85</v>
      </c>
      <c r="M263" s="78" t="s">
        <v>93</v>
      </c>
      <c r="N263" s="78" t="s">
        <v>38</v>
      </c>
      <c r="O263" s="84">
        <v>45929</v>
      </c>
      <c r="P263" s="78">
        <v>58.5</v>
      </c>
      <c r="Q263" s="78">
        <f>INDEX($C$1:$I$1,MATCH(Tabel3[[#This Row],[Type]],Devoirs[[#Headers],[J0]:[J60]],0))</f>
        <v>4</v>
      </c>
      <c r="R263" s="85" cm="1">
        <f t="array" aca="1" ref="R26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45904.542708333342</v>
      </c>
      <c r="S26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45937.542569444486</v>
      </c>
      <c r="T26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45937.583194444487</v>
      </c>
      <c r="U263" s="82">
        <f ca="1">--(Tabel3[[#This Row],[jour]]&lt;&gt;TRUNC(Tabel3[[#This Row],[fin]]))</f>
        <v>1</v>
      </c>
      <c r="V263" s="82">
        <f ca="1">IF(Tabel3[[#This Row],[Type]]="j0",0,--(TRUNC(Tabel3[[#This Row],[debut]])-TRUNC(Tabel3[[#This Row],[fin precedent]])&lt;Tabel3[[#This Row],[delai]]))</f>
        <v>0</v>
      </c>
      <c r="X263"/>
      <c r="Y263" s="75"/>
    </row>
    <row r="264" spans="12:25" ht="18" customHeight="1" x14ac:dyDescent="0.2">
      <c r="L264" s="78" t="s">
        <v>43</v>
      </c>
      <c r="M264" s="78" t="s">
        <v>45</v>
      </c>
      <c r="N264" s="78" t="s">
        <v>38</v>
      </c>
      <c r="O264" s="84">
        <v>45929</v>
      </c>
      <c r="P264" s="78">
        <v>61.5</v>
      </c>
      <c r="Q264" s="78">
        <f>INDEX($C$1:$I$1,MATCH(Tabel3[[#This Row],[Type]],Devoirs[[#Headers],[J0]:[J60]],0))</f>
        <v>4</v>
      </c>
      <c r="R264" s="85" cm="1">
        <f t="array" aca="1" ref="R26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45917.618437500016</v>
      </c>
      <c r="S26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45937.583194444487</v>
      </c>
      <c r="T26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45937.625902777821</v>
      </c>
      <c r="U264" s="82">
        <f ca="1">--(Tabel3[[#This Row],[jour]]&lt;&gt;TRUNC(Tabel3[[#This Row],[fin]]))</f>
        <v>1</v>
      </c>
      <c r="V264" s="82">
        <f ca="1">IF(Tabel3[[#This Row],[Type]]="j0",0,--(TRUNC(Tabel3[[#This Row],[debut]])-TRUNC(Tabel3[[#This Row],[fin precedent]])&lt;Tabel3[[#This Row],[delai]]))</f>
        <v>0</v>
      </c>
      <c r="X264"/>
      <c r="Y264" s="75"/>
    </row>
    <row r="265" spans="12:25" ht="18" customHeight="1" x14ac:dyDescent="0.2">
      <c r="L265" s="78" t="s">
        <v>125</v>
      </c>
      <c r="M265" s="78" t="s">
        <v>134</v>
      </c>
      <c r="N265" s="78" t="s">
        <v>38</v>
      </c>
      <c r="O265" s="84">
        <v>45929</v>
      </c>
      <c r="P265" s="78">
        <v>76.5</v>
      </c>
      <c r="Q265" s="78">
        <f>INDEX($C$1:$I$1,MATCH(Tabel3[[#This Row],[Type]],Devoirs[[#Headers],[J0]:[J60]],0))</f>
        <v>4</v>
      </c>
      <c r="R265" s="85" cm="1">
        <f t="array" aca="1" ref="R26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45910.591319444466</v>
      </c>
      <c r="S26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45937.625902777821</v>
      </c>
      <c r="T26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45937.67902777782</v>
      </c>
      <c r="U265" s="82">
        <f ca="1">--(Tabel3[[#This Row],[jour]]&lt;&gt;TRUNC(Tabel3[[#This Row],[fin]]))</f>
        <v>1</v>
      </c>
      <c r="V265" s="82">
        <f ca="1">IF(Tabel3[[#This Row],[Type]]="j0",0,--(TRUNC(Tabel3[[#This Row],[debut]])-TRUNC(Tabel3[[#This Row],[fin precedent]])&lt;Tabel3[[#This Row],[delai]]))</f>
        <v>0</v>
      </c>
      <c r="X265"/>
      <c r="Y265" s="75"/>
    </row>
    <row r="266" spans="12:25" ht="18" customHeight="1" x14ac:dyDescent="0.2">
      <c r="L266" s="78" t="s">
        <v>43</v>
      </c>
      <c r="M266" s="78" t="s">
        <v>48</v>
      </c>
      <c r="N266" s="78" t="s">
        <v>39</v>
      </c>
      <c r="O266" s="84">
        <v>45929</v>
      </c>
      <c r="P266" s="78">
        <v>19.2</v>
      </c>
      <c r="Q266" s="78">
        <f>INDEX($C$1:$I$1,MATCH(Tabel3[[#This Row],[Type]],Devoirs[[#Headers],[J0]:[J60]],0))</f>
        <v>4</v>
      </c>
      <c r="R266" s="85" cm="1">
        <f t="array" aca="1" ref="R26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45924.734861111123</v>
      </c>
      <c r="S26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45937.67902777782</v>
      </c>
      <c r="T26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45937.692361111156</v>
      </c>
      <c r="U266" s="82">
        <f ca="1">--(Tabel3[[#This Row],[jour]]&lt;&gt;TRUNC(Tabel3[[#This Row],[fin]]))</f>
        <v>1</v>
      </c>
      <c r="V266" s="82">
        <f ca="1">IF(Tabel3[[#This Row],[Type]]="j0",0,--(TRUNC(Tabel3[[#This Row],[debut]])-TRUNC(Tabel3[[#This Row],[fin precedent]])&lt;Tabel3[[#This Row],[delai]]))</f>
        <v>0</v>
      </c>
      <c r="X266"/>
      <c r="Y266" s="75"/>
    </row>
    <row r="267" spans="12:25" ht="18" customHeight="1" x14ac:dyDescent="0.2">
      <c r="L267" s="78" t="s">
        <v>51</v>
      </c>
      <c r="M267" s="78" t="s">
        <v>58</v>
      </c>
      <c r="N267" s="78" t="s">
        <v>39</v>
      </c>
      <c r="O267" s="84">
        <v>45929</v>
      </c>
      <c r="P267" s="78">
        <v>33.6</v>
      </c>
      <c r="Q267" s="78">
        <f>INDEX($C$1:$I$1,MATCH(Tabel3[[#This Row],[Type]],Devoirs[[#Headers],[J0]:[J60]],0))</f>
        <v>4</v>
      </c>
      <c r="R267" s="85" cm="1">
        <f t="array" aca="1" ref="R26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45908.415937500009</v>
      </c>
      <c r="S26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45937.692361111156</v>
      </c>
      <c r="T26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45937.715694444487</v>
      </c>
      <c r="U267" s="82">
        <f ca="1">--(Tabel3[[#This Row],[jour]]&lt;&gt;TRUNC(Tabel3[[#This Row],[fin]]))</f>
        <v>1</v>
      </c>
      <c r="V267" s="82">
        <f ca="1">IF(Tabel3[[#This Row],[Type]]="j0",0,--(TRUNC(Tabel3[[#This Row],[debut]])-TRUNC(Tabel3[[#This Row],[fin precedent]])&lt;Tabel3[[#This Row],[delai]]))</f>
        <v>0</v>
      </c>
      <c r="X267"/>
      <c r="Y267" s="75"/>
    </row>
    <row r="268" spans="12:25" ht="18" customHeight="1" x14ac:dyDescent="0.2">
      <c r="L268" s="78" t="s">
        <v>125</v>
      </c>
      <c r="M268" s="78" t="s">
        <v>131</v>
      </c>
      <c r="N268" s="78" t="s">
        <v>39</v>
      </c>
      <c r="O268" s="84">
        <v>45929</v>
      </c>
      <c r="P268" s="78">
        <v>33.6</v>
      </c>
      <c r="Q268" s="78">
        <f>INDEX($C$1:$I$1,MATCH(Tabel3[[#This Row],[Type]],Devoirs[[#Headers],[J0]:[J60]],0))</f>
        <v>4</v>
      </c>
      <c r="R268" s="85" cm="1">
        <f t="array" aca="1" ref="R26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45915.409895833334</v>
      </c>
      <c r="S26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45937.715694444487</v>
      </c>
      <c r="T26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45937.739027777818</v>
      </c>
      <c r="U268" s="82">
        <f ca="1">--(Tabel3[[#This Row],[jour]]&lt;&gt;TRUNC(Tabel3[[#This Row],[fin]]))</f>
        <v>1</v>
      </c>
      <c r="V268" s="82">
        <f ca="1">IF(Tabel3[[#This Row],[Type]]="j0",0,--(TRUNC(Tabel3[[#This Row],[debut]])-TRUNC(Tabel3[[#This Row],[fin precedent]])&lt;Tabel3[[#This Row],[delai]]))</f>
        <v>0</v>
      </c>
      <c r="X268"/>
      <c r="Y268" s="75"/>
    </row>
    <row r="269" spans="12:25" ht="18" customHeight="1" x14ac:dyDescent="0.2">
      <c r="L269" s="78" t="s">
        <v>51</v>
      </c>
      <c r="M269" s="78" t="s">
        <v>52</v>
      </c>
      <c r="N269" s="78" t="s">
        <v>39</v>
      </c>
      <c r="O269" s="84">
        <v>45929</v>
      </c>
      <c r="P269" s="78">
        <v>61.199999999999996</v>
      </c>
      <c r="Q269" s="78">
        <f>INDEX($C$1:$I$1,MATCH(Tabel3[[#This Row],[Type]],Devoirs[[#Headers],[J0]:[J60]],0))</f>
        <v>4</v>
      </c>
      <c r="R269" s="85" cm="1">
        <f t="array" aca="1" ref="R26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45908.415937500009</v>
      </c>
      <c r="S26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45937.739027777818</v>
      </c>
      <c r="T26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45938.364861111157</v>
      </c>
      <c r="U269" s="82">
        <f ca="1">--(Tabel3[[#This Row],[jour]]&lt;&gt;TRUNC(Tabel3[[#This Row],[fin]]))</f>
        <v>1</v>
      </c>
      <c r="V269" s="82">
        <f ca="1">IF(Tabel3[[#This Row],[Type]]="j0",0,--(TRUNC(Tabel3[[#This Row],[debut]])-TRUNC(Tabel3[[#This Row],[fin precedent]])&lt;Tabel3[[#This Row],[delai]]))</f>
        <v>0</v>
      </c>
      <c r="X269"/>
      <c r="Y269" s="75"/>
    </row>
    <row r="270" spans="12:25" ht="18" customHeight="1" x14ac:dyDescent="0.2">
      <c r="L270" s="78" t="s">
        <v>135</v>
      </c>
      <c r="M270" s="78" t="s">
        <v>158</v>
      </c>
      <c r="N270" s="78" t="s">
        <v>39</v>
      </c>
      <c r="O270" s="84">
        <v>45929</v>
      </c>
      <c r="P270" s="78">
        <v>62.4</v>
      </c>
      <c r="Q270" s="78">
        <f>INDEX($C$1:$I$1,MATCH(Tabel3[[#This Row],[Type]],Devoirs[[#Headers],[J0]:[J60]],0))</f>
        <v>4</v>
      </c>
      <c r="R270" s="85" cm="1">
        <f t="array" aca="1" ref="R27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45908.350000000006</v>
      </c>
      <c r="S27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45938.364861111157</v>
      </c>
      <c r="T27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45938.408194444492</v>
      </c>
      <c r="U270" s="82">
        <f ca="1">--(Tabel3[[#This Row],[jour]]&lt;&gt;TRUNC(Tabel3[[#This Row],[fin]]))</f>
        <v>1</v>
      </c>
      <c r="V270" s="82">
        <f ca="1">IF(Tabel3[[#This Row],[Type]]="j0",0,--(TRUNC(Tabel3[[#This Row],[debut]])-TRUNC(Tabel3[[#This Row],[fin precedent]])&lt;Tabel3[[#This Row],[delai]]))</f>
        <v>0</v>
      </c>
      <c r="X270"/>
      <c r="Y270" s="75"/>
    </row>
    <row r="271" spans="12:25" ht="18" customHeight="1" x14ac:dyDescent="0.2">
      <c r="L271" s="78" t="s">
        <v>104</v>
      </c>
      <c r="M271" s="78" t="s">
        <v>122</v>
      </c>
      <c r="N271" s="78" t="s">
        <v>1</v>
      </c>
      <c r="O271" s="84">
        <v>45929</v>
      </c>
      <c r="P271" s="78">
        <v>79</v>
      </c>
      <c r="Q271" s="78">
        <f>INDEX($C$1:$I$1,MATCH(Tabel3[[#This Row],[Type]],Devoirs[[#Headers],[J0]:[J60]],0))</f>
        <v>0</v>
      </c>
      <c r="R271" s="85" t="str" cm="1">
        <f t="array" ref="R271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27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45938.408194444492</v>
      </c>
      <c r="T27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45938.4630555556</v>
      </c>
      <c r="U271" s="82">
        <f ca="1">--(Tabel3[[#This Row],[jour]]&lt;&gt;TRUNC(Tabel3[[#This Row],[fin]]))</f>
        <v>1</v>
      </c>
      <c r="V271" s="82">
        <f>IF(Tabel3[[#This Row],[Type]]="j0",0,--(TRUNC(Tabel3[[#This Row],[debut]])-TRUNC(Tabel3[[#This Row],[fin precedent]])&lt;Tabel3[[#This Row],[delai]]))</f>
        <v>0</v>
      </c>
      <c r="X271"/>
      <c r="Y271" s="75"/>
    </row>
    <row r="272" spans="12:25" ht="18" customHeight="1" x14ac:dyDescent="0.2">
      <c r="L272" s="78" t="s">
        <v>74</v>
      </c>
      <c r="M272" s="78" t="s">
        <v>77</v>
      </c>
      <c r="N272" s="78" t="s">
        <v>1</v>
      </c>
      <c r="O272" s="84">
        <v>45929</v>
      </c>
      <c r="P272" s="78">
        <v>108</v>
      </c>
      <c r="Q272" s="78">
        <f>INDEX($C$1:$I$1,MATCH(Tabel3[[#This Row],[Type]],Devoirs[[#Headers],[J0]:[J60]],0))</f>
        <v>0</v>
      </c>
      <c r="R272" s="85" t="str" cm="1">
        <f t="array" ref="R272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27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45938.4630555556</v>
      </c>
      <c r="T27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45938.538055555597</v>
      </c>
      <c r="U272" s="82">
        <f ca="1">--(Tabel3[[#This Row],[jour]]&lt;&gt;TRUNC(Tabel3[[#This Row],[fin]]))</f>
        <v>1</v>
      </c>
      <c r="V272" s="82">
        <f>IF(Tabel3[[#This Row],[Type]]="j0",0,--(TRUNC(Tabel3[[#This Row],[debut]])-TRUNC(Tabel3[[#This Row],[fin precedent]])&lt;Tabel3[[#This Row],[delai]]))</f>
        <v>0</v>
      </c>
      <c r="X272"/>
      <c r="Y272" s="75"/>
    </row>
    <row r="273" spans="12:25" ht="18" customHeight="1" x14ac:dyDescent="0.2">
      <c r="L273" s="78" t="s">
        <v>74</v>
      </c>
      <c r="M273" s="78" t="s">
        <v>84</v>
      </c>
      <c r="N273" s="78" t="s">
        <v>38</v>
      </c>
      <c r="O273" s="84">
        <v>45930</v>
      </c>
      <c r="P273" s="78">
        <v>30</v>
      </c>
      <c r="Q273" s="78">
        <f>INDEX($C$1:$I$1,MATCH(Tabel3[[#This Row],[Type]],Devoirs[[#Headers],[J0]:[J60]],0))</f>
        <v>4</v>
      </c>
      <c r="R273" s="85" cm="1">
        <f t="array" aca="1" ref="R27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45911.6805902778</v>
      </c>
      <c r="S27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45938.538055555597</v>
      </c>
      <c r="T27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45938.558888888932</v>
      </c>
      <c r="U273" s="82">
        <f ca="1">--(Tabel3[[#This Row],[jour]]&lt;&gt;TRUNC(Tabel3[[#This Row],[fin]]))</f>
        <v>1</v>
      </c>
      <c r="V273" s="82">
        <f ca="1">IF(Tabel3[[#This Row],[Type]]="j0",0,--(TRUNC(Tabel3[[#This Row],[debut]])-TRUNC(Tabel3[[#This Row],[fin precedent]])&lt;Tabel3[[#This Row],[delai]]))</f>
        <v>0</v>
      </c>
      <c r="X273"/>
      <c r="Y273" s="75"/>
    </row>
    <row r="274" spans="12:25" ht="18" customHeight="1" x14ac:dyDescent="0.2">
      <c r="L274" s="78" t="s">
        <v>64</v>
      </c>
      <c r="M274" s="78" t="s">
        <v>68</v>
      </c>
      <c r="N274" s="78" t="s">
        <v>38</v>
      </c>
      <c r="O274" s="84">
        <v>45930</v>
      </c>
      <c r="P274" s="78">
        <v>45</v>
      </c>
      <c r="Q274" s="78">
        <f>INDEX($C$1:$I$1,MATCH(Tabel3[[#This Row],[Type]],Devoirs[[#Headers],[J0]:[J60]],0))</f>
        <v>4</v>
      </c>
      <c r="R274" s="85" cm="1">
        <f t="array" aca="1" ref="R27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45916.416979166672</v>
      </c>
      <c r="S27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45938.558888888932</v>
      </c>
      <c r="T27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45938.590138888932</v>
      </c>
      <c r="U274" s="82">
        <f ca="1">--(Tabel3[[#This Row],[jour]]&lt;&gt;TRUNC(Tabel3[[#This Row],[fin]]))</f>
        <v>1</v>
      </c>
      <c r="V274" s="82">
        <f ca="1">IF(Tabel3[[#This Row],[Type]]="j0",0,--(TRUNC(Tabel3[[#This Row],[debut]])-TRUNC(Tabel3[[#This Row],[fin precedent]])&lt;Tabel3[[#This Row],[delai]]))</f>
        <v>0</v>
      </c>
      <c r="X274"/>
      <c r="Y274" s="75"/>
    </row>
    <row r="275" spans="12:25" ht="18" customHeight="1" x14ac:dyDescent="0.2">
      <c r="L275" s="78" t="s">
        <v>104</v>
      </c>
      <c r="M275" s="78" t="s">
        <v>121</v>
      </c>
      <c r="N275" s="78" t="s">
        <v>38</v>
      </c>
      <c r="O275" s="84">
        <v>45930</v>
      </c>
      <c r="P275" s="78">
        <v>51.75</v>
      </c>
      <c r="Q275" s="78">
        <f>INDEX($C$1:$I$1,MATCH(Tabel3[[#This Row],[Type]],Devoirs[[#Headers],[J0]:[J60]],0))</f>
        <v>4</v>
      </c>
      <c r="R275" s="85" cm="1">
        <f t="array" aca="1" ref="R27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45904.472083333341</v>
      </c>
      <c r="S27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45938.590138888932</v>
      </c>
      <c r="T27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45938.62607638893</v>
      </c>
      <c r="U275" s="82">
        <f ca="1">--(Tabel3[[#This Row],[jour]]&lt;&gt;TRUNC(Tabel3[[#This Row],[fin]]))</f>
        <v>1</v>
      </c>
      <c r="V275" s="82">
        <f ca="1">IF(Tabel3[[#This Row],[Type]]="j0",0,--(TRUNC(Tabel3[[#This Row],[debut]])-TRUNC(Tabel3[[#This Row],[fin precedent]])&lt;Tabel3[[#This Row],[delai]]))</f>
        <v>0</v>
      </c>
      <c r="X275"/>
      <c r="Y275" s="75"/>
    </row>
    <row r="276" spans="12:25" ht="18" customHeight="1" x14ac:dyDescent="0.2">
      <c r="L276" s="78" t="s">
        <v>104</v>
      </c>
      <c r="M276" s="78" t="s">
        <v>112</v>
      </c>
      <c r="N276" s="78" t="s">
        <v>38</v>
      </c>
      <c r="O276" s="84">
        <v>45930</v>
      </c>
      <c r="P276" s="78">
        <v>73.5</v>
      </c>
      <c r="Q276" s="78">
        <f>INDEX($C$1:$I$1,MATCH(Tabel3[[#This Row],[Type]],Devoirs[[#Headers],[J0]:[J60]],0))</f>
        <v>4</v>
      </c>
      <c r="R276" s="85" cm="1">
        <f t="array" aca="1" ref="R27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45904.472083333341</v>
      </c>
      <c r="S27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45938.62607638893</v>
      </c>
      <c r="T27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45938.677118055595</v>
      </c>
      <c r="U276" s="82">
        <f ca="1">--(Tabel3[[#This Row],[jour]]&lt;&gt;TRUNC(Tabel3[[#This Row],[fin]]))</f>
        <v>1</v>
      </c>
      <c r="V276" s="82">
        <f ca="1">IF(Tabel3[[#This Row],[Type]]="j0",0,--(TRUNC(Tabel3[[#This Row],[debut]])-TRUNC(Tabel3[[#This Row],[fin precedent]])&lt;Tabel3[[#This Row],[delai]]))</f>
        <v>0</v>
      </c>
      <c r="X276"/>
      <c r="Y276" s="75"/>
    </row>
    <row r="277" spans="12:25" ht="18" customHeight="1" x14ac:dyDescent="0.2">
      <c r="L277" s="78" t="s">
        <v>95</v>
      </c>
      <c r="M277" s="78" t="s">
        <v>100</v>
      </c>
      <c r="N277" s="78" t="s">
        <v>38</v>
      </c>
      <c r="O277" s="84">
        <v>45930</v>
      </c>
      <c r="P277" s="78">
        <v>75</v>
      </c>
      <c r="Q277" s="78">
        <f>INDEX($C$1:$I$1,MATCH(Tabel3[[#This Row],[Type]],Devoirs[[#Headers],[J0]:[J60]],0))</f>
        <v>4</v>
      </c>
      <c r="R277" s="85" cm="1">
        <f t="array" aca="1" ref="R27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45915.721770833334</v>
      </c>
      <c r="S27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45938.677118055595</v>
      </c>
      <c r="T27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45938.729201388931</v>
      </c>
      <c r="U277" s="82">
        <f ca="1">--(Tabel3[[#This Row],[jour]]&lt;&gt;TRUNC(Tabel3[[#This Row],[fin]]))</f>
        <v>1</v>
      </c>
      <c r="V277" s="82">
        <f ca="1">IF(Tabel3[[#This Row],[Type]]="j0",0,--(TRUNC(Tabel3[[#This Row],[debut]])-TRUNC(Tabel3[[#This Row],[fin precedent]])&lt;Tabel3[[#This Row],[delai]]))</f>
        <v>0</v>
      </c>
      <c r="X277"/>
      <c r="Y277" s="75"/>
    </row>
    <row r="278" spans="12:25" ht="18" customHeight="1" x14ac:dyDescent="0.2">
      <c r="L278" s="78" t="s">
        <v>95</v>
      </c>
      <c r="M278" s="78" t="s">
        <v>101</v>
      </c>
      <c r="N278" s="78" t="s">
        <v>38</v>
      </c>
      <c r="O278" s="84">
        <v>45930</v>
      </c>
      <c r="P278" s="78">
        <v>75</v>
      </c>
      <c r="Q278" s="78">
        <f>INDEX($C$1:$I$1,MATCH(Tabel3[[#This Row],[Type]],Devoirs[[#Headers],[J0]:[J60]],0))</f>
        <v>4</v>
      </c>
      <c r="R278" s="85" cm="1">
        <f t="array" aca="1" ref="R27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45915.721770833334</v>
      </c>
      <c r="S27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45938.729201388931</v>
      </c>
      <c r="T27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45939.364618055602</v>
      </c>
      <c r="U278" s="82">
        <f ca="1">--(Tabel3[[#This Row],[jour]]&lt;&gt;TRUNC(Tabel3[[#This Row],[fin]]))</f>
        <v>1</v>
      </c>
      <c r="V278" s="82">
        <f ca="1">IF(Tabel3[[#This Row],[Type]]="j0",0,--(TRUNC(Tabel3[[#This Row],[debut]])-TRUNC(Tabel3[[#This Row],[fin precedent]])&lt;Tabel3[[#This Row],[delai]]))</f>
        <v>0</v>
      </c>
      <c r="X278"/>
      <c r="Y278" s="75"/>
    </row>
    <row r="279" spans="12:25" ht="18" customHeight="1" x14ac:dyDescent="0.2">
      <c r="L279" s="78" t="s">
        <v>104</v>
      </c>
      <c r="M279" s="78" t="s">
        <v>110</v>
      </c>
      <c r="N279" s="78" t="s">
        <v>38</v>
      </c>
      <c r="O279" s="84">
        <v>45930</v>
      </c>
      <c r="P279" s="78">
        <v>75</v>
      </c>
      <c r="Q279" s="78">
        <f>INDEX($C$1:$I$1,MATCH(Tabel3[[#This Row],[Type]],Devoirs[[#Headers],[J0]:[J60]],0))</f>
        <v>4</v>
      </c>
      <c r="R279" s="85" cm="1">
        <f t="array" aca="1" ref="R27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45904.472083333341</v>
      </c>
      <c r="S27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45939.364618055602</v>
      </c>
      <c r="T27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45939.416701388938</v>
      </c>
      <c r="U279" s="82">
        <f ca="1">--(Tabel3[[#This Row],[jour]]&lt;&gt;TRUNC(Tabel3[[#This Row],[fin]]))</f>
        <v>1</v>
      </c>
      <c r="V279" s="82">
        <f ca="1">IF(Tabel3[[#This Row],[Type]]="j0",0,--(TRUNC(Tabel3[[#This Row],[debut]])-TRUNC(Tabel3[[#This Row],[fin precedent]])&lt;Tabel3[[#This Row],[delai]]))</f>
        <v>0</v>
      </c>
      <c r="X279"/>
      <c r="Y279" s="75"/>
    </row>
    <row r="280" spans="12:25" ht="18" customHeight="1" x14ac:dyDescent="0.2">
      <c r="L280" s="78" t="s">
        <v>43</v>
      </c>
      <c r="M280" s="78" t="s">
        <v>44</v>
      </c>
      <c r="N280" s="78" t="s">
        <v>40</v>
      </c>
      <c r="O280" s="84">
        <v>45930</v>
      </c>
      <c r="P280" s="78">
        <v>43.2</v>
      </c>
      <c r="Q280" s="78">
        <f>INDEX($C$1:$I$1,MATCH(Tabel3[[#This Row],[Type]],Devoirs[[#Headers],[J0]:[J60]],0))</f>
        <v>5</v>
      </c>
      <c r="R280" s="85" cm="1">
        <f t="array" aca="1" ref="R28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45932.585833333382</v>
      </c>
      <c r="S28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45939.416701388938</v>
      </c>
      <c r="T28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45939.446701388937</v>
      </c>
      <c r="U280" s="82">
        <f ca="1">--(Tabel3[[#This Row],[jour]]&lt;&gt;TRUNC(Tabel3[[#This Row],[fin]]))</f>
        <v>1</v>
      </c>
      <c r="V280" s="82">
        <f ca="1">IF(Tabel3[[#This Row],[Type]]="j0",0,--(TRUNC(Tabel3[[#This Row],[debut]])-TRUNC(Tabel3[[#This Row],[fin precedent]])&lt;Tabel3[[#This Row],[delai]]))</f>
        <v>0</v>
      </c>
      <c r="X280"/>
      <c r="Y280" s="75"/>
    </row>
    <row r="281" spans="12:25" ht="18" customHeight="1" x14ac:dyDescent="0.2">
      <c r="L281" s="78" t="s">
        <v>104</v>
      </c>
      <c r="M281" s="78" t="s">
        <v>108</v>
      </c>
      <c r="N281" s="78" t="s">
        <v>40</v>
      </c>
      <c r="O281" s="84">
        <v>45930</v>
      </c>
      <c r="P281" s="78">
        <v>50.85</v>
      </c>
      <c r="Q281" s="78">
        <f>INDEX($C$1:$I$1,MATCH(Tabel3[[#This Row],[Type]],Devoirs[[#Headers],[J0]:[J60]],0))</f>
        <v>5</v>
      </c>
      <c r="R281" s="85" cm="1">
        <f t="array" aca="1" ref="R28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45912.451006944459</v>
      </c>
      <c r="S28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45939.446701388937</v>
      </c>
      <c r="T28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45939.482013888934</v>
      </c>
      <c r="U281" s="82">
        <f ca="1">--(Tabel3[[#This Row],[jour]]&lt;&gt;TRUNC(Tabel3[[#This Row],[fin]]))</f>
        <v>1</v>
      </c>
      <c r="V281" s="82">
        <f ca="1">IF(Tabel3[[#This Row],[Type]]="j0",0,--(TRUNC(Tabel3[[#This Row],[debut]])-TRUNC(Tabel3[[#This Row],[fin precedent]])&lt;Tabel3[[#This Row],[delai]]))</f>
        <v>0</v>
      </c>
      <c r="X281"/>
      <c r="Y281" s="75"/>
    </row>
    <row r="282" spans="12:25" ht="18" customHeight="1" x14ac:dyDescent="0.2">
      <c r="L282" s="78" t="s">
        <v>43</v>
      </c>
      <c r="M282" s="78" t="s">
        <v>47</v>
      </c>
      <c r="N282" s="78" t="s">
        <v>1</v>
      </c>
      <c r="O282" s="84">
        <v>45930</v>
      </c>
      <c r="P282" s="78">
        <v>59</v>
      </c>
      <c r="Q282" s="78">
        <f>INDEX($C$1:$I$1,MATCH(Tabel3[[#This Row],[Type]],Devoirs[[#Headers],[J0]:[J60]],0))</f>
        <v>0</v>
      </c>
      <c r="R282" s="85" t="str" cm="1">
        <f t="array" ref="R282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28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45939.482013888934</v>
      </c>
      <c r="T28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45939.522986111158</v>
      </c>
      <c r="U282" s="82">
        <f ca="1">--(Tabel3[[#This Row],[jour]]&lt;&gt;TRUNC(Tabel3[[#This Row],[fin]]))</f>
        <v>1</v>
      </c>
      <c r="V282" s="82">
        <f>IF(Tabel3[[#This Row],[Type]]="j0",0,--(TRUNC(Tabel3[[#This Row],[debut]])-TRUNC(Tabel3[[#This Row],[fin precedent]])&lt;Tabel3[[#This Row],[delai]]))</f>
        <v>0</v>
      </c>
      <c r="X282"/>
      <c r="Y282" s="75"/>
    </row>
    <row r="283" spans="12:25" ht="18" customHeight="1" x14ac:dyDescent="0.2">
      <c r="L283" s="78" t="s">
        <v>74</v>
      </c>
      <c r="M283" s="78" t="s">
        <v>76</v>
      </c>
      <c r="N283" s="78" t="s">
        <v>1</v>
      </c>
      <c r="O283" s="84">
        <v>45930</v>
      </c>
      <c r="P283" s="78">
        <v>114</v>
      </c>
      <c r="Q283" s="78">
        <f>INDEX($C$1:$I$1,MATCH(Tabel3[[#This Row],[Type]],Devoirs[[#Headers],[J0]:[J60]],0))</f>
        <v>0</v>
      </c>
      <c r="R283" s="85" t="str" cm="1">
        <f t="array" ref="R283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28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45939.522986111158</v>
      </c>
      <c r="T28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45939.602152777828</v>
      </c>
      <c r="U283" s="82">
        <f ca="1">--(Tabel3[[#This Row],[jour]]&lt;&gt;TRUNC(Tabel3[[#This Row],[fin]]))</f>
        <v>1</v>
      </c>
      <c r="V283" s="82">
        <f>IF(Tabel3[[#This Row],[Type]]="j0",0,--(TRUNC(Tabel3[[#This Row],[debut]])-TRUNC(Tabel3[[#This Row],[fin precedent]])&lt;Tabel3[[#This Row],[delai]]))</f>
        <v>0</v>
      </c>
      <c r="X283"/>
      <c r="Y283" s="75"/>
    </row>
    <row r="284" spans="12:25" ht="18" customHeight="1" x14ac:dyDescent="0.2">
      <c r="L284" s="78" t="s">
        <v>43</v>
      </c>
      <c r="M284" s="78" t="s">
        <v>49</v>
      </c>
      <c r="N284" s="78" t="s">
        <v>1</v>
      </c>
      <c r="O284" s="84">
        <v>45930</v>
      </c>
      <c r="P284" s="78">
        <v>118</v>
      </c>
      <c r="Q284" s="78">
        <f>INDEX($C$1:$I$1,MATCH(Tabel3[[#This Row],[Type]],Devoirs[[#Headers],[J0]:[J60]],0))</f>
        <v>0</v>
      </c>
      <c r="R284" s="85" t="str" cm="1">
        <f t="array" ref="R284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28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45939.602152777828</v>
      </c>
      <c r="T28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45939.684097222271</v>
      </c>
      <c r="U284" s="82">
        <f ca="1">--(Tabel3[[#This Row],[jour]]&lt;&gt;TRUNC(Tabel3[[#This Row],[fin]]))</f>
        <v>1</v>
      </c>
      <c r="V284" s="82">
        <f>IF(Tabel3[[#This Row],[Type]]="j0",0,--(TRUNC(Tabel3[[#This Row],[debut]])-TRUNC(Tabel3[[#This Row],[fin precedent]])&lt;Tabel3[[#This Row],[delai]]))</f>
        <v>0</v>
      </c>
      <c r="X284"/>
      <c r="Y284" s="75"/>
    </row>
    <row r="285" spans="12:25" ht="18" customHeight="1" x14ac:dyDescent="0.2">
      <c r="L285" s="78" t="s">
        <v>104</v>
      </c>
      <c r="M285" s="78" t="s">
        <v>119</v>
      </c>
      <c r="N285" s="78" t="s">
        <v>38</v>
      </c>
      <c r="O285" s="84">
        <v>45931</v>
      </c>
      <c r="P285" s="78">
        <v>25.5</v>
      </c>
      <c r="Q285" s="78">
        <f>INDEX($C$1:$I$1,MATCH(Tabel3[[#This Row],[Type]],Devoirs[[#Headers],[J0]:[J60]],0))</f>
        <v>4</v>
      </c>
      <c r="R285" s="85" cm="1">
        <f t="array" aca="1" ref="R28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45904.472083333341</v>
      </c>
      <c r="S28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45939.684097222271</v>
      </c>
      <c r="T28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45939.701805555604</v>
      </c>
      <c r="U285" s="82">
        <f ca="1">--(Tabel3[[#This Row],[jour]]&lt;&gt;TRUNC(Tabel3[[#This Row],[fin]]))</f>
        <v>1</v>
      </c>
      <c r="V285" s="82">
        <f ca="1">IF(Tabel3[[#This Row],[Type]]="j0",0,--(TRUNC(Tabel3[[#This Row],[debut]])-TRUNC(Tabel3[[#This Row],[fin precedent]])&lt;Tabel3[[#This Row],[delai]]))</f>
        <v>0</v>
      </c>
      <c r="X285"/>
      <c r="Y285" s="75"/>
    </row>
    <row r="286" spans="12:25" ht="18" customHeight="1" x14ac:dyDescent="0.2">
      <c r="L286" s="78" t="s">
        <v>85</v>
      </c>
      <c r="M286" s="78" t="s">
        <v>87</v>
      </c>
      <c r="N286" s="78" t="s">
        <v>38</v>
      </c>
      <c r="O286" s="84">
        <v>45931</v>
      </c>
      <c r="P286" s="78">
        <v>27</v>
      </c>
      <c r="Q286" s="78">
        <f>INDEX($C$1:$I$1,MATCH(Tabel3[[#This Row],[Type]],Devoirs[[#Headers],[J0]:[J60]],0))</f>
        <v>4</v>
      </c>
      <c r="R286" s="85" cm="1">
        <f t="array" aca="1" ref="R28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45904.542708333342</v>
      </c>
      <c r="S28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45939.701805555604</v>
      </c>
      <c r="T28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45939.720555555607</v>
      </c>
      <c r="U286" s="82">
        <f ca="1">--(Tabel3[[#This Row],[jour]]&lt;&gt;TRUNC(Tabel3[[#This Row],[fin]]))</f>
        <v>1</v>
      </c>
      <c r="V286" s="82">
        <f ca="1">IF(Tabel3[[#This Row],[Type]]="j0",0,--(TRUNC(Tabel3[[#This Row],[debut]])-TRUNC(Tabel3[[#This Row],[fin precedent]])&lt;Tabel3[[#This Row],[delai]]))</f>
        <v>0</v>
      </c>
      <c r="X286"/>
      <c r="Y286" s="75"/>
    </row>
    <row r="287" spans="12:25" ht="18" customHeight="1" x14ac:dyDescent="0.2">
      <c r="L287" s="78" t="s">
        <v>85</v>
      </c>
      <c r="M287" s="78" t="s">
        <v>94</v>
      </c>
      <c r="N287" s="78" t="s">
        <v>38</v>
      </c>
      <c r="O287" s="84">
        <v>45931</v>
      </c>
      <c r="P287" s="78">
        <v>52.5</v>
      </c>
      <c r="Q287" s="78">
        <f>INDEX($C$1:$I$1,MATCH(Tabel3[[#This Row],[Type]],Devoirs[[#Headers],[J0]:[J60]],0))</f>
        <v>4</v>
      </c>
      <c r="R287" s="85" cm="1">
        <f t="array" aca="1" ref="R28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45904.542708333342</v>
      </c>
      <c r="S28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45939.720555555607</v>
      </c>
      <c r="T28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45940.340347222278</v>
      </c>
      <c r="U287" s="82">
        <f ca="1">--(Tabel3[[#This Row],[jour]]&lt;&gt;TRUNC(Tabel3[[#This Row],[fin]]))</f>
        <v>1</v>
      </c>
      <c r="V287" s="82">
        <f ca="1">IF(Tabel3[[#This Row],[Type]]="j0",0,--(TRUNC(Tabel3[[#This Row],[debut]])-TRUNC(Tabel3[[#This Row],[fin precedent]])&lt;Tabel3[[#This Row],[delai]]))</f>
        <v>0</v>
      </c>
      <c r="X287"/>
      <c r="Y287" s="75"/>
    </row>
    <row r="288" spans="12:25" ht="18" customHeight="1" x14ac:dyDescent="0.2">
      <c r="L288" s="78" t="s">
        <v>43</v>
      </c>
      <c r="M288" s="78" t="s">
        <v>46</v>
      </c>
      <c r="N288" s="78" t="s">
        <v>38</v>
      </c>
      <c r="O288" s="84">
        <v>45931</v>
      </c>
      <c r="P288" s="78">
        <v>57</v>
      </c>
      <c r="Q288" s="78">
        <f>INDEX($C$1:$I$1,MATCH(Tabel3[[#This Row],[Type]],Devoirs[[#Headers],[J0]:[J60]],0))</f>
        <v>4</v>
      </c>
      <c r="R288" s="85" cm="1">
        <f t="array" aca="1" ref="R28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45917.618437500016</v>
      </c>
      <c r="S28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45940.340347222278</v>
      </c>
      <c r="T28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45940.379930555609</v>
      </c>
      <c r="U288" s="82">
        <f ca="1">--(Tabel3[[#This Row],[jour]]&lt;&gt;TRUNC(Tabel3[[#This Row],[fin]]))</f>
        <v>1</v>
      </c>
      <c r="V288" s="82">
        <f ca="1">IF(Tabel3[[#This Row],[Type]]="j0",0,--(TRUNC(Tabel3[[#This Row],[debut]])-TRUNC(Tabel3[[#This Row],[fin precedent]])&lt;Tabel3[[#This Row],[delai]]))</f>
        <v>0</v>
      </c>
      <c r="X288"/>
      <c r="Y288" s="75"/>
    </row>
    <row r="289" spans="12:25" ht="18" customHeight="1" x14ac:dyDescent="0.2">
      <c r="L289" s="78" t="s">
        <v>125</v>
      </c>
      <c r="M289" s="78" t="s">
        <v>129</v>
      </c>
      <c r="N289" s="78" t="s">
        <v>38</v>
      </c>
      <c r="O289" s="84">
        <v>45931</v>
      </c>
      <c r="P289" s="78">
        <v>66</v>
      </c>
      <c r="Q289" s="78">
        <f>INDEX($C$1:$I$1,MATCH(Tabel3[[#This Row],[Type]],Devoirs[[#Headers],[J0]:[J60]],0))</f>
        <v>4</v>
      </c>
      <c r="R289" s="85" cm="1">
        <f t="array" aca="1" ref="R28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45910.591319444466</v>
      </c>
      <c r="S28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45940.379930555609</v>
      </c>
      <c r="T28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45940.425763888939</v>
      </c>
      <c r="U289" s="82">
        <f ca="1">--(Tabel3[[#This Row],[jour]]&lt;&gt;TRUNC(Tabel3[[#This Row],[fin]]))</f>
        <v>1</v>
      </c>
      <c r="V289" s="82">
        <f ca="1">IF(Tabel3[[#This Row],[Type]]="j0",0,--(TRUNC(Tabel3[[#This Row],[debut]])-TRUNC(Tabel3[[#This Row],[fin precedent]])&lt;Tabel3[[#This Row],[delai]]))</f>
        <v>0</v>
      </c>
      <c r="X289"/>
      <c r="Y289" s="75"/>
    </row>
    <row r="290" spans="12:25" ht="18" customHeight="1" x14ac:dyDescent="0.2">
      <c r="L290" s="78" t="s">
        <v>135</v>
      </c>
      <c r="M290" s="78" t="s">
        <v>138</v>
      </c>
      <c r="N290" s="78" t="s">
        <v>41</v>
      </c>
      <c r="O290" s="84">
        <v>45931</v>
      </c>
      <c r="P290" s="78">
        <v>9.6</v>
      </c>
      <c r="Q290" s="78">
        <f>INDEX($C$1:$I$1,MATCH(Tabel3[[#This Row],[Type]],Devoirs[[#Headers],[J0]:[J60]],0))</f>
        <v>15</v>
      </c>
      <c r="R290" s="85" cm="1">
        <f t="array" aca="1" ref="R29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45916.748888888906</v>
      </c>
      <c r="S29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45940.425763888939</v>
      </c>
      <c r="T29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45940.432430555607</v>
      </c>
      <c r="U290" s="82">
        <f ca="1">--(Tabel3[[#This Row],[jour]]&lt;&gt;TRUNC(Tabel3[[#This Row],[fin]]))</f>
        <v>1</v>
      </c>
      <c r="V290" s="82">
        <f ca="1">IF(Tabel3[[#This Row],[Type]]="j0",0,--(TRUNC(Tabel3[[#This Row],[debut]])-TRUNC(Tabel3[[#This Row],[fin precedent]])&lt;Tabel3[[#This Row],[delai]]))</f>
        <v>0</v>
      </c>
      <c r="X290"/>
      <c r="Y290" s="75"/>
    </row>
    <row r="291" spans="12:25" ht="18" customHeight="1" x14ac:dyDescent="0.2">
      <c r="L291" s="78" t="s">
        <v>104</v>
      </c>
      <c r="M291" s="78" t="s">
        <v>122</v>
      </c>
      <c r="N291" s="78" t="s">
        <v>37</v>
      </c>
      <c r="O291" s="84">
        <v>45931</v>
      </c>
      <c r="P291" s="78">
        <v>71.100000000000009</v>
      </c>
      <c r="Q291" s="78">
        <f>INDEX($C$1:$I$1,MATCH(Tabel3[[#This Row],[Type]],Devoirs[[#Headers],[J0]:[J60]],0))</f>
        <v>2</v>
      </c>
      <c r="R291" s="85" cm="1">
        <f t="array" aca="1" ref="R29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45902.487499999996</v>
      </c>
      <c r="S29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45940.432430555607</v>
      </c>
      <c r="T29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45940.48180555561</v>
      </c>
      <c r="U291" s="82">
        <f ca="1">--(Tabel3[[#This Row],[jour]]&lt;&gt;TRUNC(Tabel3[[#This Row],[fin]]))</f>
        <v>1</v>
      </c>
      <c r="V291" s="82">
        <f ca="1">IF(Tabel3[[#This Row],[Type]]="j0",0,--(TRUNC(Tabel3[[#This Row],[debut]])-TRUNC(Tabel3[[#This Row],[fin precedent]])&lt;Tabel3[[#This Row],[delai]]))</f>
        <v>0</v>
      </c>
      <c r="X291"/>
      <c r="Y291" s="75"/>
    </row>
    <row r="292" spans="12:25" ht="18" customHeight="1" x14ac:dyDescent="0.2">
      <c r="L292" s="78" t="s">
        <v>74</v>
      </c>
      <c r="M292" s="78" t="s">
        <v>77</v>
      </c>
      <c r="N292" s="78" t="s">
        <v>37</v>
      </c>
      <c r="O292" s="84">
        <v>45931</v>
      </c>
      <c r="P292" s="78">
        <v>97.2</v>
      </c>
      <c r="Q292" s="78">
        <f>INDEX($C$1:$I$1,MATCH(Tabel3[[#This Row],[Type]],Devoirs[[#Headers],[J0]:[J60]],0))</f>
        <v>2</v>
      </c>
      <c r="R292" s="85" cm="1">
        <f t="array" aca="1" ref="R29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45910.499444444467</v>
      </c>
      <c r="S29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45940.48180555561</v>
      </c>
      <c r="T29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45940.549305555607</v>
      </c>
      <c r="U292" s="82">
        <f ca="1">--(Tabel3[[#This Row],[jour]]&lt;&gt;TRUNC(Tabel3[[#This Row],[fin]]))</f>
        <v>1</v>
      </c>
      <c r="V292" s="82">
        <f ca="1">IF(Tabel3[[#This Row],[Type]]="j0",0,--(TRUNC(Tabel3[[#This Row],[debut]])-TRUNC(Tabel3[[#This Row],[fin precedent]])&lt;Tabel3[[#This Row],[delai]]))</f>
        <v>0</v>
      </c>
      <c r="X292"/>
      <c r="Y292" s="75"/>
    </row>
    <row r="293" spans="12:25" ht="18" customHeight="1" x14ac:dyDescent="0.2">
      <c r="L293" s="78" t="s">
        <v>135</v>
      </c>
      <c r="M293" s="78" t="s">
        <v>137</v>
      </c>
      <c r="N293" s="78" t="s">
        <v>40</v>
      </c>
      <c r="O293" s="84">
        <v>45931</v>
      </c>
      <c r="P293" s="78">
        <v>16.2</v>
      </c>
      <c r="Q293" s="78">
        <f>INDEX($C$1:$I$1,MATCH(Tabel3[[#This Row],[Type]],Devoirs[[#Headers],[J0]:[J60]],0))</f>
        <v>5</v>
      </c>
      <c r="R293" s="85" cm="1">
        <f t="array" aca="1" ref="R29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45911.693923611136</v>
      </c>
      <c r="S29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45940.549305555607</v>
      </c>
      <c r="T29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45940.56055555561</v>
      </c>
      <c r="U293" s="82">
        <f ca="1">--(Tabel3[[#This Row],[jour]]&lt;&gt;TRUNC(Tabel3[[#This Row],[fin]]))</f>
        <v>1</v>
      </c>
      <c r="V293" s="82">
        <f ca="1">IF(Tabel3[[#This Row],[Type]]="j0",0,--(TRUNC(Tabel3[[#This Row],[debut]])-TRUNC(Tabel3[[#This Row],[fin precedent]])&lt;Tabel3[[#This Row],[delai]]))</f>
        <v>0</v>
      </c>
      <c r="X293"/>
      <c r="Y293" s="75"/>
    </row>
    <row r="294" spans="12:25" ht="18" customHeight="1" x14ac:dyDescent="0.2">
      <c r="L294" s="78" t="s">
        <v>104</v>
      </c>
      <c r="M294" s="78" t="s">
        <v>105</v>
      </c>
      <c r="N294" s="78" t="s">
        <v>40</v>
      </c>
      <c r="O294" s="84">
        <v>45931</v>
      </c>
      <c r="P294" s="78">
        <v>20.25</v>
      </c>
      <c r="Q294" s="78">
        <f>INDEX($C$1:$I$1,MATCH(Tabel3[[#This Row],[Type]],Devoirs[[#Headers],[J0]:[J60]],0))</f>
        <v>5</v>
      </c>
      <c r="R294" s="85" cm="1">
        <f t="array" aca="1" ref="R29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45912.451006944459</v>
      </c>
      <c r="S29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45940.56055555561</v>
      </c>
      <c r="T29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45940.574618055609</v>
      </c>
      <c r="U294" s="82">
        <f ca="1">--(Tabel3[[#This Row],[jour]]&lt;&gt;TRUNC(Tabel3[[#This Row],[fin]]))</f>
        <v>1</v>
      </c>
      <c r="V294" s="82">
        <f ca="1">IF(Tabel3[[#This Row],[Type]]="j0",0,--(TRUNC(Tabel3[[#This Row],[debut]])-TRUNC(Tabel3[[#This Row],[fin precedent]])&lt;Tabel3[[#This Row],[delai]]))</f>
        <v>0</v>
      </c>
      <c r="X294"/>
      <c r="Y294" s="75"/>
    </row>
    <row r="295" spans="12:25" ht="18" customHeight="1" x14ac:dyDescent="0.2">
      <c r="L295" s="78" t="s">
        <v>64</v>
      </c>
      <c r="M295" s="78" t="s">
        <v>69</v>
      </c>
      <c r="N295" s="78" t="s">
        <v>40</v>
      </c>
      <c r="O295" s="84">
        <v>45931</v>
      </c>
      <c r="P295" s="78">
        <v>21.6</v>
      </c>
      <c r="Q295" s="78">
        <f>INDEX($C$1:$I$1,MATCH(Tabel3[[#This Row],[Type]],Devoirs[[#Headers],[J0]:[J60]],0))</f>
        <v>5</v>
      </c>
      <c r="R295" s="85" cm="1">
        <f t="array" aca="1" ref="R29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45926.471840277802</v>
      </c>
      <c r="S29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45940.574618055609</v>
      </c>
      <c r="T29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45940.589618055608</v>
      </c>
      <c r="U295" s="82">
        <f ca="1">--(Tabel3[[#This Row],[jour]]&lt;&gt;TRUNC(Tabel3[[#This Row],[fin]]))</f>
        <v>1</v>
      </c>
      <c r="V295" s="82">
        <f ca="1">IF(Tabel3[[#This Row],[Type]]="j0",0,--(TRUNC(Tabel3[[#This Row],[debut]])-TRUNC(Tabel3[[#This Row],[fin precedent]])&lt;Tabel3[[#This Row],[delai]]))</f>
        <v>0</v>
      </c>
      <c r="X295"/>
      <c r="Y295" s="75"/>
    </row>
    <row r="296" spans="12:25" ht="18" customHeight="1" x14ac:dyDescent="0.2">
      <c r="L296" s="78" t="s">
        <v>74</v>
      </c>
      <c r="M296" s="78" t="s">
        <v>80</v>
      </c>
      <c r="N296" s="78" t="s">
        <v>40</v>
      </c>
      <c r="O296" s="84">
        <v>45931</v>
      </c>
      <c r="P296" s="78">
        <v>22.05</v>
      </c>
      <c r="Q296" s="78">
        <f>INDEX($C$1:$I$1,MATCH(Tabel3[[#This Row],[Type]],Devoirs[[#Headers],[J0]:[J60]],0))</f>
        <v>5</v>
      </c>
      <c r="R296" s="85" cm="1">
        <f t="array" aca="1" ref="R29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45923.462534722232</v>
      </c>
      <c r="S29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45940.589618055608</v>
      </c>
      <c r="T29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45940.604930555608</v>
      </c>
      <c r="U296" s="82">
        <f ca="1">--(Tabel3[[#This Row],[jour]]&lt;&gt;TRUNC(Tabel3[[#This Row],[fin]]))</f>
        <v>1</v>
      </c>
      <c r="V296" s="82">
        <f ca="1">IF(Tabel3[[#This Row],[Type]]="j0",0,--(TRUNC(Tabel3[[#This Row],[debut]])-TRUNC(Tabel3[[#This Row],[fin precedent]])&lt;Tabel3[[#This Row],[delai]]))</f>
        <v>0</v>
      </c>
      <c r="X296"/>
      <c r="Y296" s="75"/>
    </row>
    <row r="297" spans="12:25" ht="18" customHeight="1" x14ac:dyDescent="0.2">
      <c r="L297" s="78" t="s">
        <v>104</v>
      </c>
      <c r="M297" s="78" t="s">
        <v>117</v>
      </c>
      <c r="N297" s="78" t="s">
        <v>40</v>
      </c>
      <c r="O297" s="84">
        <v>45931</v>
      </c>
      <c r="P297" s="78">
        <v>27</v>
      </c>
      <c r="Q297" s="78">
        <f>INDEX($C$1:$I$1,MATCH(Tabel3[[#This Row],[Type]],Devoirs[[#Headers],[J0]:[J60]],0))</f>
        <v>5</v>
      </c>
      <c r="R297" s="85" cm="1">
        <f t="array" aca="1" ref="R29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45912.451006944459</v>
      </c>
      <c r="S29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45940.604930555608</v>
      </c>
      <c r="T29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45940.623680555611</v>
      </c>
      <c r="U297" s="82">
        <f ca="1">--(Tabel3[[#This Row],[jour]]&lt;&gt;TRUNC(Tabel3[[#This Row],[fin]]))</f>
        <v>1</v>
      </c>
      <c r="V297" s="82">
        <f ca="1">IF(Tabel3[[#This Row],[Type]]="j0",0,--(TRUNC(Tabel3[[#This Row],[debut]])-TRUNC(Tabel3[[#This Row],[fin precedent]])&lt;Tabel3[[#This Row],[delai]]))</f>
        <v>0</v>
      </c>
      <c r="X297"/>
      <c r="Y297" s="75"/>
    </row>
    <row r="298" spans="12:25" ht="18" customHeight="1" x14ac:dyDescent="0.2">
      <c r="L298" s="78" t="s">
        <v>104</v>
      </c>
      <c r="M298" s="78" t="s">
        <v>124</v>
      </c>
      <c r="N298" s="78" t="s">
        <v>1</v>
      </c>
      <c r="O298" s="84">
        <v>45931</v>
      </c>
      <c r="P298" s="78">
        <v>50</v>
      </c>
      <c r="Q298" s="78">
        <f>INDEX($C$1:$I$1,MATCH(Tabel3[[#This Row],[Type]],Devoirs[[#Headers],[J0]:[J60]],0))</f>
        <v>0</v>
      </c>
      <c r="R298" s="85" t="str" cm="1">
        <f t="array" ref="R298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29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45940.623680555611</v>
      </c>
      <c r="T29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45940.65840277783</v>
      </c>
      <c r="U298" s="82">
        <f ca="1">--(Tabel3[[#This Row],[jour]]&lt;&gt;TRUNC(Tabel3[[#This Row],[fin]]))</f>
        <v>1</v>
      </c>
      <c r="V298" s="82">
        <f>IF(Tabel3[[#This Row],[Type]]="j0",0,--(TRUNC(Tabel3[[#This Row],[debut]])-TRUNC(Tabel3[[#This Row],[fin precedent]])&lt;Tabel3[[#This Row],[delai]]))</f>
        <v>0</v>
      </c>
      <c r="X298"/>
      <c r="Y298" s="75"/>
    </row>
    <row r="299" spans="12:25" ht="18" customHeight="1" x14ac:dyDescent="0.2">
      <c r="L299" s="78" t="s">
        <v>51</v>
      </c>
      <c r="M299" s="78" t="s">
        <v>56</v>
      </c>
      <c r="N299" s="78" t="s">
        <v>1</v>
      </c>
      <c r="O299" s="84">
        <v>45931</v>
      </c>
      <c r="P299" s="78">
        <v>60</v>
      </c>
      <c r="Q299" s="78">
        <f>INDEX($C$1:$I$1,MATCH(Tabel3[[#This Row],[Type]],Devoirs[[#Headers],[J0]:[J60]],0))</f>
        <v>0</v>
      </c>
      <c r="R299" s="85" t="str" cm="1">
        <f t="array" ref="R299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29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45940.65840277783</v>
      </c>
      <c r="T29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45940.700069444494</v>
      </c>
      <c r="U299" s="82">
        <f ca="1">--(Tabel3[[#This Row],[jour]]&lt;&gt;TRUNC(Tabel3[[#This Row],[fin]]))</f>
        <v>1</v>
      </c>
      <c r="V299" s="82">
        <f>IF(Tabel3[[#This Row],[Type]]="j0",0,--(TRUNC(Tabel3[[#This Row],[debut]])-TRUNC(Tabel3[[#This Row],[fin precedent]])&lt;Tabel3[[#This Row],[delai]]))</f>
        <v>0</v>
      </c>
      <c r="X299"/>
      <c r="Y299" s="75"/>
    </row>
    <row r="300" spans="12:25" ht="18" customHeight="1" x14ac:dyDescent="0.2">
      <c r="L300" s="78" t="s">
        <v>64</v>
      </c>
      <c r="M300" s="78" t="s">
        <v>73</v>
      </c>
      <c r="N300" s="78" t="s">
        <v>1</v>
      </c>
      <c r="O300" s="84">
        <v>45931</v>
      </c>
      <c r="P300" s="78">
        <v>89</v>
      </c>
      <c r="Q300" s="78">
        <f>INDEX($C$1:$I$1,MATCH(Tabel3[[#This Row],[Type]],Devoirs[[#Headers],[J0]:[J60]],0))</f>
        <v>0</v>
      </c>
      <c r="R300" s="85" t="str" cm="1">
        <f t="array" ref="R300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30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45940.700069444494</v>
      </c>
      <c r="T30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45941.345208333383</v>
      </c>
      <c r="U300" s="82">
        <f ca="1">--(Tabel3[[#This Row],[jour]]&lt;&gt;TRUNC(Tabel3[[#This Row],[fin]]))</f>
        <v>1</v>
      </c>
      <c r="V300" s="82">
        <f>IF(Tabel3[[#This Row],[Type]]="j0",0,--(TRUNC(Tabel3[[#This Row],[debut]])-TRUNC(Tabel3[[#This Row],[fin precedent]])&lt;Tabel3[[#This Row],[delai]]))</f>
        <v>0</v>
      </c>
      <c r="X300"/>
      <c r="Y300" s="75"/>
    </row>
    <row r="301" spans="12:25" ht="18" customHeight="1" x14ac:dyDescent="0.2">
      <c r="L301" s="78" t="s">
        <v>104</v>
      </c>
      <c r="M301" s="78" t="s">
        <v>120</v>
      </c>
      <c r="N301" s="78" t="s">
        <v>1</v>
      </c>
      <c r="O301" s="84">
        <v>45931</v>
      </c>
      <c r="P301" s="78">
        <v>102</v>
      </c>
      <c r="Q301" s="78">
        <f>INDEX($C$1:$I$1,MATCH(Tabel3[[#This Row],[Type]],Devoirs[[#Headers],[J0]:[J60]],0))</f>
        <v>0</v>
      </c>
      <c r="R301" s="85" t="str" cm="1">
        <f t="array" ref="R301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30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45941.345208333383</v>
      </c>
      <c r="T30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45941.416041666715</v>
      </c>
      <c r="U301" s="82">
        <f ca="1">--(Tabel3[[#This Row],[jour]]&lt;&gt;TRUNC(Tabel3[[#This Row],[fin]]))</f>
        <v>1</v>
      </c>
      <c r="V301" s="82">
        <f>IF(Tabel3[[#This Row],[Type]]="j0",0,--(TRUNC(Tabel3[[#This Row],[debut]])-TRUNC(Tabel3[[#This Row],[fin precedent]])&lt;Tabel3[[#This Row],[delai]]))</f>
        <v>0</v>
      </c>
      <c r="X301"/>
      <c r="Y301" s="75"/>
    </row>
    <row r="302" spans="12:25" ht="18" customHeight="1" x14ac:dyDescent="0.2">
      <c r="L302" s="78" t="s">
        <v>51</v>
      </c>
      <c r="M302" s="78" t="s">
        <v>55</v>
      </c>
      <c r="N302" s="78" t="s">
        <v>41</v>
      </c>
      <c r="O302" s="84">
        <v>45932</v>
      </c>
      <c r="P302" s="78">
        <v>15.299999999999999</v>
      </c>
      <c r="Q302" s="78">
        <f>INDEX($C$1:$I$1,MATCH(Tabel3[[#This Row],[Type]],Devoirs[[#Headers],[J0]:[J60]],0))</f>
        <v>15</v>
      </c>
      <c r="R302" s="85" cm="1">
        <f t="array" aca="1" ref="R30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45917.705000000016</v>
      </c>
      <c r="S30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45941.416041666715</v>
      </c>
      <c r="T30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45941.426666666717</v>
      </c>
      <c r="U302" s="82">
        <f ca="1">--(Tabel3[[#This Row],[jour]]&lt;&gt;TRUNC(Tabel3[[#This Row],[fin]]))</f>
        <v>1</v>
      </c>
      <c r="V302" s="82">
        <f ca="1">IF(Tabel3[[#This Row],[Type]]="j0",0,--(TRUNC(Tabel3[[#This Row],[debut]])-TRUNC(Tabel3[[#This Row],[fin precedent]])&lt;Tabel3[[#This Row],[delai]]))</f>
        <v>0</v>
      </c>
      <c r="X302"/>
      <c r="Y302" s="75"/>
    </row>
    <row r="303" spans="12:25" ht="18" customHeight="1" x14ac:dyDescent="0.2">
      <c r="L303" s="78" t="s">
        <v>51</v>
      </c>
      <c r="M303" s="78" t="s">
        <v>62</v>
      </c>
      <c r="N303" s="78" t="s">
        <v>41</v>
      </c>
      <c r="O303" s="84">
        <v>45932</v>
      </c>
      <c r="P303" s="78">
        <v>23.7</v>
      </c>
      <c r="Q303" s="78">
        <f>INDEX($C$1:$I$1,MATCH(Tabel3[[#This Row],[Type]],Devoirs[[#Headers],[J0]:[J60]],0))</f>
        <v>15</v>
      </c>
      <c r="R303" s="85" cm="1">
        <f t="array" aca="1" ref="R30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45917.705000000016</v>
      </c>
      <c r="S30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45941.426666666717</v>
      </c>
      <c r="T30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45941.443125000049</v>
      </c>
      <c r="U303" s="82">
        <f ca="1">--(Tabel3[[#This Row],[jour]]&lt;&gt;TRUNC(Tabel3[[#This Row],[fin]]))</f>
        <v>1</v>
      </c>
      <c r="V303" s="82">
        <f ca="1">IF(Tabel3[[#This Row],[Type]]="j0",0,--(TRUNC(Tabel3[[#This Row],[debut]])-TRUNC(Tabel3[[#This Row],[fin precedent]])&lt;Tabel3[[#This Row],[delai]]))</f>
        <v>0</v>
      </c>
      <c r="X303"/>
      <c r="Y303" s="75"/>
    </row>
    <row r="304" spans="12:25" ht="18" customHeight="1" x14ac:dyDescent="0.2">
      <c r="L304" s="78" t="s">
        <v>104</v>
      </c>
      <c r="M304" s="78" t="s">
        <v>114</v>
      </c>
      <c r="N304" s="78" t="s">
        <v>41</v>
      </c>
      <c r="O304" s="84">
        <v>45932</v>
      </c>
      <c r="P304" s="78">
        <v>27.599999999999998</v>
      </c>
      <c r="Q304" s="78">
        <f>INDEX($C$1:$I$1,MATCH(Tabel3[[#This Row],[Type]],Devoirs[[#Headers],[J0]:[J60]],0))</f>
        <v>15</v>
      </c>
      <c r="R304" s="85" cm="1">
        <f t="array" aca="1" ref="R30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45918.341770833351</v>
      </c>
      <c r="S30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45941.443125000049</v>
      </c>
      <c r="T30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45941.462291666714</v>
      </c>
      <c r="U304" s="82">
        <f ca="1">--(Tabel3[[#This Row],[jour]]&lt;&gt;TRUNC(Tabel3[[#This Row],[fin]]))</f>
        <v>1</v>
      </c>
      <c r="V304" s="82">
        <f ca="1">IF(Tabel3[[#This Row],[Type]]="j0",0,--(TRUNC(Tabel3[[#This Row],[debut]])-TRUNC(Tabel3[[#This Row],[fin precedent]])&lt;Tabel3[[#This Row],[delai]]))</f>
        <v>0</v>
      </c>
      <c r="X304"/>
      <c r="Y304" s="75"/>
    </row>
    <row r="305" spans="12:25" ht="18" customHeight="1" x14ac:dyDescent="0.2">
      <c r="L305" s="78" t="s">
        <v>85</v>
      </c>
      <c r="M305" s="78" t="s">
        <v>88</v>
      </c>
      <c r="N305" s="78" t="s">
        <v>41</v>
      </c>
      <c r="O305" s="84">
        <v>45932</v>
      </c>
      <c r="P305" s="78">
        <v>33.9</v>
      </c>
      <c r="Q305" s="78">
        <f>INDEX($C$1:$I$1,MATCH(Tabel3[[#This Row],[Type]],Devoirs[[#Headers],[J0]:[J60]],0))</f>
        <v>15</v>
      </c>
      <c r="R305" s="85" cm="1">
        <f t="array" aca="1" ref="R30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45918.377083333347</v>
      </c>
      <c r="S30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45941.462291666714</v>
      </c>
      <c r="T30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45941.485833333383</v>
      </c>
      <c r="U305" s="82">
        <f ca="1">--(Tabel3[[#This Row],[jour]]&lt;&gt;TRUNC(Tabel3[[#This Row],[fin]]))</f>
        <v>1</v>
      </c>
      <c r="V305" s="82">
        <f ca="1">IF(Tabel3[[#This Row],[Type]]="j0",0,--(TRUNC(Tabel3[[#This Row],[debut]])-TRUNC(Tabel3[[#This Row],[fin precedent]])&lt;Tabel3[[#This Row],[delai]]))</f>
        <v>0</v>
      </c>
      <c r="X305"/>
      <c r="Y305" s="75"/>
    </row>
    <row r="306" spans="12:25" ht="18" customHeight="1" x14ac:dyDescent="0.2">
      <c r="L306" s="78" t="s">
        <v>43</v>
      </c>
      <c r="M306" s="78" t="s">
        <v>47</v>
      </c>
      <c r="N306" s="78" t="s">
        <v>37</v>
      </c>
      <c r="O306" s="84">
        <v>45932</v>
      </c>
      <c r="P306" s="78">
        <v>53.1</v>
      </c>
      <c r="Q306" s="78">
        <f>INDEX($C$1:$I$1,MATCH(Tabel3[[#This Row],[Type]],Devoirs[[#Headers],[J0]:[J60]],0))</f>
        <v>2</v>
      </c>
      <c r="R306" s="85" cm="1">
        <f t="array" aca="1" ref="R30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45916.66041666668</v>
      </c>
      <c r="S30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45941.485833333383</v>
      </c>
      <c r="T30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45941.522708333381</v>
      </c>
      <c r="U306" s="82">
        <f ca="1">--(Tabel3[[#This Row],[jour]]&lt;&gt;TRUNC(Tabel3[[#This Row],[fin]]))</f>
        <v>1</v>
      </c>
      <c r="V306" s="82">
        <f ca="1">IF(Tabel3[[#This Row],[Type]]="j0",0,--(TRUNC(Tabel3[[#This Row],[debut]])-TRUNC(Tabel3[[#This Row],[fin precedent]])&lt;Tabel3[[#This Row],[delai]]))</f>
        <v>0</v>
      </c>
      <c r="X306"/>
      <c r="Y306" s="75"/>
    </row>
    <row r="307" spans="12:25" ht="18" customHeight="1" x14ac:dyDescent="0.2">
      <c r="L307" s="78" t="s">
        <v>74</v>
      </c>
      <c r="M307" s="78" t="s">
        <v>76</v>
      </c>
      <c r="N307" s="78" t="s">
        <v>37</v>
      </c>
      <c r="O307" s="84">
        <v>45932</v>
      </c>
      <c r="P307" s="78">
        <v>102.60000000000001</v>
      </c>
      <c r="Q307" s="78">
        <f>INDEX($C$1:$I$1,MATCH(Tabel3[[#This Row],[Type]],Devoirs[[#Headers],[J0]:[J60]],0))</f>
        <v>2</v>
      </c>
      <c r="R307" s="85" cm="1">
        <f t="array" aca="1" ref="R30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45910.499444444467</v>
      </c>
      <c r="S30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45941.522708333381</v>
      </c>
      <c r="T30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45941.593958333382</v>
      </c>
      <c r="U307" s="82">
        <f ca="1">--(Tabel3[[#This Row],[jour]]&lt;&gt;TRUNC(Tabel3[[#This Row],[fin]]))</f>
        <v>1</v>
      </c>
      <c r="V307" s="82">
        <f ca="1">IF(Tabel3[[#This Row],[Type]]="j0",0,--(TRUNC(Tabel3[[#This Row],[debut]])-TRUNC(Tabel3[[#This Row],[fin precedent]])&lt;Tabel3[[#This Row],[delai]]))</f>
        <v>0</v>
      </c>
      <c r="X307"/>
      <c r="Y307" s="75"/>
    </row>
    <row r="308" spans="12:25" ht="18" customHeight="1" x14ac:dyDescent="0.2">
      <c r="L308" s="78" t="s">
        <v>43</v>
      </c>
      <c r="M308" s="78" t="s">
        <v>49</v>
      </c>
      <c r="N308" s="78" t="s">
        <v>37</v>
      </c>
      <c r="O308" s="84">
        <v>45932</v>
      </c>
      <c r="P308" s="78">
        <v>106.2</v>
      </c>
      <c r="Q308" s="78">
        <f>INDEX($C$1:$I$1,MATCH(Tabel3[[#This Row],[Type]],Devoirs[[#Headers],[J0]:[J60]],0))</f>
        <v>2</v>
      </c>
      <c r="R308" s="85" cm="1">
        <f t="array" aca="1" ref="R30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45916.66041666668</v>
      </c>
      <c r="S30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45941.593958333382</v>
      </c>
      <c r="T30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45941.667708333385</v>
      </c>
      <c r="U308" s="82">
        <f ca="1">--(Tabel3[[#This Row],[jour]]&lt;&gt;TRUNC(Tabel3[[#This Row],[fin]]))</f>
        <v>1</v>
      </c>
      <c r="V308" s="82">
        <f ca="1">IF(Tabel3[[#This Row],[Type]]="j0",0,--(TRUNC(Tabel3[[#This Row],[debut]])-TRUNC(Tabel3[[#This Row],[fin precedent]])&lt;Tabel3[[#This Row],[delai]]))</f>
        <v>0</v>
      </c>
      <c r="X308"/>
      <c r="Y308" s="75"/>
    </row>
    <row r="309" spans="12:25" ht="18" customHeight="1" x14ac:dyDescent="0.2">
      <c r="L309" s="78" t="s">
        <v>95</v>
      </c>
      <c r="M309" s="78" t="s">
        <v>98</v>
      </c>
      <c r="N309" s="78" t="s">
        <v>40</v>
      </c>
      <c r="O309" s="84">
        <v>45932</v>
      </c>
      <c r="P309" s="78">
        <v>40.5</v>
      </c>
      <c r="Q309" s="78">
        <f>INDEX($C$1:$I$1,MATCH(Tabel3[[#This Row],[Type]],Devoirs[[#Headers],[J0]:[J60]],0))</f>
        <v>5</v>
      </c>
      <c r="R309" s="85" cm="1">
        <f t="array" aca="1" ref="R30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45926.397256944474</v>
      </c>
      <c r="S30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45941.667708333385</v>
      </c>
      <c r="T30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45941.695833333382</v>
      </c>
      <c r="U309" s="82">
        <f ca="1">--(Tabel3[[#This Row],[jour]]&lt;&gt;TRUNC(Tabel3[[#This Row],[fin]]))</f>
        <v>1</v>
      </c>
      <c r="V309" s="82">
        <f ca="1">IF(Tabel3[[#This Row],[Type]]="j0",0,--(TRUNC(Tabel3[[#This Row],[debut]])-TRUNC(Tabel3[[#This Row],[fin precedent]])&lt;Tabel3[[#This Row],[delai]]))</f>
        <v>0</v>
      </c>
      <c r="X309"/>
      <c r="Y309" s="75"/>
    </row>
    <row r="310" spans="12:25" ht="18" customHeight="1" x14ac:dyDescent="0.2">
      <c r="L310" s="78" t="s">
        <v>95</v>
      </c>
      <c r="M310" s="78" t="s">
        <v>102</v>
      </c>
      <c r="N310" s="78" t="s">
        <v>40</v>
      </c>
      <c r="O310" s="84">
        <v>45932</v>
      </c>
      <c r="P310" s="78">
        <v>50.4</v>
      </c>
      <c r="Q310" s="78">
        <f>INDEX($C$1:$I$1,MATCH(Tabel3[[#This Row],[Type]],Devoirs[[#Headers],[J0]:[J60]],0))</f>
        <v>5</v>
      </c>
      <c r="R310" s="85" cm="1">
        <f t="array" aca="1" ref="R31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45926.397256944474</v>
      </c>
      <c r="S31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45941.695833333382</v>
      </c>
      <c r="T31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45941.730833333386</v>
      </c>
      <c r="U310" s="82">
        <f ca="1">--(Tabel3[[#This Row],[jour]]&lt;&gt;TRUNC(Tabel3[[#This Row],[fin]]))</f>
        <v>1</v>
      </c>
      <c r="V310" s="82">
        <f ca="1">IF(Tabel3[[#This Row],[Type]]="j0",0,--(TRUNC(Tabel3[[#This Row],[debut]])-TRUNC(Tabel3[[#This Row],[fin precedent]])&lt;Tabel3[[#This Row],[delai]]))</f>
        <v>0</v>
      </c>
      <c r="X310"/>
      <c r="Y310" s="75"/>
    </row>
    <row r="311" spans="12:25" ht="18" customHeight="1" x14ac:dyDescent="0.2">
      <c r="L311" s="78" t="s">
        <v>51</v>
      </c>
      <c r="M311" s="78" t="s">
        <v>59</v>
      </c>
      <c r="N311" s="78" t="s">
        <v>40</v>
      </c>
      <c r="O311" s="84">
        <v>45932</v>
      </c>
      <c r="P311" s="78">
        <v>50.85</v>
      </c>
      <c r="Q311" s="78">
        <f>INDEX($C$1:$I$1,MATCH(Tabel3[[#This Row],[Type]],Devoirs[[#Headers],[J0]:[J60]],0))</f>
        <v>5</v>
      </c>
      <c r="R311" s="85" cm="1">
        <f t="array" aca="1" ref="R31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45912.379756944465</v>
      </c>
      <c r="S31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45941.730833333386</v>
      </c>
      <c r="T31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45943.349479166718</v>
      </c>
      <c r="U311" s="82">
        <f ca="1">--(Tabel3[[#This Row],[jour]]&lt;&gt;TRUNC(Tabel3[[#This Row],[fin]]))</f>
        <v>1</v>
      </c>
      <c r="V311" s="82">
        <f ca="1">IF(Tabel3[[#This Row],[Type]]="j0",0,--(TRUNC(Tabel3[[#This Row],[debut]])-TRUNC(Tabel3[[#This Row],[fin precedent]])&lt;Tabel3[[#This Row],[delai]]))</f>
        <v>0</v>
      </c>
      <c r="X311"/>
      <c r="Y311" s="75"/>
    </row>
    <row r="312" spans="12:25" ht="18" customHeight="1" x14ac:dyDescent="0.2">
      <c r="L312" s="78" t="s">
        <v>95</v>
      </c>
      <c r="M312" s="78" t="s">
        <v>99</v>
      </c>
      <c r="N312" s="78" t="s">
        <v>40</v>
      </c>
      <c r="O312" s="84">
        <v>45932</v>
      </c>
      <c r="P312" s="78">
        <v>54</v>
      </c>
      <c r="Q312" s="78">
        <f>INDEX($C$1:$I$1,MATCH(Tabel3[[#This Row],[Type]],Devoirs[[#Headers],[J0]:[J60]],0))</f>
        <v>5</v>
      </c>
      <c r="R312" s="85" cm="1">
        <f t="array" aca="1" ref="R31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45926.397256944474</v>
      </c>
      <c r="S31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45943.349479166718</v>
      </c>
      <c r="T31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45943.386979166717</v>
      </c>
      <c r="U312" s="82">
        <f ca="1">--(Tabel3[[#This Row],[jour]]&lt;&gt;TRUNC(Tabel3[[#This Row],[fin]]))</f>
        <v>1</v>
      </c>
      <c r="V312" s="82">
        <f ca="1">IF(Tabel3[[#This Row],[Type]]="j0",0,--(TRUNC(Tabel3[[#This Row],[debut]])-TRUNC(Tabel3[[#This Row],[fin precedent]])&lt;Tabel3[[#This Row],[delai]]))</f>
        <v>0</v>
      </c>
      <c r="X312"/>
      <c r="Y312" s="75"/>
    </row>
    <row r="313" spans="12:25" ht="18" customHeight="1" x14ac:dyDescent="0.2">
      <c r="L313" s="78" t="s">
        <v>64</v>
      </c>
      <c r="M313" s="78" t="s">
        <v>67</v>
      </c>
      <c r="N313" s="78" t="s">
        <v>39</v>
      </c>
      <c r="O313" s="84">
        <v>45932</v>
      </c>
      <c r="P313" s="78">
        <v>19.8</v>
      </c>
      <c r="Q313" s="78">
        <f>INDEX($C$1:$I$1,MATCH(Tabel3[[#This Row],[Type]],Devoirs[[#Headers],[J0]:[J60]],0))</f>
        <v>4</v>
      </c>
      <c r="R313" s="85" cm="1">
        <f t="array" aca="1" ref="R31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45919.41250000002</v>
      </c>
      <c r="S31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45943.386979166717</v>
      </c>
      <c r="T31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45943.400729166715</v>
      </c>
      <c r="U313" s="82">
        <f ca="1">--(Tabel3[[#This Row],[jour]]&lt;&gt;TRUNC(Tabel3[[#This Row],[fin]]))</f>
        <v>1</v>
      </c>
      <c r="V313" s="82">
        <f ca="1">IF(Tabel3[[#This Row],[Type]]="j0",0,--(TRUNC(Tabel3[[#This Row],[debut]])-TRUNC(Tabel3[[#This Row],[fin precedent]])&lt;Tabel3[[#This Row],[delai]]))</f>
        <v>0</v>
      </c>
      <c r="X313"/>
      <c r="Y313" s="75"/>
    </row>
    <row r="314" spans="12:25" ht="18" customHeight="1" x14ac:dyDescent="0.2">
      <c r="L314" s="78" t="s">
        <v>104</v>
      </c>
      <c r="M314" s="78" t="s">
        <v>116</v>
      </c>
      <c r="N314" s="78" t="s">
        <v>39</v>
      </c>
      <c r="O314" s="84">
        <v>45932</v>
      </c>
      <c r="P314" s="78">
        <v>66</v>
      </c>
      <c r="Q314" s="78">
        <f>INDEX($C$1:$I$1,MATCH(Tabel3[[#This Row],[Type]],Devoirs[[#Headers],[J0]:[J60]],0))</f>
        <v>4</v>
      </c>
      <c r="R314" s="85" cm="1">
        <f t="array" aca="1" ref="R31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45908.505000000012</v>
      </c>
      <c r="S31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45943.400729166715</v>
      </c>
      <c r="T31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45943.446562500045</v>
      </c>
      <c r="U314" s="82">
        <f ca="1">--(Tabel3[[#This Row],[jour]]&lt;&gt;TRUNC(Tabel3[[#This Row],[fin]]))</f>
        <v>1</v>
      </c>
      <c r="V314" s="82">
        <f ca="1">IF(Tabel3[[#This Row],[Type]]="j0",0,--(TRUNC(Tabel3[[#This Row],[debut]])-TRUNC(Tabel3[[#This Row],[fin precedent]])&lt;Tabel3[[#This Row],[delai]]))</f>
        <v>0</v>
      </c>
      <c r="X314"/>
      <c r="Y314" s="75"/>
    </row>
    <row r="315" spans="12:25" ht="18" customHeight="1" x14ac:dyDescent="0.2">
      <c r="L315" s="78" t="s">
        <v>104</v>
      </c>
      <c r="M315" s="78" t="s">
        <v>109</v>
      </c>
      <c r="N315" s="78" t="s">
        <v>39</v>
      </c>
      <c r="O315" s="84">
        <v>45932</v>
      </c>
      <c r="P315" s="78">
        <v>67.2</v>
      </c>
      <c r="Q315" s="78">
        <f>INDEX($C$1:$I$1,MATCH(Tabel3[[#This Row],[Type]],Devoirs[[#Headers],[J0]:[J60]],0))</f>
        <v>4</v>
      </c>
      <c r="R315" s="85" cm="1">
        <f t="array" aca="1" ref="R31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45908.505000000012</v>
      </c>
      <c r="S31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45943.446562500045</v>
      </c>
      <c r="T31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45943.493229166714</v>
      </c>
      <c r="U315" s="82">
        <f ca="1">--(Tabel3[[#This Row],[jour]]&lt;&gt;TRUNC(Tabel3[[#This Row],[fin]]))</f>
        <v>1</v>
      </c>
      <c r="V315" s="82">
        <f ca="1">IF(Tabel3[[#This Row],[Type]]="j0",0,--(TRUNC(Tabel3[[#This Row],[debut]])-TRUNC(Tabel3[[#This Row],[fin precedent]])&lt;Tabel3[[#This Row],[delai]]))</f>
        <v>0</v>
      </c>
      <c r="X315"/>
      <c r="Y315" s="75"/>
    </row>
    <row r="316" spans="12:25" ht="18" customHeight="1" x14ac:dyDescent="0.2">
      <c r="L316" s="78" t="s">
        <v>104</v>
      </c>
      <c r="M316" s="78" t="s">
        <v>123</v>
      </c>
      <c r="N316" s="78" t="s">
        <v>1</v>
      </c>
      <c r="O316" s="84">
        <v>45932</v>
      </c>
      <c r="P316" s="78">
        <v>76</v>
      </c>
      <c r="Q316" s="78">
        <f>INDEX($C$1:$I$1,MATCH(Tabel3[[#This Row],[Type]],Devoirs[[#Headers],[J0]:[J60]],0))</f>
        <v>0</v>
      </c>
      <c r="R316" s="85" t="str" cm="1">
        <f t="array" ref="R316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31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45943.493229166714</v>
      </c>
      <c r="T31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45943.546006944489</v>
      </c>
      <c r="U316" s="82">
        <f ca="1">--(Tabel3[[#This Row],[jour]]&lt;&gt;TRUNC(Tabel3[[#This Row],[fin]]))</f>
        <v>1</v>
      </c>
      <c r="V316" s="82">
        <f>IF(Tabel3[[#This Row],[Type]]="j0",0,--(TRUNC(Tabel3[[#This Row],[debut]])-TRUNC(Tabel3[[#This Row],[fin precedent]])&lt;Tabel3[[#This Row],[delai]]))</f>
        <v>0</v>
      </c>
      <c r="X316"/>
      <c r="Y316" s="75"/>
    </row>
    <row r="317" spans="12:25" ht="18" customHeight="1" x14ac:dyDescent="0.2">
      <c r="L317" s="78" t="s">
        <v>43</v>
      </c>
      <c r="M317" s="78" t="s">
        <v>50</v>
      </c>
      <c r="N317" s="78" t="s">
        <v>1</v>
      </c>
      <c r="O317" s="84">
        <v>45932</v>
      </c>
      <c r="P317" s="78">
        <v>119</v>
      </c>
      <c r="Q317" s="78">
        <f>INDEX($C$1:$I$1,MATCH(Tabel3[[#This Row],[Type]],Devoirs[[#Headers],[J0]:[J60]],0))</f>
        <v>0</v>
      </c>
      <c r="R317" s="85" t="str" cm="1">
        <f t="array" ref="R317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31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45943.546006944489</v>
      </c>
      <c r="T31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45943.628645833378</v>
      </c>
      <c r="U317" s="82">
        <f ca="1">--(Tabel3[[#This Row],[jour]]&lt;&gt;TRUNC(Tabel3[[#This Row],[fin]]))</f>
        <v>1</v>
      </c>
      <c r="V317" s="82">
        <f>IF(Tabel3[[#This Row],[Type]]="j0",0,--(TRUNC(Tabel3[[#This Row],[debut]])-TRUNC(Tabel3[[#This Row],[fin precedent]])&lt;Tabel3[[#This Row],[delai]]))</f>
        <v>0</v>
      </c>
      <c r="X317"/>
      <c r="Y317" s="75"/>
    </row>
    <row r="318" spans="12:25" ht="18" customHeight="1" x14ac:dyDescent="0.2">
      <c r="L318" s="78" t="s">
        <v>85</v>
      </c>
      <c r="M318" s="78" t="s">
        <v>89</v>
      </c>
      <c r="N318" s="78" t="s">
        <v>41</v>
      </c>
      <c r="O318" s="84">
        <v>45933</v>
      </c>
      <c r="P318" s="78">
        <v>19.8</v>
      </c>
      <c r="Q318" s="78">
        <f>INDEX($C$1:$I$1,MATCH(Tabel3[[#This Row],[Type]],Devoirs[[#Headers],[J0]:[J60]],0))</f>
        <v>15</v>
      </c>
      <c r="R318" s="85" cm="1">
        <f t="array" aca="1" ref="R31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45918.377083333347</v>
      </c>
      <c r="S31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45943.628645833378</v>
      </c>
      <c r="T31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45943.642395833376</v>
      </c>
      <c r="U318" s="82">
        <f ca="1">--(Tabel3[[#This Row],[jour]]&lt;&gt;TRUNC(Tabel3[[#This Row],[fin]]))</f>
        <v>1</v>
      </c>
      <c r="V318" s="82">
        <f ca="1">IF(Tabel3[[#This Row],[Type]]="j0",0,--(TRUNC(Tabel3[[#This Row],[debut]])-TRUNC(Tabel3[[#This Row],[fin precedent]])&lt;Tabel3[[#This Row],[delai]]))</f>
        <v>0</v>
      </c>
      <c r="X318"/>
      <c r="Y318" s="75"/>
    </row>
    <row r="319" spans="12:25" ht="18" customHeight="1" x14ac:dyDescent="0.2">
      <c r="L319" s="78" t="s">
        <v>85</v>
      </c>
      <c r="M319" s="78" t="s">
        <v>90</v>
      </c>
      <c r="N319" s="78" t="s">
        <v>41</v>
      </c>
      <c r="O319" s="84">
        <v>45933</v>
      </c>
      <c r="P319" s="78">
        <v>30</v>
      </c>
      <c r="Q319" s="78">
        <f>INDEX($C$1:$I$1,MATCH(Tabel3[[#This Row],[Type]],Devoirs[[#Headers],[J0]:[J60]],0))</f>
        <v>15</v>
      </c>
      <c r="R319" s="85" cm="1">
        <f t="array" aca="1" ref="R31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45918.377083333347</v>
      </c>
      <c r="S31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45943.642395833376</v>
      </c>
      <c r="T31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45943.663229166712</v>
      </c>
      <c r="U319" s="82">
        <f ca="1">--(Tabel3[[#This Row],[jour]]&lt;&gt;TRUNC(Tabel3[[#This Row],[fin]]))</f>
        <v>1</v>
      </c>
      <c r="V319" s="82">
        <f ca="1">IF(Tabel3[[#This Row],[Type]]="j0",0,--(TRUNC(Tabel3[[#This Row],[debut]])-TRUNC(Tabel3[[#This Row],[fin precedent]])&lt;Tabel3[[#This Row],[delai]]))</f>
        <v>0</v>
      </c>
      <c r="X319"/>
      <c r="Y319" s="75"/>
    </row>
    <row r="320" spans="12:25" ht="18" customHeight="1" x14ac:dyDescent="0.2">
      <c r="L320" s="78" t="s">
        <v>104</v>
      </c>
      <c r="M320" s="78" t="s">
        <v>107</v>
      </c>
      <c r="N320" s="78" t="s">
        <v>41</v>
      </c>
      <c r="O320" s="84">
        <v>45933</v>
      </c>
      <c r="P320" s="78">
        <v>31.5</v>
      </c>
      <c r="Q320" s="78">
        <f>INDEX($C$1:$I$1,MATCH(Tabel3[[#This Row],[Type]],Devoirs[[#Headers],[J0]:[J60]],0))</f>
        <v>15</v>
      </c>
      <c r="R320" s="85" cm="1">
        <f t="array" aca="1" ref="R32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45918.341770833351</v>
      </c>
      <c r="S32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45943.663229166712</v>
      </c>
      <c r="T32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45943.685104166711</v>
      </c>
      <c r="U320" s="82">
        <f ca="1">--(Tabel3[[#This Row],[jour]]&lt;&gt;TRUNC(Tabel3[[#This Row],[fin]]))</f>
        <v>1</v>
      </c>
      <c r="V320" s="82">
        <f ca="1">IF(Tabel3[[#This Row],[Type]]="j0",0,--(TRUNC(Tabel3[[#This Row],[debut]])-TRUNC(Tabel3[[#This Row],[fin precedent]])&lt;Tabel3[[#This Row],[delai]]))</f>
        <v>0</v>
      </c>
      <c r="X320"/>
      <c r="Y320" s="75"/>
    </row>
    <row r="321" spans="12:25" ht="18" customHeight="1" x14ac:dyDescent="0.2">
      <c r="L321" s="78" t="s">
        <v>104</v>
      </c>
      <c r="M321" s="78" t="s">
        <v>124</v>
      </c>
      <c r="N321" s="78" t="s">
        <v>37</v>
      </c>
      <c r="O321" s="84">
        <v>45933</v>
      </c>
      <c r="P321" s="78">
        <v>45</v>
      </c>
      <c r="Q321" s="78">
        <f>INDEX($C$1:$I$1,MATCH(Tabel3[[#This Row],[Type]],Devoirs[[#Headers],[J0]:[J60]],0))</f>
        <v>2</v>
      </c>
      <c r="R321" s="85" cm="1">
        <f t="array" aca="1" ref="R32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45902.487499999996</v>
      </c>
      <c r="S32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45943.685104166711</v>
      </c>
      <c r="T32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45943.716354166711</v>
      </c>
      <c r="U321" s="82">
        <f ca="1">--(Tabel3[[#This Row],[jour]]&lt;&gt;TRUNC(Tabel3[[#This Row],[fin]]))</f>
        <v>1</v>
      </c>
      <c r="V321" s="82">
        <f ca="1">IF(Tabel3[[#This Row],[Type]]="j0",0,--(TRUNC(Tabel3[[#This Row],[debut]])-TRUNC(Tabel3[[#This Row],[fin precedent]])&lt;Tabel3[[#This Row],[delai]]))</f>
        <v>0</v>
      </c>
      <c r="X321"/>
      <c r="Y321" s="75"/>
    </row>
    <row r="322" spans="12:25" ht="18" customHeight="1" x14ac:dyDescent="0.2">
      <c r="L322" s="78" t="s">
        <v>51</v>
      </c>
      <c r="M322" s="78" t="s">
        <v>56</v>
      </c>
      <c r="N322" s="78" t="s">
        <v>37</v>
      </c>
      <c r="O322" s="84">
        <v>45933</v>
      </c>
      <c r="P322" s="78">
        <v>54</v>
      </c>
      <c r="Q322" s="78">
        <f>INDEX($C$1:$I$1,MATCH(Tabel3[[#This Row],[Type]],Devoirs[[#Headers],[J0]:[J60]],0))</f>
        <v>2</v>
      </c>
      <c r="R322" s="85" cm="1">
        <f t="array" aca="1" ref="R32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45902.368750000001</v>
      </c>
      <c r="S32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45943.716354166711</v>
      </c>
      <c r="T32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45944.337187500045</v>
      </c>
      <c r="U322" s="82">
        <f ca="1">--(Tabel3[[#This Row],[jour]]&lt;&gt;TRUNC(Tabel3[[#This Row],[fin]]))</f>
        <v>1</v>
      </c>
      <c r="V322" s="82">
        <f ca="1">IF(Tabel3[[#This Row],[Type]]="j0",0,--(TRUNC(Tabel3[[#This Row],[debut]])-TRUNC(Tabel3[[#This Row],[fin precedent]])&lt;Tabel3[[#This Row],[delai]]))</f>
        <v>0</v>
      </c>
      <c r="X322"/>
      <c r="Y322" s="75"/>
    </row>
    <row r="323" spans="12:25" ht="18" customHeight="1" x14ac:dyDescent="0.2">
      <c r="L323" s="78" t="s">
        <v>64</v>
      </c>
      <c r="M323" s="78" t="s">
        <v>73</v>
      </c>
      <c r="N323" s="78" t="s">
        <v>37</v>
      </c>
      <c r="O323" s="84">
        <v>45933</v>
      </c>
      <c r="P323" s="78">
        <v>80.100000000000009</v>
      </c>
      <c r="Q323" s="78">
        <f>INDEX($C$1:$I$1,MATCH(Tabel3[[#This Row],[Type]],Devoirs[[#Headers],[J0]:[J60]],0))</f>
        <v>2</v>
      </c>
      <c r="R323" s="85" cm="1">
        <f t="array" aca="1" ref="R32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45912.698090277787</v>
      </c>
      <c r="S32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45944.337187500045</v>
      </c>
      <c r="T32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45944.392812500046</v>
      </c>
      <c r="U323" s="82">
        <f ca="1">--(Tabel3[[#This Row],[jour]]&lt;&gt;TRUNC(Tabel3[[#This Row],[fin]]))</f>
        <v>1</v>
      </c>
      <c r="V323" s="82">
        <f ca="1">IF(Tabel3[[#This Row],[Type]]="j0",0,--(TRUNC(Tabel3[[#This Row],[debut]])-TRUNC(Tabel3[[#This Row],[fin precedent]])&lt;Tabel3[[#This Row],[delai]]))</f>
        <v>0</v>
      </c>
      <c r="X323"/>
      <c r="Y323" s="75"/>
    </row>
    <row r="324" spans="12:25" ht="18" customHeight="1" x14ac:dyDescent="0.2">
      <c r="L324" s="78" t="s">
        <v>104</v>
      </c>
      <c r="M324" s="78" t="s">
        <v>120</v>
      </c>
      <c r="N324" s="78" t="s">
        <v>37</v>
      </c>
      <c r="O324" s="84">
        <v>45933</v>
      </c>
      <c r="P324" s="78">
        <v>91.8</v>
      </c>
      <c r="Q324" s="78">
        <f>INDEX($C$1:$I$1,MATCH(Tabel3[[#This Row],[Type]],Devoirs[[#Headers],[J0]:[J60]],0))</f>
        <v>2</v>
      </c>
      <c r="R324" s="85" cm="1">
        <f t="array" aca="1" ref="R32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45902.487499999996</v>
      </c>
      <c r="S32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45944.392812500046</v>
      </c>
      <c r="T32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45944.456562500047</v>
      </c>
      <c r="U324" s="82">
        <f ca="1">--(Tabel3[[#This Row],[jour]]&lt;&gt;TRUNC(Tabel3[[#This Row],[fin]]))</f>
        <v>1</v>
      </c>
      <c r="V324" s="82">
        <f ca="1">IF(Tabel3[[#This Row],[Type]]="j0",0,--(TRUNC(Tabel3[[#This Row],[debut]])-TRUNC(Tabel3[[#This Row],[fin precedent]])&lt;Tabel3[[#This Row],[delai]]))</f>
        <v>0</v>
      </c>
      <c r="X324"/>
      <c r="Y324" s="75"/>
    </row>
    <row r="325" spans="12:25" ht="18" customHeight="1" x14ac:dyDescent="0.2">
      <c r="L325" s="78" t="s">
        <v>74</v>
      </c>
      <c r="M325" s="78" t="s">
        <v>82</v>
      </c>
      <c r="N325" s="78" t="s">
        <v>40</v>
      </c>
      <c r="O325" s="84">
        <v>45933</v>
      </c>
      <c r="P325" s="78">
        <v>13.950000000000001</v>
      </c>
      <c r="Q325" s="78">
        <f>INDEX($C$1:$I$1,MATCH(Tabel3[[#This Row],[Type]],Devoirs[[#Headers],[J0]:[J60]],0))</f>
        <v>5</v>
      </c>
      <c r="R325" s="85" cm="1">
        <f t="array" aca="1" ref="R32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45923.462534722232</v>
      </c>
      <c r="S32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45944.456562500047</v>
      </c>
      <c r="T32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45944.466250000049</v>
      </c>
      <c r="U325" s="82">
        <f ca="1">--(Tabel3[[#This Row],[jour]]&lt;&gt;TRUNC(Tabel3[[#This Row],[fin]]))</f>
        <v>1</v>
      </c>
      <c r="V325" s="82">
        <f ca="1">IF(Tabel3[[#This Row],[Type]]="j0",0,--(TRUNC(Tabel3[[#This Row],[debut]])-TRUNC(Tabel3[[#This Row],[fin precedent]])&lt;Tabel3[[#This Row],[delai]]))</f>
        <v>0</v>
      </c>
      <c r="X325"/>
      <c r="Y325" s="75"/>
    </row>
    <row r="326" spans="12:25" ht="18" customHeight="1" x14ac:dyDescent="0.2">
      <c r="L326" s="78" t="s">
        <v>135</v>
      </c>
      <c r="M326" s="78" t="s">
        <v>142</v>
      </c>
      <c r="N326" s="78" t="s">
        <v>40</v>
      </c>
      <c r="O326" s="84">
        <v>45933</v>
      </c>
      <c r="P326" s="78">
        <v>18</v>
      </c>
      <c r="Q326" s="78">
        <f>INDEX($C$1:$I$1,MATCH(Tabel3[[#This Row],[Type]],Devoirs[[#Headers],[J0]:[J60]],0))</f>
        <v>5</v>
      </c>
      <c r="R326" s="85" cm="1">
        <f t="array" aca="1" ref="R32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45911.693923611136</v>
      </c>
      <c r="S32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45944.466250000049</v>
      </c>
      <c r="T32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45944.478750000046</v>
      </c>
      <c r="U326" s="82">
        <f ca="1">--(Tabel3[[#This Row],[jour]]&lt;&gt;TRUNC(Tabel3[[#This Row],[fin]]))</f>
        <v>1</v>
      </c>
      <c r="V326" s="82">
        <f ca="1">IF(Tabel3[[#This Row],[Type]]="j0",0,--(TRUNC(Tabel3[[#This Row],[debut]])-TRUNC(Tabel3[[#This Row],[fin precedent]])&lt;Tabel3[[#This Row],[delai]]))</f>
        <v>0</v>
      </c>
      <c r="X326"/>
      <c r="Y326" s="75"/>
    </row>
    <row r="327" spans="12:25" ht="18" customHeight="1" x14ac:dyDescent="0.2">
      <c r="L327" s="78" t="s">
        <v>74</v>
      </c>
      <c r="M327" s="78" t="s">
        <v>75</v>
      </c>
      <c r="N327" s="78" t="s">
        <v>40</v>
      </c>
      <c r="O327" s="84">
        <v>45933</v>
      </c>
      <c r="P327" s="78">
        <v>27</v>
      </c>
      <c r="Q327" s="78">
        <f>INDEX($C$1:$I$1,MATCH(Tabel3[[#This Row],[Type]],Devoirs[[#Headers],[J0]:[J60]],0))</f>
        <v>5</v>
      </c>
      <c r="R327" s="85" cm="1">
        <f t="array" aca="1" ref="R32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45923.462534722232</v>
      </c>
      <c r="S32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45944.478750000046</v>
      </c>
      <c r="T32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45944.497500000049</v>
      </c>
      <c r="U327" s="82">
        <f ca="1">--(Tabel3[[#This Row],[jour]]&lt;&gt;TRUNC(Tabel3[[#This Row],[fin]]))</f>
        <v>1</v>
      </c>
      <c r="V327" s="82">
        <f ca="1">IF(Tabel3[[#This Row],[Type]]="j0",0,--(TRUNC(Tabel3[[#This Row],[debut]])-TRUNC(Tabel3[[#This Row],[fin precedent]])&lt;Tabel3[[#This Row],[delai]]))</f>
        <v>0</v>
      </c>
      <c r="X327"/>
      <c r="Y327" s="75"/>
    </row>
    <row r="328" spans="12:25" ht="18" customHeight="1" x14ac:dyDescent="0.2">
      <c r="L328" s="78" t="s">
        <v>51</v>
      </c>
      <c r="M328" s="78" t="s">
        <v>57</v>
      </c>
      <c r="N328" s="78" t="s">
        <v>40</v>
      </c>
      <c r="O328" s="84">
        <v>45933</v>
      </c>
      <c r="P328" s="78">
        <v>32.85</v>
      </c>
      <c r="Q328" s="78">
        <f>INDEX($C$1:$I$1,MATCH(Tabel3[[#This Row],[Type]],Devoirs[[#Headers],[J0]:[J60]],0))</f>
        <v>5</v>
      </c>
      <c r="R328" s="85" cm="1">
        <f t="array" aca="1" ref="R32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45912.379756944465</v>
      </c>
      <c r="S32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45944.497500000049</v>
      </c>
      <c r="T32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45944.520312500048</v>
      </c>
      <c r="U328" s="82">
        <f ca="1">--(Tabel3[[#This Row],[jour]]&lt;&gt;TRUNC(Tabel3[[#This Row],[fin]]))</f>
        <v>1</v>
      </c>
      <c r="V328" s="82">
        <f ca="1">IF(Tabel3[[#This Row],[Type]]="j0",0,--(TRUNC(Tabel3[[#This Row],[debut]])-TRUNC(Tabel3[[#This Row],[fin precedent]])&lt;Tabel3[[#This Row],[delai]]))</f>
        <v>0</v>
      </c>
      <c r="X328"/>
      <c r="Y328" s="75"/>
    </row>
    <row r="329" spans="12:25" ht="18" customHeight="1" x14ac:dyDescent="0.2">
      <c r="L329" s="78" t="s">
        <v>64</v>
      </c>
      <c r="M329" s="78" t="s">
        <v>72</v>
      </c>
      <c r="N329" s="78" t="s">
        <v>40</v>
      </c>
      <c r="O329" s="84">
        <v>45933</v>
      </c>
      <c r="P329" s="78">
        <v>36.9</v>
      </c>
      <c r="Q329" s="78">
        <f>INDEX($C$1:$I$1,MATCH(Tabel3[[#This Row],[Type]],Devoirs[[#Headers],[J0]:[J60]],0))</f>
        <v>5</v>
      </c>
      <c r="R329" s="85" cm="1">
        <f t="array" aca="1" ref="R32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45926.471840277802</v>
      </c>
      <c r="S32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45944.520312500048</v>
      </c>
      <c r="T32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45944.54593750005</v>
      </c>
      <c r="U329" s="82">
        <f ca="1">--(Tabel3[[#This Row],[jour]]&lt;&gt;TRUNC(Tabel3[[#This Row],[fin]]))</f>
        <v>1</v>
      </c>
      <c r="V329" s="82">
        <f ca="1">IF(Tabel3[[#This Row],[Type]]="j0",0,--(TRUNC(Tabel3[[#This Row],[debut]])-TRUNC(Tabel3[[#This Row],[fin precedent]])&lt;Tabel3[[#This Row],[delai]]))</f>
        <v>0</v>
      </c>
      <c r="X329"/>
      <c r="Y329" s="75"/>
    </row>
    <row r="330" spans="12:25" ht="18" customHeight="1" x14ac:dyDescent="0.2">
      <c r="L330" s="78" t="s">
        <v>85</v>
      </c>
      <c r="M330" s="78" t="s">
        <v>92</v>
      </c>
      <c r="N330" s="78" t="s">
        <v>40</v>
      </c>
      <c r="O330" s="84">
        <v>45933</v>
      </c>
      <c r="P330" s="78">
        <v>44.550000000000004</v>
      </c>
      <c r="Q330" s="78">
        <f>INDEX($C$1:$I$1,MATCH(Tabel3[[#This Row],[Type]],Devoirs[[#Headers],[J0]:[J60]],0))</f>
        <v>5</v>
      </c>
      <c r="R330" s="85" cm="1">
        <f t="array" aca="1" ref="R33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45912.49809027779</v>
      </c>
      <c r="S33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45944.54593750005</v>
      </c>
      <c r="T33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45944.57687500005</v>
      </c>
      <c r="U330" s="82">
        <f ca="1">--(Tabel3[[#This Row],[jour]]&lt;&gt;TRUNC(Tabel3[[#This Row],[fin]]))</f>
        <v>1</v>
      </c>
      <c r="V330" s="82">
        <f ca="1">IF(Tabel3[[#This Row],[Type]]="j0",0,--(TRUNC(Tabel3[[#This Row],[debut]])-TRUNC(Tabel3[[#This Row],[fin precedent]])&lt;Tabel3[[#This Row],[delai]]))</f>
        <v>0</v>
      </c>
      <c r="X330"/>
      <c r="Y330" s="75"/>
    </row>
    <row r="331" spans="12:25" ht="18" customHeight="1" x14ac:dyDescent="0.2">
      <c r="L331" s="78" t="s">
        <v>125</v>
      </c>
      <c r="M331" s="78" t="s">
        <v>127</v>
      </c>
      <c r="N331" s="78" t="s">
        <v>40</v>
      </c>
      <c r="O331" s="84">
        <v>45933</v>
      </c>
      <c r="P331" s="78">
        <v>48.15</v>
      </c>
      <c r="Q331" s="78">
        <f>INDEX($C$1:$I$1,MATCH(Tabel3[[#This Row],[Type]],Devoirs[[#Headers],[J0]:[J60]],0))</f>
        <v>5</v>
      </c>
      <c r="R331" s="85" cm="1">
        <f t="array" aca="1" ref="R33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45919.707187500011</v>
      </c>
      <c r="S33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45944.57687500005</v>
      </c>
      <c r="T33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45944.610312500052</v>
      </c>
      <c r="U331" s="82">
        <f ca="1">--(Tabel3[[#This Row],[jour]]&lt;&gt;TRUNC(Tabel3[[#This Row],[fin]]))</f>
        <v>1</v>
      </c>
      <c r="V331" s="82">
        <f ca="1">IF(Tabel3[[#This Row],[Type]]="j0",0,--(TRUNC(Tabel3[[#This Row],[debut]])-TRUNC(Tabel3[[#This Row],[fin precedent]])&lt;Tabel3[[#This Row],[delai]]))</f>
        <v>0</v>
      </c>
      <c r="X331"/>
      <c r="Y331" s="75"/>
    </row>
    <row r="332" spans="12:25" ht="18" customHeight="1" x14ac:dyDescent="0.2">
      <c r="L332" s="78" t="s">
        <v>85</v>
      </c>
      <c r="M332" s="78" t="s">
        <v>86</v>
      </c>
      <c r="N332" s="78" t="s">
        <v>40</v>
      </c>
      <c r="O332" s="84">
        <v>45933</v>
      </c>
      <c r="P332" s="78">
        <v>49.5</v>
      </c>
      <c r="Q332" s="78">
        <f>INDEX($C$1:$I$1,MATCH(Tabel3[[#This Row],[Type]],Devoirs[[#Headers],[J0]:[J60]],0))</f>
        <v>5</v>
      </c>
      <c r="R332" s="85" cm="1">
        <f t="array" aca="1" ref="R33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45912.49809027779</v>
      </c>
      <c r="S33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45944.610312500052</v>
      </c>
      <c r="T33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45944.644687500055</v>
      </c>
      <c r="U332" s="82">
        <f ca="1">--(Tabel3[[#This Row],[jour]]&lt;&gt;TRUNC(Tabel3[[#This Row],[fin]]))</f>
        <v>1</v>
      </c>
      <c r="V332" s="82">
        <f ca="1">IF(Tabel3[[#This Row],[Type]]="j0",0,--(TRUNC(Tabel3[[#This Row],[debut]])-TRUNC(Tabel3[[#This Row],[fin precedent]])&lt;Tabel3[[#This Row],[delai]]))</f>
        <v>0</v>
      </c>
      <c r="X332"/>
      <c r="Y332" s="75"/>
    </row>
    <row r="333" spans="12:25" ht="18" customHeight="1" x14ac:dyDescent="0.2">
      <c r="L333" s="78" t="s">
        <v>135</v>
      </c>
      <c r="M333" s="78" t="s">
        <v>136</v>
      </c>
      <c r="N333" s="78" t="s">
        <v>39</v>
      </c>
      <c r="O333" s="84">
        <v>45933</v>
      </c>
      <c r="P333" s="78">
        <v>34.799999999999997</v>
      </c>
      <c r="Q333" s="78">
        <f>INDEX($C$1:$I$1,MATCH(Tabel3[[#This Row],[Type]],Devoirs[[#Headers],[J0]:[J60]],0))</f>
        <v>4</v>
      </c>
      <c r="R333" s="85" cm="1">
        <f t="array" aca="1" ref="R33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45908.350000000006</v>
      </c>
      <c r="S33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45944.644687500055</v>
      </c>
      <c r="T33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45944.668854166724</v>
      </c>
      <c r="U333" s="82">
        <f ca="1">--(Tabel3[[#This Row],[jour]]&lt;&gt;TRUNC(Tabel3[[#This Row],[fin]]))</f>
        <v>1</v>
      </c>
      <c r="V333" s="82">
        <f ca="1">IF(Tabel3[[#This Row],[Type]]="j0",0,--(TRUNC(Tabel3[[#This Row],[debut]])-TRUNC(Tabel3[[#This Row],[fin precedent]])&lt;Tabel3[[#This Row],[delai]]))</f>
        <v>0</v>
      </c>
      <c r="X333"/>
      <c r="Y333" s="75"/>
    </row>
    <row r="334" spans="12:25" ht="18" customHeight="1" x14ac:dyDescent="0.2">
      <c r="L334" s="78" t="s">
        <v>85</v>
      </c>
      <c r="M334" s="78" t="s">
        <v>93</v>
      </c>
      <c r="N334" s="78" t="s">
        <v>39</v>
      </c>
      <c r="O334" s="84">
        <v>45933</v>
      </c>
      <c r="P334" s="78">
        <v>46.8</v>
      </c>
      <c r="Q334" s="78">
        <f>INDEX($C$1:$I$1,MATCH(Tabel3[[#This Row],[Type]],Devoirs[[#Headers],[J0]:[J60]],0))</f>
        <v>4</v>
      </c>
      <c r="R334" s="85" cm="1">
        <f t="array" aca="1" ref="R33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45908.563854166678</v>
      </c>
      <c r="S33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45944.668854166724</v>
      </c>
      <c r="T33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45944.701354166726</v>
      </c>
      <c r="U334" s="82">
        <f ca="1">--(Tabel3[[#This Row],[jour]]&lt;&gt;TRUNC(Tabel3[[#This Row],[fin]]))</f>
        <v>1</v>
      </c>
      <c r="V334" s="82">
        <f ca="1">IF(Tabel3[[#This Row],[Type]]="j0",0,--(TRUNC(Tabel3[[#This Row],[debut]])-TRUNC(Tabel3[[#This Row],[fin precedent]])&lt;Tabel3[[#This Row],[delai]]))</f>
        <v>0</v>
      </c>
      <c r="X334"/>
      <c r="Y334" s="75"/>
    </row>
    <row r="335" spans="12:25" ht="18" customHeight="1" x14ac:dyDescent="0.2">
      <c r="L335" s="78" t="s">
        <v>43</v>
      </c>
      <c r="M335" s="78" t="s">
        <v>45</v>
      </c>
      <c r="N335" s="78" t="s">
        <v>39</v>
      </c>
      <c r="O335" s="84">
        <v>45933</v>
      </c>
      <c r="P335" s="78">
        <v>49.199999999999996</v>
      </c>
      <c r="Q335" s="78">
        <f>INDEX($C$1:$I$1,MATCH(Tabel3[[#This Row],[Type]],Devoirs[[#Headers],[J0]:[J60]],0))</f>
        <v>4</v>
      </c>
      <c r="R335" s="85" cm="1">
        <f t="array" aca="1" ref="R33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45924.734861111123</v>
      </c>
      <c r="S33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45944.701354166726</v>
      </c>
      <c r="T33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45944.73552083339</v>
      </c>
      <c r="U335" s="82">
        <f ca="1">--(Tabel3[[#This Row],[jour]]&lt;&gt;TRUNC(Tabel3[[#This Row],[fin]]))</f>
        <v>1</v>
      </c>
      <c r="V335" s="82">
        <f ca="1">IF(Tabel3[[#This Row],[Type]]="j0",0,--(TRUNC(Tabel3[[#This Row],[debut]])-TRUNC(Tabel3[[#This Row],[fin precedent]])&lt;Tabel3[[#This Row],[delai]]))</f>
        <v>0</v>
      </c>
      <c r="X335"/>
      <c r="Y335" s="75"/>
    </row>
    <row r="336" spans="12:25" ht="18" customHeight="1" x14ac:dyDescent="0.2">
      <c r="L336" s="78" t="s">
        <v>125</v>
      </c>
      <c r="M336" s="78" t="s">
        <v>134</v>
      </c>
      <c r="N336" s="78" t="s">
        <v>39</v>
      </c>
      <c r="O336" s="84">
        <v>45933</v>
      </c>
      <c r="P336" s="78">
        <v>61.199999999999996</v>
      </c>
      <c r="Q336" s="78">
        <f>INDEX($C$1:$I$1,MATCH(Tabel3[[#This Row],[Type]],Devoirs[[#Headers],[J0]:[J60]],0))</f>
        <v>4</v>
      </c>
      <c r="R336" s="85" cm="1">
        <f t="array" aca="1" ref="R33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45915.409895833334</v>
      </c>
      <c r="S33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45944.73552083339</v>
      </c>
      <c r="T33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45945.361354166729</v>
      </c>
      <c r="U336" s="82">
        <f ca="1">--(Tabel3[[#This Row],[jour]]&lt;&gt;TRUNC(Tabel3[[#This Row],[fin]]))</f>
        <v>1</v>
      </c>
      <c r="V336" s="82">
        <f ca="1">IF(Tabel3[[#This Row],[Type]]="j0",0,--(TRUNC(Tabel3[[#This Row],[debut]])-TRUNC(Tabel3[[#This Row],[fin precedent]])&lt;Tabel3[[#This Row],[delai]]))</f>
        <v>0</v>
      </c>
      <c r="X336"/>
      <c r="Y336" s="75"/>
    </row>
    <row r="337" spans="12:25" ht="18" customHeight="1" x14ac:dyDescent="0.2">
      <c r="L337" s="78" t="s">
        <v>51</v>
      </c>
      <c r="M337" s="78" t="s">
        <v>53</v>
      </c>
      <c r="N337" s="78" t="s">
        <v>1</v>
      </c>
      <c r="O337" s="84">
        <v>45933</v>
      </c>
      <c r="P337" s="78">
        <v>62</v>
      </c>
      <c r="Q337" s="78">
        <f>INDEX($C$1:$I$1,MATCH(Tabel3[[#This Row],[Type]],Devoirs[[#Headers],[J0]:[J60]],0))</f>
        <v>0</v>
      </c>
      <c r="R337" s="85" t="str" cm="1">
        <f t="array" ref="R337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33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45945.361354166729</v>
      </c>
      <c r="T33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45945.404409722287</v>
      </c>
      <c r="U337" s="82">
        <f ca="1">--(Tabel3[[#This Row],[jour]]&lt;&gt;TRUNC(Tabel3[[#This Row],[fin]]))</f>
        <v>1</v>
      </c>
      <c r="V337" s="82">
        <f>IF(Tabel3[[#This Row],[Type]]="j0",0,--(TRUNC(Tabel3[[#This Row],[debut]])-TRUNC(Tabel3[[#This Row],[fin precedent]])&lt;Tabel3[[#This Row],[delai]]))</f>
        <v>0</v>
      </c>
      <c r="X337"/>
      <c r="Y337" s="75"/>
    </row>
    <row r="338" spans="12:25" ht="18" customHeight="1" x14ac:dyDescent="0.2">
      <c r="L338" s="78" t="s">
        <v>104</v>
      </c>
      <c r="M338" s="78" t="s">
        <v>111</v>
      </c>
      <c r="N338" s="78" t="s">
        <v>1</v>
      </c>
      <c r="O338" s="84">
        <v>45933</v>
      </c>
      <c r="P338" s="78">
        <v>62</v>
      </c>
      <c r="Q338" s="78">
        <f>INDEX($C$1:$I$1,MATCH(Tabel3[[#This Row],[Type]],Devoirs[[#Headers],[J0]:[J60]],0))</f>
        <v>0</v>
      </c>
      <c r="R338" s="85" t="str" cm="1">
        <f t="array" ref="R338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33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45945.404409722287</v>
      </c>
      <c r="T33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45945.447465277844</v>
      </c>
      <c r="U338" s="82">
        <f ca="1">--(Tabel3[[#This Row],[jour]]&lt;&gt;TRUNC(Tabel3[[#This Row],[fin]]))</f>
        <v>1</v>
      </c>
      <c r="V338" s="82">
        <f>IF(Tabel3[[#This Row],[Type]]="j0",0,--(TRUNC(Tabel3[[#This Row],[debut]])-TRUNC(Tabel3[[#This Row],[fin precedent]])&lt;Tabel3[[#This Row],[delai]]))</f>
        <v>0</v>
      </c>
      <c r="X338"/>
      <c r="Y338" s="75"/>
    </row>
    <row r="339" spans="12:25" ht="18" customHeight="1" x14ac:dyDescent="0.2">
      <c r="L339" s="78" t="s">
        <v>74</v>
      </c>
      <c r="M339" s="78" t="s">
        <v>81</v>
      </c>
      <c r="N339" s="78" t="s">
        <v>1</v>
      </c>
      <c r="O339" s="84">
        <v>45933</v>
      </c>
      <c r="P339" s="78">
        <v>106</v>
      </c>
      <c r="Q339" s="78">
        <f>INDEX($C$1:$I$1,MATCH(Tabel3[[#This Row],[Type]],Devoirs[[#Headers],[J0]:[J60]],0))</f>
        <v>0</v>
      </c>
      <c r="R339" s="85" t="str" cm="1">
        <f t="array" ref="R339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33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45945.447465277844</v>
      </c>
      <c r="T33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45945.521076388955</v>
      </c>
      <c r="U339" s="82">
        <f ca="1">--(Tabel3[[#This Row],[jour]]&lt;&gt;TRUNC(Tabel3[[#This Row],[fin]]))</f>
        <v>1</v>
      </c>
      <c r="V339" s="82">
        <f>IF(Tabel3[[#This Row],[Type]]="j0",0,--(TRUNC(Tabel3[[#This Row],[debut]])-TRUNC(Tabel3[[#This Row],[fin precedent]])&lt;Tabel3[[#This Row],[delai]]))</f>
        <v>0</v>
      </c>
      <c r="X339"/>
      <c r="Y339" s="75"/>
    </row>
    <row r="340" spans="12:25" ht="18" customHeight="1" x14ac:dyDescent="0.2">
      <c r="L340" s="78" t="s">
        <v>104</v>
      </c>
      <c r="M340" s="78" t="s">
        <v>123</v>
      </c>
      <c r="N340" s="78" t="s">
        <v>37</v>
      </c>
      <c r="O340" s="84">
        <v>45934</v>
      </c>
      <c r="P340" s="78">
        <v>68.400000000000006</v>
      </c>
      <c r="Q340" s="78">
        <f>INDEX($C$1:$I$1,MATCH(Tabel3[[#This Row],[Type]],Devoirs[[#Headers],[J0]:[J60]],0))</f>
        <v>2</v>
      </c>
      <c r="R340" s="85" cm="1">
        <f t="array" aca="1" ref="R34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45902.487499999996</v>
      </c>
      <c r="S34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45945.521076388955</v>
      </c>
      <c r="T34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45945.568576388956</v>
      </c>
      <c r="U340" s="82">
        <f ca="1">--(Tabel3[[#This Row],[jour]]&lt;&gt;TRUNC(Tabel3[[#This Row],[fin]]))</f>
        <v>1</v>
      </c>
      <c r="V340" s="82">
        <f ca="1">IF(Tabel3[[#This Row],[Type]]="j0",0,--(TRUNC(Tabel3[[#This Row],[debut]])-TRUNC(Tabel3[[#This Row],[fin precedent]])&lt;Tabel3[[#This Row],[delai]]))</f>
        <v>0</v>
      </c>
      <c r="X340"/>
      <c r="Y340" s="75"/>
    </row>
    <row r="341" spans="12:25" ht="18" customHeight="1" x14ac:dyDescent="0.2">
      <c r="L341" s="78" t="s">
        <v>43</v>
      </c>
      <c r="M341" s="78" t="s">
        <v>50</v>
      </c>
      <c r="N341" s="78" t="s">
        <v>37</v>
      </c>
      <c r="O341" s="84">
        <v>45934</v>
      </c>
      <c r="P341" s="78">
        <v>107.10000000000001</v>
      </c>
      <c r="Q341" s="78">
        <f>INDEX($C$1:$I$1,MATCH(Tabel3[[#This Row],[Type]],Devoirs[[#Headers],[J0]:[J60]],0))</f>
        <v>2</v>
      </c>
      <c r="R341" s="85" cm="1">
        <f t="array" aca="1" ref="R34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45916.66041666668</v>
      </c>
      <c r="S34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45945.568576388956</v>
      </c>
      <c r="T34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45945.642951388952</v>
      </c>
      <c r="U341" s="82">
        <f ca="1">--(Tabel3[[#This Row],[jour]]&lt;&gt;TRUNC(Tabel3[[#This Row],[fin]]))</f>
        <v>1</v>
      </c>
      <c r="V341" s="82">
        <f ca="1">IF(Tabel3[[#This Row],[Type]]="j0",0,--(TRUNC(Tabel3[[#This Row],[debut]])-TRUNC(Tabel3[[#This Row],[fin precedent]])&lt;Tabel3[[#This Row],[delai]]))</f>
        <v>0</v>
      </c>
      <c r="X341"/>
      <c r="Y341" s="75"/>
    </row>
    <row r="342" spans="12:25" ht="18" customHeight="1" x14ac:dyDescent="0.2">
      <c r="L342" s="78" t="s">
        <v>43</v>
      </c>
      <c r="M342" s="78" t="s">
        <v>48</v>
      </c>
      <c r="N342" s="78" t="s">
        <v>40</v>
      </c>
      <c r="O342" s="84">
        <v>45934</v>
      </c>
      <c r="P342" s="78">
        <v>14.4</v>
      </c>
      <c r="Q342" s="78">
        <f>INDEX($C$1:$I$1,MATCH(Tabel3[[#This Row],[Type]],Devoirs[[#Headers],[J0]:[J60]],0))</f>
        <v>5</v>
      </c>
      <c r="R342" s="85" cm="1">
        <f t="array" aca="1" ref="R34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45932.585833333382</v>
      </c>
      <c r="S34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45945.642951388952</v>
      </c>
      <c r="T34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45945.652951388955</v>
      </c>
      <c r="U342" s="82">
        <f ca="1">--(Tabel3[[#This Row],[jour]]&lt;&gt;TRUNC(Tabel3[[#This Row],[fin]]))</f>
        <v>1</v>
      </c>
      <c r="V342" s="82">
        <f ca="1">IF(Tabel3[[#This Row],[Type]]="j0",0,--(TRUNC(Tabel3[[#This Row],[debut]])-TRUNC(Tabel3[[#This Row],[fin precedent]])&lt;Tabel3[[#This Row],[delai]]))</f>
        <v>0</v>
      </c>
      <c r="X342"/>
      <c r="Y342" s="75"/>
    </row>
    <row r="343" spans="12:25" ht="18" customHeight="1" x14ac:dyDescent="0.2">
      <c r="L343" s="78" t="s">
        <v>51</v>
      </c>
      <c r="M343" s="78" t="s">
        <v>58</v>
      </c>
      <c r="N343" s="78" t="s">
        <v>40</v>
      </c>
      <c r="O343" s="84">
        <v>45934</v>
      </c>
      <c r="P343" s="78">
        <v>25.2</v>
      </c>
      <c r="Q343" s="78">
        <f>INDEX($C$1:$I$1,MATCH(Tabel3[[#This Row],[Type]],Devoirs[[#Headers],[J0]:[J60]],0))</f>
        <v>5</v>
      </c>
      <c r="R343" s="85" cm="1">
        <f t="array" aca="1" ref="R34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45912.379756944465</v>
      </c>
      <c r="S34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45945.652951388955</v>
      </c>
      <c r="T34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45945.670451388956</v>
      </c>
      <c r="U343" s="82">
        <f ca="1">--(Tabel3[[#This Row],[jour]]&lt;&gt;TRUNC(Tabel3[[#This Row],[fin]]))</f>
        <v>1</v>
      </c>
      <c r="V343" s="82">
        <f ca="1">IF(Tabel3[[#This Row],[Type]]="j0",0,--(TRUNC(Tabel3[[#This Row],[debut]])-TRUNC(Tabel3[[#This Row],[fin precedent]])&lt;Tabel3[[#This Row],[delai]]))</f>
        <v>0</v>
      </c>
      <c r="X343"/>
      <c r="Y343" s="75"/>
    </row>
    <row r="344" spans="12:25" ht="18" customHeight="1" x14ac:dyDescent="0.2">
      <c r="L344" s="78" t="s">
        <v>125</v>
      </c>
      <c r="M344" s="78" t="s">
        <v>131</v>
      </c>
      <c r="N344" s="78" t="s">
        <v>40</v>
      </c>
      <c r="O344" s="84">
        <v>45934</v>
      </c>
      <c r="P344" s="78">
        <v>25.2</v>
      </c>
      <c r="Q344" s="78">
        <f>INDEX($C$1:$I$1,MATCH(Tabel3[[#This Row],[Type]],Devoirs[[#Headers],[J0]:[J60]],0))</f>
        <v>5</v>
      </c>
      <c r="R344" s="85" cm="1">
        <f t="array" aca="1" ref="R34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45919.707187500011</v>
      </c>
      <c r="S34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45945.670451388956</v>
      </c>
      <c r="T34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45945.687951388958</v>
      </c>
      <c r="U344" s="82">
        <f ca="1">--(Tabel3[[#This Row],[jour]]&lt;&gt;TRUNC(Tabel3[[#This Row],[fin]]))</f>
        <v>1</v>
      </c>
      <c r="V344" s="82">
        <f ca="1">IF(Tabel3[[#This Row],[Type]]="j0",0,--(TRUNC(Tabel3[[#This Row],[debut]])-TRUNC(Tabel3[[#This Row],[fin precedent]])&lt;Tabel3[[#This Row],[delai]]))</f>
        <v>0</v>
      </c>
      <c r="X344"/>
      <c r="Y344" s="75"/>
    </row>
    <row r="345" spans="12:25" ht="18" customHeight="1" x14ac:dyDescent="0.2">
      <c r="L345" s="78" t="s">
        <v>51</v>
      </c>
      <c r="M345" s="78" t="s">
        <v>52</v>
      </c>
      <c r="N345" s="78" t="s">
        <v>40</v>
      </c>
      <c r="O345" s="84">
        <v>45934</v>
      </c>
      <c r="P345" s="78">
        <v>45.9</v>
      </c>
      <c r="Q345" s="78">
        <f>INDEX($C$1:$I$1,MATCH(Tabel3[[#This Row],[Type]],Devoirs[[#Headers],[J0]:[J60]],0))</f>
        <v>5</v>
      </c>
      <c r="R345" s="85" cm="1">
        <f t="array" aca="1" ref="R34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45912.379756944465</v>
      </c>
      <c r="S34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45945.687951388958</v>
      </c>
      <c r="T34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45945.719826388959</v>
      </c>
      <c r="U345" s="82">
        <f ca="1">--(Tabel3[[#This Row],[jour]]&lt;&gt;TRUNC(Tabel3[[#This Row],[fin]]))</f>
        <v>1</v>
      </c>
      <c r="V345" s="82">
        <f ca="1">IF(Tabel3[[#This Row],[Type]]="j0",0,--(TRUNC(Tabel3[[#This Row],[debut]])-TRUNC(Tabel3[[#This Row],[fin precedent]])&lt;Tabel3[[#This Row],[delai]]))</f>
        <v>0</v>
      </c>
      <c r="X345"/>
      <c r="Y345" s="75"/>
    </row>
    <row r="346" spans="12:25" ht="18" customHeight="1" x14ac:dyDescent="0.2">
      <c r="L346" s="78" t="s">
        <v>135</v>
      </c>
      <c r="M346" s="78" t="s">
        <v>158</v>
      </c>
      <c r="N346" s="78" t="s">
        <v>40</v>
      </c>
      <c r="O346" s="84">
        <v>45934</v>
      </c>
      <c r="P346" s="78">
        <v>46.800000000000004</v>
      </c>
      <c r="Q346" s="78">
        <f>INDEX($C$1:$I$1,MATCH(Tabel3[[#This Row],[Type]],Devoirs[[#Headers],[J0]:[J60]],0))</f>
        <v>5</v>
      </c>
      <c r="R346" s="85" cm="1">
        <f t="array" aca="1" ref="R34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45911.693923611136</v>
      </c>
      <c r="S34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45945.719826388959</v>
      </c>
      <c r="T34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45946.335659722296</v>
      </c>
      <c r="U346" s="82">
        <f ca="1">--(Tabel3[[#This Row],[jour]]&lt;&gt;TRUNC(Tabel3[[#This Row],[fin]]))</f>
        <v>1</v>
      </c>
      <c r="V346" s="82">
        <f ca="1">IF(Tabel3[[#This Row],[Type]]="j0",0,--(TRUNC(Tabel3[[#This Row],[debut]])-TRUNC(Tabel3[[#This Row],[fin precedent]])&lt;Tabel3[[#This Row],[delai]]))</f>
        <v>0</v>
      </c>
      <c r="X346"/>
      <c r="Y346" s="75"/>
    </row>
    <row r="347" spans="12:25" ht="18" customHeight="1" x14ac:dyDescent="0.2">
      <c r="L347" s="78" t="s">
        <v>74</v>
      </c>
      <c r="M347" s="78" t="s">
        <v>84</v>
      </c>
      <c r="N347" s="78" t="s">
        <v>39</v>
      </c>
      <c r="O347" s="84">
        <v>45934</v>
      </c>
      <c r="P347" s="78">
        <v>24</v>
      </c>
      <c r="Q347" s="78">
        <f>INDEX($C$1:$I$1,MATCH(Tabel3[[#This Row],[Type]],Devoirs[[#Headers],[J0]:[J60]],0))</f>
        <v>4</v>
      </c>
      <c r="R347" s="85" cm="1">
        <f t="array" aca="1" ref="R34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45916.567500000012</v>
      </c>
      <c r="S34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45946.335659722296</v>
      </c>
      <c r="T34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45946.352326388966</v>
      </c>
      <c r="U347" s="82">
        <f ca="1">--(Tabel3[[#This Row],[jour]]&lt;&gt;TRUNC(Tabel3[[#This Row],[fin]]))</f>
        <v>1</v>
      </c>
      <c r="V347" s="82">
        <f ca="1">IF(Tabel3[[#This Row],[Type]]="j0",0,--(TRUNC(Tabel3[[#This Row],[debut]])-TRUNC(Tabel3[[#This Row],[fin precedent]])&lt;Tabel3[[#This Row],[delai]]))</f>
        <v>0</v>
      </c>
      <c r="X347"/>
      <c r="Y347" s="75"/>
    </row>
    <row r="348" spans="12:25" ht="18" customHeight="1" x14ac:dyDescent="0.2">
      <c r="L348" s="78" t="s">
        <v>64</v>
      </c>
      <c r="M348" s="78" t="s">
        <v>68</v>
      </c>
      <c r="N348" s="78" t="s">
        <v>39</v>
      </c>
      <c r="O348" s="84">
        <v>45934</v>
      </c>
      <c r="P348" s="78">
        <v>36</v>
      </c>
      <c r="Q348" s="78">
        <f>INDEX($C$1:$I$1,MATCH(Tabel3[[#This Row],[Type]],Devoirs[[#Headers],[J0]:[J60]],0))</f>
        <v>4</v>
      </c>
      <c r="R348" s="85" cm="1">
        <f t="array" aca="1" ref="R34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45919.41250000002</v>
      </c>
      <c r="S34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45946.352326388966</v>
      </c>
      <c r="T34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45946.377326388967</v>
      </c>
      <c r="U348" s="82">
        <f ca="1">--(Tabel3[[#This Row],[jour]]&lt;&gt;TRUNC(Tabel3[[#This Row],[fin]]))</f>
        <v>1</v>
      </c>
      <c r="V348" s="82">
        <f ca="1">IF(Tabel3[[#This Row],[Type]]="j0",0,--(TRUNC(Tabel3[[#This Row],[debut]])-TRUNC(Tabel3[[#This Row],[fin precedent]])&lt;Tabel3[[#This Row],[delai]]))</f>
        <v>0</v>
      </c>
      <c r="X348"/>
      <c r="Y348" s="75"/>
    </row>
    <row r="349" spans="12:25" ht="18" customHeight="1" x14ac:dyDescent="0.2">
      <c r="L349" s="78" t="s">
        <v>104</v>
      </c>
      <c r="M349" s="78" t="s">
        <v>121</v>
      </c>
      <c r="N349" s="78" t="s">
        <v>39</v>
      </c>
      <c r="O349" s="84">
        <v>45934</v>
      </c>
      <c r="P349" s="78">
        <v>41.4</v>
      </c>
      <c r="Q349" s="78">
        <f>INDEX($C$1:$I$1,MATCH(Tabel3[[#This Row],[Type]],Devoirs[[#Headers],[J0]:[J60]],0))</f>
        <v>4</v>
      </c>
      <c r="R349" s="85" cm="1">
        <f t="array" aca="1" ref="R34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45908.505000000012</v>
      </c>
      <c r="S34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45946.377326388967</v>
      </c>
      <c r="T34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45946.406076388965</v>
      </c>
      <c r="U349" s="82">
        <f ca="1">--(Tabel3[[#This Row],[jour]]&lt;&gt;TRUNC(Tabel3[[#This Row],[fin]]))</f>
        <v>1</v>
      </c>
      <c r="V349" s="82">
        <f ca="1">IF(Tabel3[[#This Row],[Type]]="j0",0,--(TRUNC(Tabel3[[#This Row],[debut]])-TRUNC(Tabel3[[#This Row],[fin precedent]])&lt;Tabel3[[#This Row],[delai]]))</f>
        <v>0</v>
      </c>
      <c r="X349"/>
      <c r="Y349" s="75"/>
    </row>
    <row r="350" spans="12:25" ht="18" customHeight="1" x14ac:dyDescent="0.2">
      <c r="L350" s="78" t="s">
        <v>104</v>
      </c>
      <c r="M350" s="78" t="s">
        <v>112</v>
      </c>
      <c r="N350" s="78" t="s">
        <v>39</v>
      </c>
      <c r="O350" s="84">
        <v>45934</v>
      </c>
      <c r="P350" s="78">
        <v>58.8</v>
      </c>
      <c r="Q350" s="78">
        <f>INDEX($C$1:$I$1,MATCH(Tabel3[[#This Row],[Type]],Devoirs[[#Headers],[J0]:[J60]],0))</f>
        <v>4</v>
      </c>
      <c r="R350" s="85" cm="1">
        <f t="array" aca="1" ref="R35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45908.505000000012</v>
      </c>
      <c r="S35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45946.406076388965</v>
      </c>
      <c r="T35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45946.446909722297</v>
      </c>
      <c r="U350" s="82">
        <f ca="1">--(Tabel3[[#This Row],[jour]]&lt;&gt;TRUNC(Tabel3[[#This Row],[fin]]))</f>
        <v>1</v>
      </c>
      <c r="V350" s="82">
        <f ca="1">IF(Tabel3[[#This Row],[Type]]="j0",0,--(TRUNC(Tabel3[[#This Row],[debut]])-TRUNC(Tabel3[[#This Row],[fin precedent]])&lt;Tabel3[[#This Row],[delai]]))</f>
        <v>0</v>
      </c>
      <c r="X350"/>
      <c r="Y350" s="75"/>
    </row>
    <row r="351" spans="12:25" ht="18" customHeight="1" x14ac:dyDescent="0.2">
      <c r="L351" s="78" t="s">
        <v>95</v>
      </c>
      <c r="M351" s="78" t="s">
        <v>100</v>
      </c>
      <c r="N351" s="78" t="s">
        <v>39</v>
      </c>
      <c r="O351" s="84">
        <v>45934</v>
      </c>
      <c r="P351" s="78">
        <v>60</v>
      </c>
      <c r="Q351" s="78">
        <f>INDEX($C$1:$I$1,MATCH(Tabel3[[#This Row],[Type]],Devoirs[[#Headers],[J0]:[J60]],0))</f>
        <v>4</v>
      </c>
      <c r="R351" s="85" cm="1">
        <f t="array" aca="1" ref="R35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45918.735937500016</v>
      </c>
      <c r="S35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45946.446909722297</v>
      </c>
      <c r="T35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45946.488576388962</v>
      </c>
      <c r="U351" s="82">
        <f ca="1">--(Tabel3[[#This Row],[jour]]&lt;&gt;TRUNC(Tabel3[[#This Row],[fin]]))</f>
        <v>1</v>
      </c>
      <c r="V351" s="82">
        <f ca="1">IF(Tabel3[[#This Row],[Type]]="j0",0,--(TRUNC(Tabel3[[#This Row],[debut]])-TRUNC(Tabel3[[#This Row],[fin precedent]])&lt;Tabel3[[#This Row],[delai]]))</f>
        <v>0</v>
      </c>
      <c r="X351"/>
      <c r="Y351" s="75"/>
    </row>
    <row r="352" spans="12:25" ht="18" customHeight="1" x14ac:dyDescent="0.2">
      <c r="L352" s="78" t="s">
        <v>95</v>
      </c>
      <c r="M352" s="78" t="s">
        <v>101</v>
      </c>
      <c r="N352" s="78" t="s">
        <v>39</v>
      </c>
      <c r="O352" s="84">
        <v>45934</v>
      </c>
      <c r="P352" s="78">
        <v>60</v>
      </c>
      <c r="Q352" s="78">
        <f>INDEX($C$1:$I$1,MATCH(Tabel3[[#This Row],[Type]],Devoirs[[#Headers],[J0]:[J60]],0))</f>
        <v>4</v>
      </c>
      <c r="R352" s="85" cm="1">
        <f t="array" aca="1" ref="R35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45918.735937500016</v>
      </c>
      <c r="S35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45946.488576388962</v>
      </c>
      <c r="T35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45946.530243055626</v>
      </c>
      <c r="U352" s="82">
        <f ca="1">--(Tabel3[[#This Row],[jour]]&lt;&gt;TRUNC(Tabel3[[#This Row],[fin]]))</f>
        <v>1</v>
      </c>
      <c r="V352" s="82">
        <f ca="1">IF(Tabel3[[#This Row],[Type]]="j0",0,--(TRUNC(Tabel3[[#This Row],[debut]])-TRUNC(Tabel3[[#This Row],[fin precedent]])&lt;Tabel3[[#This Row],[delai]]))</f>
        <v>0</v>
      </c>
      <c r="X352"/>
      <c r="Y352" s="75"/>
    </row>
    <row r="353" spans="12:25" ht="18" customHeight="1" x14ac:dyDescent="0.2">
      <c r="L353" s="78" t="s">
        <v>104</v>
      </c>
      <c r="M353" s="78" t="s">
        <v>110</v>
      </c>
      <c r="N353" s="78" t="s">
        <v>39</v>
      </c>
      <c r="O353" s="84">
        <v>45934</v>
      </c>
      <c r="P353" s="78">
        <v>60</v>
      </c>
      <c r="Q353" s="78">
        <f>INDEX($C$1:$I$1,MATCH(Tabel3[[#This Row],[Type]],Devoirs[[#Headers],[J0]:[J60]],0))</f>
        <v>4</v>
      </c>
      <c r="R353" s="85" cm="1">
        <f t="array" aca="1" ref="R35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45908.505000000012</v>
      </c>
      <c r="S35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45946.530243055626</v>
      </c>
      <c r="T35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45946.57190972229</v>
      </c>
      <c r="U353" s="82">
        <f ca="1">--(Tabel3[[#This Row],[jour]]&lt;&gt;TRUNC(Tabel3[[#This Row],[fin]]))</f>
        <v>1</v>
      </c>
      <c r="V353" s="82">
        <f ca="1">IF(Tabel3[[#This Row],[Type]]="j0",0,--(TRUNC(Tabel3[[#This Row],[debut]])-TRUNC(Tabel3[[#This Row],[fin precedent]])&lt;Tabel3[[#This Row],[delai]]))</f>
        <v>0</v>
      </c>
      <c r="X353"/>
      <c r="Y353" s="75"/>
    </row>
    <row r="354" spans="12:25" ht="18" customHeight="1" x14ac:dyDescent="0.2">
      <c r="L354" s="78" t="s">
        <v>104</v>
      </c>
      <c r="M354" s="78" t="s">
        <v>122</v>
      </c>
      <c r="N354" s="78" t="s">
        <v>38</v>
      </c>
      <c r="O354" s="84">
        <v>45935</v>
      </c>
      <c r="P354" s="78">
        <v>59.25</v>
      </c>
      <c r="Q354" s="78">
        <f>INDEX($C$1:$I$1,MATCH(Tabel3[[#This Row],[Type]],Devoirs[[#Headers],[J0]:[J60]],0))</f>
        <v>4</v>
      </c>
      <c r="R354" s="85" cm="1">
        <f t="array" aca="1" ref="R35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45904.472083333341</v>
      </c>
      <c r="S35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45946.57190972229</v>
      </c>
      <c r="T35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45946.613055555623</v>
      </c>
      <c r="U354" s="82">
        <f ca="1">--(Tabel3[[#This Row],[jour]]&lt;&gt;TRUNC(Tabel3[[#This Row],[fin]]))</f>
        <v>1</v>
      </c>
      <c r="V354" s="82">
        <f ca="1">IF(Tabel3[[#This Row],[Type]]="j0",0,--(TRUNC(Tabel3[[#This Row],[debut]])-TRUNC(Tabel3[[#This Row],[fin precedent]])&lt;Tabel3[[#This Row],[delai]]))</f>
        <v>0</v>
      </c>
      <c r="X354"/>
      <c r="Y354" s="75"/>
    </row>
    <row r="355" spans="12:25" ht="18" customHeight="1" x14ac:dyDescent="0.2">
      <c r="L355" s="78" t="s">
        <v>74</v>
      </c>
      <c r="M355" s="78" t="s">
        <v>77</v>
      </c>
      <c r="N355" s="78" t="s">
        <v>38</v>
      </c>
      <c r="O355" s="84">
        <v>45935</v>
      </c>
      <c r="P355" s="78">
        <v>81</v>
      </c>
      <c r="Q355" s="78">
        <f>INDEX($C$1:$I$1,MATCH(Tabel3[[#This Row],[Type]],Devoirs[[#Headers],[J0]:[J60]],0))</f>
        <v>4</v>
      </c>
      <c r="R355" s="85" cm="1">
        <f t="array" aca="1" ref="R35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45911.6805902778</v>
      </c>
      <c r="S35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45946.613055555623</v>
      </c>
      <c r="T35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45946.669305555624</v>
      </c>
      <c r="U355" s="82">
        <f ca="1">--(Tabel3[[#This Row],[jour]]&lt;&gt;TRUNC(Tabel3[[#This Row],[fin]]))</f>
        <v>1</v>
      </c>
      <c r="V355" s="82">
        <f ca="1">IF(Tabel3[[#This Row],[Type]]="j0",0,--(TRUNC(Tabel3[[#This Row],[debut]])-TRUNC(Tabel3[[#This Row],[fin precedent]])&lt;Tabel3[[#This Row],[delai]]))</f>
        <v>0</v>
      </c>
      <c r="X355"/>
      <c r="Y355" s="75"/>
    </row>
    <row r="356" spans="12:25" ht="18" customHeight="1" x14ac:dyDescent="0.2">
      <c r="L356" s="78" t="s">
        <v>135</v>
      </c>
      <c r="M356" s="78" t="s">
        <v>141</v>
      </c>
      <c r="N356" s="78" t="s">
        <v>41</v>
      </c>
      <c r="O356" s="84">
        <v>45935</v>
      </c>
      <c r="P356" s="78">
        <v>18.899999999999999</v>
      </c>
      <c r="Q356" s="78">
        <f>INDEX($C$1:$I$1,MATCH(Tabel3[[#This Row],[Type]],Devoirs[[#Headers],[J0]:[J60]],0))</f>
        <v>15</v>
      </c>
      <c r="R356" s="85" cm="1">
        <f t="array" aca="1" ref="R35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45916.748888888906</v>
      </c>
      <c r="S35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45946.669305555624</v>
      </c>
      <c r="T35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45946.682430555622</v>
      </c>
      <c r="U356" s="82">
        <f ca="1">--(Tabel3[[#This Row],[jour]]&lt;&gt;TRUNC(Tabel3[[#This Row],[fin]]))</f>
        <v>1</v>
      </c>
      <c r="V356" s="82">
        <f ca="1">IF(Tabel3[[#This Row],[Type]]="j0",0,--(TRUNC(Tabel3[[#This Row],[debut]])-TRUNC(Tabel3[[#This Row],[fin precedent]])&lt;Tabel3[[#This Row],[delai]]))</f>
        <v>0</v>
      </c>
      <c r="X356"/>
      <c r="Y356" s="75"/>
    </row>
    <row r="357" spans="12:25" ht="18" customHeight="1" x14ac:dyDescent="0.2">
      <c r="L357" s="78" t="s">
        <v>51</v>
      </c>
      <c r="M357" s="78" t="s">
        <v>53</v>
      </c>
      <c r="N357" s="78" t="s">
        <v>37</v>
      </c>
      <c r="O357" s="84">
        <v>45935</v>
      </c>
      <c r="P357" s="78">
        <v>55.800000000000004</v>
      </c>
      <c r="Q357" s="78">
        <f>INDEX($C$1:$I$1,MATCH(Tabel3[[#This Row],[Type]],Devoirs[[#Headers],[J0]:[J60]],0))</f>
        <v>2</v>
      </c>
      <c r="R357" s="85" cm="1">
        <f t="array" aca="1" ref="R35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45902.368750000001</v>
      </c>
      <c r="S35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45946.682430555622</v>
      </c>
      <c r="T35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45946.721180555622</v>
      </c>
      <c r="U357" s="82">
        <f ca="1">--(Tabel3[[#This Row],[jour]]&lt;&gt;TRUNC(Tabel3[[#This Row],[fin]]))</f>
        <v>1</v>
      </c>
      <c r="V357" s="82">
        <f ca="1">IF(Tabel3[[#This Row],[Type]]="j0",0,--(TRUNC(Tabel3[[#This Row],[debut]])-TRUNC(Tabel3[[#This Row],[fin precedent]])&lt;Tabel3[[#This Row],[delai]]))</f>
        <v>0</v>
      </c>
      <c r="X357"/>
      <c r="Y357" s="75"/>
    </row>
    <row r="358" spans="12:25" ht="18" customHeight="1" x14ac:dyDescent="0.2">
      <c r="L358" s="78" t="s">
        <v>104</v>
      </c>
      <c r="M358" s="78" t="s">
        <v>111</v>
      </c>
      <c r="N358" s="78" t="s">
        <v>37</v>
      </c>
      <c r="O358" s="84">
        <v>45935</v>
      </c>
      <c r="P358" s="78">
        <v>55.800000000000004</v>
      </c>
      <c r="Q358" s="78">
        <f>INDEX($C$1:$I$1,MATCH(Tabel3[[#This Row],[Type]],Devoirs[[#Headers],[J0]:[J60]],0))</f>
        <v>2</v>
      </c>
      <c r="R358" s="85" cm="1">
        <f t="array" aca="1" ref="R35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45902.487499999996</v>
      </c>
      <c r="S35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45946.721180555622</v>
      </c>
      <c r="T35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45947.343263888957</v>
      </c>
      <c r="U358" s="82">
        <f ca="1">--(Tabel3[[#This Row],[jour]]&lt;&gt;TRUNC(Tabel3[[#This Row],[fin]]))</f>
        <v>1</v>
      </c>
      <c r="V358" s="82">
        <f ca="1">IF(Tabel3[[#This Row],[Type]]="j0",0,--(TRUNC(Tabel3[[#This Row],[debut]])-TRUNC(Tabel3[[#This Row],[fin precedent]])&lt;Tabel3[[#This Row],[delai]]))</f>
        <v>0</v>
      </c>
      <c r="X358"/>
      <c r="Y358" s="75"/>
    </row>
    <row r="359" spans="12:25" ht="18" customHeight="1" x14ac:dyDescent="0.2">
      <c r="L359" s="78" t="s">
        <v>74</v>
      </c>
      <c r="M359" s="78" t="s">
        <v>81</v>
      </c>
      <c r="N359" s="78" t="s">
        <v>37</v>
      </c>
      <c r="O359" s="84">
        <v>45935</v>
      </c>
      <c r="P359" s="78">
        <v>95.4</v>
      </c>
      <c r="Q359" s="78">
        <f>INDEX($C$1:$I$1,MATCH(Tabel3[[#This Row],[Type]],Devoirs[[#Headers],[J0]:[J60]],0))</f>
        <v>2</v>
      </c>
      <c r="R359" s="85" cm="1">
        <f t="array" aca="1" ref="R35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45910.499444444467</v>
      </c>
      <c r="S35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45947.343263888957</v>
      </c>
      <c r="T35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45947.409513888961</v>
      </c>
      <c r="U359" s="82">
        <f ca="1">--(Tabel3[[#This Row],[jour]]&lt;&gt;TRUNC(Tabel3[[#This Row],[fin]]))</f>
        <v>1</v>
      </c>
      <c r="V359" s="82">
        <f ca="1">IF(Tabel3[[#This Row],[Type]]="j0",0,--(TRUNC(Tabel3[[#This Row],[debut]])-TRUNC(Tabel3[[#This Row],[fin precedent]])&lt;Tabel3[[#This Row],[delai]]))</f>
        <v>0</v>
      </c>
      <c r="X359"/>
      <c r="Y359" s="75"/>
    </row>
    <row r="360" spans="12:25" ht="18" customHeight="1" x14ac:dyDescent="0.2">
      <c r="L360" s="78" t="s">
        <v>104</v>
      </c>
      <c r="M360" s="78" t="s">
        <v>119</v>
      </c>
      <c r="N360" s="78" t="s">
        <v>39</v>
      </c>
      <c r="O360" s="84">
        <v>45935</v>
      </c>
      <c r="P360" s="78">
        <v>20.399999999999999</v>
      </c>
      <c r="Q360" s="78">
        <f>INDEX($C$1:$I$1,MATCH(Tabel3[[#This Row],[Type]],Devoirs[[#Headers],[J0]:[J60]],0))</f>
        <v>4</v>
      </c>
      <c r="R360" s="85" cm="1">
        <f t="array" aca="1" ref="R36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45908.505000000012</v>
      </c>
      <c r="S36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45947.409513888961</v>
      </c>
      <c r="T36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45947.423680555628</v>
      </c>
      <c r="U360" s="82">
        <f ca="1">--(Tabel3[[#This Row],[jour]]&lt;&gt;TRUNC(Tabel3[[#This Row],[fin]]))</f>
        <v>1</v>
      </c>
      <c r="V360" s="82">
        <f ca="1">IF(Tabel3[[#This Row],[Type]]="j0",0,--(TRUNC(Tabel3[[#This Row],[debut]])-TRUNC(Tabel3[[#This Row],[fin precedent]])&lt;Tabel3[[#This Row],[delai]]))</f>
        <v>0</v>
      </c>
      <c r="X360"/>
      <c r="Y360" s="75"/>
    </row>
    <row r="361" spans="12:25" ht="18" customHeight="1" x14ac:dyDescent="0.2">
      <c r="L361" s="78" t="s">
        <v>85</v>
      </c>
      <c r="M361" s="78" t="s">
        <v>87</v>
      </c>
      <c r="N361" s="78" t="s">
        <v>39</v>
      </c>
      <c r="O361" s="84">
        <v>45935</v>
      </c>
      <c r="P361" s="78">
        <v>21.599999999999998</v>
      </c>
      <c r="Q361" s="78">
        <f>INDEX($C$1:$I$1,MATCH(Tabel3[[#This Row],[Type]],Devoirs[[#Headers],[J0]:[J60]],0))</f>
        <v>4</v>
      </c>
      <c r="R361" s="85" cm="1">
        <f t="array" aca="1" ref="R36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45908.563854166678</v>
      </c>
      <c r="S36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45947.423680555628</v>
      </c>
      <c r="T36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45947.438680555628</v>
      </c>
      <c r="U361" s="82">
        <f ca="1">--(Tabel3[[#This Row],[jour]]&lt;&gt;TRUNC(Tabel3[[#This Row],[fin]]))</f>
        <v>1</v>
      </c>
      <c r="V361" s="82">
        <f ca="1">IF(Tabel3[[#This Row],[Type]]="j0",0,--(TRUNC(Tabel3[[#This Row],[debut]])-TRUNC(Tabel3[[#This Row],[fin precedent]])&lt;Tabel3[[#This Row],[delai]]))</f>
        <v>0</v>
      </c>
      <c r="X361"/>
      <c r="Y361" s="75"/>
    </row>
    <row r="362" spans="12:25" ht="18" customHeight="1" x14ac:dyDescent="0.2">
      <c r="L362" s="78" t="s">
        <v>85</v>
      </c>
      <c r="M362" s="78" t="s">
        <v>94</v>
      </c>
      <c r="N362" s="78" t="s">
        <v>39</v>
      </c>
      <c r="O362" s="84">
        <v>45935</v>
      </c>
      <c r="P362" s="78">
        <v>42</v>
      </c>
      <c r="Q362" s="78">
        <f>INDEX($C$1:$I$1,MATCH(Tabel3[[#This Row],[Type]],Devoirs[[#Headers],[J0]:[J60]],0))</f>
        <v>4</v>
      </c>
      <c r="R362" s="85" cm="1">
        <f t="array" aca="1" ref="R36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45908.563854166678</v>
      </c>
      <c r="S36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45947.438680555628</v>
      </c>
      <c r="T36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45947.467847222295</v>
      </c>
      <c r="U362" s="82">
        <f ca="1">--(Tabel3[[#This Row],[jour]]&lt;&gt;TRUNC(Tabel3[[#This Row],[fin]]))</f>
        <v>1</v>
      </c>
      <c r="V362" s="82">
        <f ca="1">IF(Tabel3[[#This Row],[Type]]="j0",0,--(TRUNC(Tabel3[[#This Row],[debut]])-TRUNC(Tabel3[[#This Row],[fin precedent]])&lt;Tabel3[[#This Row],[delai]]))</f>
        <v>0</v>
      </c>
      <c r="X362"/>
      <c r="Y362" s="75"/>
    </row>
    <row r="363" spans="12:25" ht="18" customHeight="1" x14ac:dyDescent="0.2">
      <c r="L363" s="78" t="s">
        <v>43</v>
      </c>
      <c r="M363" s="78" t="s">
        <v>46</v>
      </c>
      <c r="N363" s="78" t="s">
        <v>39</v>
      </c>
      <c r="O363" s="84">
        <v>45935</v>
      </c>
      <c r="P363" s="78">
        <v>45.6</v>
      </c>
      <c r="Q363" s="78">
        <f>INDEX($C$1:$I$1,MATCH(Tabel3[[#This Row],[Type]],Devoirs[[#Headers],[J0]:[J60]],0))</f>
        <v>4</v>
      </c>
      <c r="R363" s="85" cm="1">
        <f t="array" aca="1" ref="R36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45924.734861111123</v>
      </c>
      <c r="S36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45947.467847222295</v>
      </c>
      <c r="T36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45947.499513888964</v>
      </c>
      <c r="U363" s="82">
        <f ca="1">--(Tabel3[[#This Row],[jour]]&lt;&gt;TRUNC(Tabel3[[#This Row],[fin]]))</f>
        <v>1</v>
      </c>
      <c r="V363" s="82">
        <f ca="1">IF(Tabel3[[#This Row],[Type]]="j0",0,--(TRUNC(Tabel3[[#This Row],[debut]])-TRUNC(Tabel3[[#This Row],[fin precedent]])&lt;Tabel3[[#This Row],[delai]]))</f>
        <v>0</v>
      </c>
      <c r="X363"/>
      <c r="Y363" s="75"/>
    </row>
    <row r="364" spans="12:25" ht="18" customHeight="1" x14ac:dyDescent="0.2">
      <c r="L364" s="78" t="s">
        <v>125</v>
      </c>
      <c r="M364" s="78" t="s">
        <v>129</v>
      </c>
      <c r="N364" s="78" t="s">
        <v>39</v>
      </c>
      <c r="O364" s="84">
        <v>45935</v>
      </c>
      <c r="P364" s="78">
        <v>52.8</v>
      </c>
      <c r="Q364" s="78">
        <f>INDEX($C$1:$I$1,MATCH(Tabel3[[#This Row],[Type]],Devoirs[[#Headers],[J0]:[J60]],0))</f>
        <v>4</v>
      </c>
      <c r="R364" s="85" cm="1">
        <f t="array" aca="1" ref="R36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45915.409895833334</v>
      </c>
      <c r="S36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45947.499513888964</v>
      </c>
      <c r="T36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45947.536180555631</v>
      </c>
      <c r="U364" s="82">
        <f ca="1">--(Tabel3[[#This Row],[jour]]&lt;&gt;TRUNC(Tabel3[[#This Row],[fin]]))</f>
        <v>1</v>
      </c>
      <c r="V364" s="82">
        <f ca="1">IF(Tabel3[[#This Row],[Type]]="j0",0,--(TRUNC(Tabel3[[#This Row],[debut]])-TRUNC(Tabel3[[#This Row],[fin precedent]])&lt;Tabel3[[#This Row],[delai]]))</f>
        <v>0</v>
      </c>
      <c r="X364"/>
      <c r="Y364" s="75"/>
    </row>
    <row r="365" spans="12:25" ht="18" customHeight="1" x14ac:dyDescent="0.2">
      <c r="L365" s="78" t="s">
        <v>43</v>
      </c>
      <c r="M365" s="78" t="s">
        <v>47</v>
      </c>
      <c r="N365" s="78" t="s">
        <v>38</v>
      </c>
      <c r="O365" s="84">
        <v>45936</v>
      </c>
      <c r="P365" s="78">
        <v>44.25</v>
      </c>
      <c r="Q365" s="78">
        <f>INDEX($C$1:$I$1,MATCH(Tabel3[[#This Row],[Type]],Devoirs[[#Headers],[J0]:[J60]],0))</f>
        <v>4</v>
      </c>
      <c r="R365" s="85" cm="1">
        <f t="array" aca="1" ref="R36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45917.618437500016</v>
      </c>
      <c r="S36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45947.536180555631</v>
      </c>
      <c r="T36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45947.5669097223</v>
      </c>
      <c r="U365" s="82">
        <f ca="1">--(Tabel3[[#This Row],[jour]]&lt;&gt;TRUNC(Tabel3[[#This Row],[fin]]))</f>
        <v>1</v>
      </c>
      <c r="V365" s="82">
        <f ca="1">IF(Tabel3[[#This Row],[Type]]="j0",0,--(TRUNC(Tabel3[[#This Row],[debut]])-TRUNC(Tabel3[[#This Row],[fin precedent]])&lt;Tabel3[[#This Row],[delai]]))</f>
        <v>0</v>
      </c>
      <c r="X365"/>
      <c r="Y365" s="75"/>
    </row>
    <row r="366" spans="12:25" ht="18" customHeight="1" x14ac:dyDescent="0.2">
      <c r="L366" s="78" t="s">
        <v>74</v>
      </c>
      <c r="M366" s="78" t="s">
        <v>76</v>
      </c>
      <c r="N366" s="78" t="s">
        <v>38</v>
      </c>
      <c r="O366" s="84">
        <v>45936</v>
      </c>
      <c r="P366" s="78">
        <v>85.5</v>
      </c>
      <c r="Q366" s="78">
        <f>INDEX($C$1:$I$1,MATCH(Tabel3[[#This Row],[Type]],Devoirs[[#Headers],[J0]:[J60]],0))</f>
        <v>4</v>
      </c>
      <c r="R366" s="85" cm="1">
        <f t="array" aca="1" ref="R36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45911.6805902778</v>
      </c>
      <c r="S36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45947.5669097223</v>
      </c>
      <c r="T36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45947.626284722297</v>
      </c>
      <c r="U366" s="82">
        <f ca="1">--(Tabel3[[#This Row],[jour]]&lt;&gt;TRUNC(Tabel3[[#This Row],[fin]]))</f>
        <v>1</v>
      </c>
      <c r="V366" s="82">
        <f ca="1">IF(Tabel3[[#This Row],[Type]]="j0",0,--(TRUNC(Tabel3[[#This Row],[debut]])-TRUNC(Tabel3[[#This Row],[fin precedent]])&lt;Tabel3[[#This Row],[delai]]))</f>
        <v>0</v>
      </c>
      <c r="X366"/>
      <c r="Y366" s="75"/>
    </row>
    <row r="367" spans="12:25" ht="18" customHeight="1" x14ac:dyDescent="0.2">
      <c r="L367" s="78" t="s">
        <v>43</v>
      </c>
      <c r="M367" s="78" t="s">
        <v>49</v>
      </c>
      <c r="N367" s="78" t="s">
        <v>38</v>
      </c>
      <c r="O367" s="84">
        <v>45936</v>
      </c>
      <c r="P367" s="78">
        <v>88.5</v>
      </c>
      <c r="Q367" s="78">
        <f>INDEX($C$1:$I$1,MATCH(Tabel3[[#This Row],[Type]],Devoirs[[#Headers],[J0]:[J60]],0))</f>
        <v>4</v>
      </c>
      <c r="R367" s="85" cm="1">
        <f t="array" aca="1" ref="R36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45917.618437500016</v>
      </c>
      <c r="S36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45947.626284722297</v>
      </c>
      <c r="T36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45947.687743055627</v>
      </c>
      <c r="U367" s="82">
        <f ca="1">--(Tabel3[[#This Row],[jour]]&lt;&gt;TRUNC(Tabel3[[#This Row],[fin]]))</f>
        <v>1</v>
      </c>
      <c r="V367" s="82">
        <f ca="1">IF(Tabel3[[#This Row],[Type]]="j0",0,--(TRUNC(Tabel3[[#This Row],[debut]])-TRUNC(Tabel3[[#This Row],[fin precedent]])&lt;Tabel3[[#This Row],[delai]]))</f>
        <v>0</v>
      </c>
      <c r="X367"/>
      <c r="Y367" s="75"/>
    </row>
    <row r="368" spans="12:25" ht="18" customHeight="1" x14ac:dyDescent="0.2">
      <c r="L368" s="78" t="s">
        <v>51</v>
      </c>
      <c r="M368" s="78" t="s">
        <v>63</v>
      </c>
      <c r="N368" s="78" t="s">
        <v>1</v>
      </c>
      <c r="O368" s="84">
        <v>45936</v>
      </c>
      <c r="P368" s="78">
        <v>71</v>
      </c>
      <c r="Q368" s="78">
        <f>INDEX($C$1:$I$1,MATCH(Tabel3[[#This Row],[Type]],Devoirs[[#Headers],[J0]:[J60]],0))</f>
        <v>0</v>
      </c>
      <c r="R368" s="85" t="str" cm="1">
        <f t="array" ref="R368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36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45947.687743055627</v>
      </c>
      <c r="T36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45947.737048611183</v>
      </c>
      <c r="U368" s="82">
        <f ca="1">--(Tabel3[[#This Row],[jour]]&lt;&gt;TRUNC(Tabel3[[#This Row],[fin]]))</f>
        <v>1</v>
      </c>
      <c r="V368" s="82">
        <f>IF(Tabel3[[#This Row],[Type]]="j0",0,--(TRUNC(Tabel3[[#This Row],[debut]])-TRUNC(Tabel3[[#This Row],[fin precedent]])&lt;Tabel3[[#This Row],[delai]]))</f>
        <v>0</v>
      </c>
      <c r="X368"/>
      <c r="Y368" s="75"/>
    </row>
    <row r="369" spans="12:25" ht="18" customHeight="1" x14ac:dyDescent="0.2">
      <c r="L369" s="78" t="s">
        <v>85</v>
      </c>
      <c r="M369" s="78" t="s">
        <v>91</v>
      </c>
      <c r="N369" s="78" t="s">
        <v>1</v>
      </c>
      <c r="O369" s="84">
        <v>45936</v>
      </c>
      <c r="P369" s="78">
        <v>71</v>
      </c>
      <c r="Q369" s="78">
        <f>INDEX($C$1:$I$1,MATCH(Tabel3[[#This Row],[Type]],Devoirs[[#Headers],[J0]:[J60]],0))</f>
        <v>0</v>
      </c>
      <c r="R369" s="85" t="str" cm="1">
        <f t="array" ref="R369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36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45947.737048611183</v>
      </c>
      <c r="T36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45948.369687500075</v>
      </c>
      <c r="U369" s="82">
        <f ca="1">--(Tabel3[[#This Row],[jour]]&lt;&gt;TRUNC(Tabel3[[#This Row],[fin]]))</f>
        <v>1</v>
      </c>
      <c r="V369" s="82">
        <f>IF(Tabel3[[#This Row],[Type]]="j0",0,--(TRUNC(Tabel3[[#This Row],[debut]])-TRUNC(Tabel3[[#This Row],[fin precedent]])&lt;Tabel3[[#This Row],[delai]]))</f>
        <v>0</v>
      </c>
      <c r="X369"/>
      <c r="Y369" s="75"/>
    </row>
    <row r="370" spans="12:25" ht="18" customHeight="1" x14ac:dyDescent="0.2">
      <c r="L370" s="78" t="s">
        <v>104</v>
      </c>
      <c r="M370" s="78" t="s">
        <v>124</v>
      </c>
      <c r="N370" s="78" t="s">
        <v>38</v>
      </c>
      <c r="O370" s="84">
        <v>45937</v>
      </c>
      <c r="P370" s="78">
        <v>37.5</v>
      </c>
      <c r="Q370" s="78">
        <f>INDEX($C$1:$I$1,MATCH(Tabel3[[#This Row],[Type]],Devoirs[[#Headers],[J0]:[J60]],0))</f>
        <v>4</v>
      </c>
      <c r="R370" s="85" cm="1">
        <f t="array" aca="1" ref="R37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45904.472083333341</v>
      </c>
      <c r="S37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45948.369687500075</v>
      </c>
      <c r="T37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45948.395729166739</v>
      </c>
      <c r="U370" s="82">
        <f ca="1">--(Tabel3[[#This Row],[jour]]&lt;&gt;TRUNC(Tabel3[[#This Row],[fin]]))</f>
        <v>1</v>
      </c>
      <c r="V370" s="82">
        <f ca="1">IF(Tabel3[[#This Row],[Type]]="j0",0,--(TRUNC(Tabel3[[#This Row],[debut]])-TRUNC(Tabel3[[#This Row],[fin precedent]])&lt;Tabel3[[#This Row],[delai]]))</f>
        <v>0</v>
      </c>
      <c r="X370"/>
      <c r="Y370" s="75"/>
    </row>
    <row r="371" spans="12:25" ht="18" customHeight="1" x14ac:dyDescent="0.2">
      <c r="L371" s="78" t="s">
        <v>51</v>
      </c>
      <c r="M371" s="78" t="s">
        <v>56</v>
      </c>
      <c r="N371" s="78" t="s">
        <v>38</v>
      </c>
      <c r="O371" s="84">
        <v>45937</v>
      </c>
      <c r="P371" s="78">
        <v>45</v>
      </c>
      <c r="Q371" s="78">
        <f>INDEX($C$1:$I$1,MATCH(Tabel3[[#This Row],[Type]],Devoirs[[#Headers],[J0]:[J60]],0))</f>
        <v>4</v>
      </c>
      <c r="R371" s="85" cm="1">
        <f t="array" aca="1" ref="R37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45904.365208333336</v>
      </c>
      <c r="S37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45948.395729166739</v>
      </c>
      <c r="T37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45948.426979166739</v>
      </c>
      <c r="U371" s="82">
        <f ca="1">--(Tabel3[[#This Row],[jour]]&lt;&gt;TRUNC(Tabel3[[#This Row],[fin]]))</f>
        <v>1</v>
      </c>
      <c r="V371" s="82">
        <f ca="1">IF(Tabel3[[#This Row],[Type]]="j0",0,--(TRUNC(Tabel3[[#This Row],[debut]])-TRUNC(Tabel3[[#This Row],[fin precedent]])&lt;Tabel3[[#This Row],[delai]]))</f>
        <v>0</v>
      </c>
      <c r="X371"/>
      <c r="Y371" s="75"/>
    </row>
    <row r="372" spans="12:25" ht="18" customHeight="1" x14ac:dyDescent="0.2">
      <c r="L372" s="78" t="s">
        <v>64</v>
      </c>
      <c r="M372" s="78" t="s">
        <v>73</v>
      </c>
      <c r="N372" s="78" t="s">
        <v>38</v>
      </c>
      <c r="O372" s="84">
        <v>45937</v>
      </c>
      <c r="P372" s="78">
        <v>66.75</v>
      </c>
      <c r="Q372" s="78">
        <f>INDEX($C$1:$I$1,MATCH(Tabel3[[#This Row],[Type]],Devoirs[[#Headers],[J0]:[J60]],0))</f>
        <v>4</v>
      </c>
      <c r="R372" s="85" cm="1">
        <f t="array" aca="1" ref="R37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45916.416979166672</v>
      </c>
      <c r="S37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45948.426979166739</v>
      </c>
      <c r="T37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45948.473333333408</v>
      </c>
      <c r="U372" s="82">
        <f ca="1">--(Tabel3[[#This Row],[jour]]&lt;&gt;TRUNC(Tabel3[[#This Row],[fin]]))</f>
        <v>1</v>
      </c>
      <c r="V372" s="82">
        <f ca="1">IF(Tabel3[[#This Row],[Type]]="j0",0,--(TRUNC(Tabel3[[#This Row],[debut]])-TRUNC(Tabel3[[#This Row],[fin precedent]])&lt;Tabel3[[#This Row],[delai]]))</f>
        <v>0</v>
      </c>
      <c r="X372"/>
      <c r="Y372" s="75"/>
    </row>
    <row r="373" spans="12:25" ht="18" customHeight="1" x14ac:dyDescent="0.2">
      <c r="L373" s="78" t="s">
        <v>104</v>
      </c>
      <c r="M373" s="78" t="s">
        <v>120</v>
      </c>
      <c r="N373" s="78" t="s">
        <v>38</v>
      </c>
      <c r="O373" s="84">
        <v>45937</v>
      </c>
      <c r="P373" s="78">
        <v>76.5</v>
      </c>
      <c r="Q373" s="78">
        <f>INDEX($C$1:$I$1,MATCH(Tabel3[[#This Row],[Type]],Devoirs[[#Headers],[J0]:[J60]],0))</f>
        <v>4</v>
      </c>
      <c r="R373" s="85" cm="1">
        <f t="array" aca="1" ref="R37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45904.472083333341</v>
      </c>
      <c r="S37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45948.473333333408</v>
      </c>
      <c r="T37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45948.526458333406</v>
      </c>
      <c r="U373" s="82">
        <f ca="1">--(Tabel3[[#This Row],[jour]]&lt;&gt;TRUNC(Tabel3[[#This Row],[fin]]))</f>
        <v>1</v>
      </c>
      <c r="V373" s="82">
        <f ca="1">IF(Tabel3[[#This Row],[Type]]="j0",0,--(TRUNC(Tabel3[[#This Row],[debut]])-TRUNC(Tabel3[[#This Row],[fin precedent]])&lt;Tabel3[[#This Row],[delai]]))</f>
        <v>0</v>
      </c>
      <c r="X373"/>
      <c r="Y373" s="75"/>
    </row>
    <row r="374" spans="12:25" ht="18" customHeight="1" x14ac:dyDescent="0.2">
      <c r="L374" s="78" t="s">
        <v>64</v>
      </c>
      <c r="M374" s="78" t="s">
        <v>67</v>
      </c>
      <c r="N374" s="78" t="s">
        <v>40</v>
      </c>
      <c r="O374" s="84">
        <v>45937</v>
      </c>
      <c r="P374" s="78">
        <v>14.85</v>
      </c>
      <c r="Q374" s="78">
        <f>INDEX($C$1:$I$1,MATCH(Tabel3[[#This Row],[Type]],Devoirs[[#Headers],[J0]:[J60]],0))</f>
        <v>5</v>
      </c>
      <c r="R374" s="85" cm="1">
        <f t="array" aca="1" ref="R37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45926.471840277802</v>
      </c>
      <c r="S37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45948.526458333406</v>
      </c>
      <c r="T37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45948.536770833409</v>
      </c>
      <c r="U374" s="82">
        <f ca="1">--(Tabel3[[#This Row],[jour]]&lt;&gt;TRUNC(Tabel3[[#This Row],[fin]]))</f>
        <v>1</v>
      </c>
      <c r="V374" s="82">
        <f ca="1">IF(Tabel3[[#This Row],[Type]]="j0",0,--(TRUNC(Tabel3[[#This Row],[debut]])-TRUNC(Tabel3[[#This Row],[fin precedent]])&lt;Tabel3[[#This Row],[delai]]))</f>
        <v>0</v>
      </c>
      <c r="X374"/>
      <c r="Y374" s="75"/>
    </row>
    <row r="375" spans="12:25" ht="18" customHeight="1" x14ac:dyDescent="0.2">
      <c r="L375" s="78" t="s">
        <v>104</v>
      </c>
      <c r="M375" s="78" t="s">
        <v>116</v>
      </c>
      <c r="N375" s="78" t="s">
        <v>40</v>
      </c>
      <c r="O375" s="84">
        <v>45937</v>
      </c>
      <c r="P375" s="78">
        <v>49.5</v>
      </c>
      <c r="Q375" s="78">
        <f>INDEX($C$1:$I$1,MATCH(Tabel3[[#This Row],[Type]],Devoirs[[#Headers],[J0]:[J60]],0))</f>
        <v>5</v>
      </c>
      <c r="R375" s="85" cm="1">
        <f t="array" aca="1" ref="R37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45912.451006944459</v>
      </c>
      <c r="S37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45948.536770833409</v>
      </c>
      <c r="T37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45948.571145833412</v>
      </c>
      <c r="U375" s="82">
        <f ca="1">--(Tabel3[[#This Row],[jour]]&lt;&gt;TRUNC(Tabel3[[#This Row],[fin]]))</f>
        <v>1</v>
      </c>
      <c r="V375" s="82">
        <f ca="1">IF(Tabel3[[#This Row],[Type]]="j0",0,--(TRUNC(Tabel3[[#This Row],[debut]])-TRUNC(Tabel3[[#This Row],[fin precedent]])&lt;Tabel3[[#This Row],[delai]]))</f>
        <v>0</v>
      </c>
      <c r="X375"/>
      <c r="Y375" s="75"/>
    </row>
    <row r="376" spans="12:25" ht="18" customHeight="1" x14ac:dyDescent="0.2">
      <c r="L376" s="78" t="s">
        <v>104</v>
      </c>
      <c r="M376" s="78" t="s">
        <v>109</v>
      </c>
      <c r="N376" s="78" t="s">
        <v>40</v>
      </c>
      <c r="O376" s="84">
        <v>45937</v>
      </c>
      <c r="P376" s="78">
        <v>50.4</v>
      </c>
      <c r="Q376" s="78">
        <f>INDEX($C$1:$I$1,MATCH(Tabel3[[#This Row],[Type]],Devoirs[[#Headers],[J0]:[J60]],0))</f>
        <v>5</v>
      </c>
      <c r="R376" s="85" cm="1">
        <f t="array" aca="1" ref="R37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45912.451006944459</v>
      </c>
      <c r="S37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45948.571145833412</v>
      </c>
      <c r="T37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45948.606145833415</v>
      </c>
      <c r="U376" s="82">
        <f ca="1">--(Tabel3[[#This Row],[jour]]&lt;&gt;TRUNC(Tabel3[[#This Row],[fin]]))</f>
        <v>1</v>
      </c>
      <c r="V376" s="82">
        <f ca="1">IF(Tabel3[[#This Row],[Type]]="j0",0,--(TRUNC(Tabel3[[#This Row],[debut]])-TRUNC(Tabel3[[#This Row],[fin precedent]])&lt;Tabel3[[#This Row],[delai]]))</f>
        <v>0</v>
      </c>
      <c r="X376"/>
      <c r="Y376" s="75"/>
    </row>
    <row r="377" spans="12:25" ht="18" customHeight="1" x14ac:dyDescent="0.2">
      <c r="L377" s="78" t="s">
        <v>95</v>
      </c>
      <c r="M377" s="78" t="s">
        <v>103</v>
      </c>
      <c r="N377" s="78" t="s">
        <v>1</v>
      </c>
      <c r="O377" s="84">
        <v>45937</v>
      </c>
      <c r="P377" s="78">
        <v>36</v>
      </c>
      <c r="Q377" s="78">
        <f>INDEX($C$1:$I$1,MATCH(Tabel3[[#This Row],[Type]],Devoirs[[#Headers],[J0]:[J60]],0))</f>
        <v>0</v>
      </c>
      <c r="R377" s="85" t="str" cm="1">
        <f t="array" ref="R377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37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45948.606145833415</v>
      </c>
      <c r="T37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45948.631145833417</v>
      </c>
      <c r="U377" s="82">
        <f ca="1">--(Tabel3[[#This Row],[jour]]&lt;&gt;TRUNC(Tabel3[[#This Row],[fin]]))</f>
        <v>1</v>
      </c>
      <c r="V377" s="82">
        <f>IF(Tabel3[[#This Row],[Type]]="j0",0,--(TRUNC(Tabel3[[#This Row],[debut]])-TRUNC(Tabel3[[#This Row],[fin precedent]])&lt;Tabel3[[#This Row],[delai]]))</f>
        <v>0</v>
      </c>
      <c r="X377"/>
      <c r="Y377" s="75"/>
    </row>
    <row r="378" spans="12:25" ht="18" customHeight="1" x14ac:dyDescent="0.2">
      <c r="L378" s="78" t="s">
        <v>125</v>
      </c>
      <c r="M378" s="78" t="s">
        <v>126</v>
      </c>
      <c r="N378" s="78" t="s">
        <v>1</v>
      </c>
      <c r="O378" s="84">
        <v>45937</v>
      </c>
      <c r="P378" s="78">
        <v>66</v>
      </c>
      <c r="Q378" s="78">
        <f>INDEX($C$1:$I$1,MATCH(Tabel3[[#This Row],[Type]],Devoirs[[#Headers],[J0]:[J60]],0))</f>
        <v>0</v>
      </c>
      <c r="R378" s="85" t="str" cm="1">
        <f t="array" ref="R378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37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45948.631145833417</v>
      </c>
      <c r="T37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45948.676979166747</v>
      </c>
      <c r="U378" s="82">
        <f ca="1">--(Tabel3[[#This Row],[jour]]&lt;&gt;TRUNC(Tabel3[[#This Row],[fin]]))</f>
        <v>1</v>
      </c>
      <c r="V378" s="82">
        <f>IF(Tabel3[[#This Row],[Type]]="j0",0,--(TRUNC(Tabel3[[#This Row],[debut]])-TRUNC(Tabel3[[#This Row],[fin precedent]])&lt;Tabel3[[#This Row],[delai]]))</f>
        <v>0</v>
      </c>
      <c r="X378"/>
      <c r="Y378" s="75"/>
    </row>
    <row r="379" spans="12:25" ht="18" customHeight="1" x14ac:dyDescent="0.2">
      <c r="L379" s="78" t="s">
        <v>64</v>
      </c>
      <c r="M379" s="78" t="s">
        <v>70</v>
      </c>
      <c r="N379" s="78" t="s">
        <v>1</v>
      </c>
      <c r="O379" s="84">
        <v>45937</v>
      </c>
      <c r="P379" s="78">
        <v>84</v>
      </c>
      <c r="Q379" s="78">
        <f>INDEX($C$1:$I$1,MATCH(Tabel3[[#This Row],[Type]],Devoirs[[#Headers],[J0]:[J60]],0))</f>
        <v>0</v>
      </c>
      <c r="R379" s="85" t="str" cm="1">
        <f t="array" ref="R379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37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45948.676979166747</v>
      </c>
      <c r="T37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45948.735312500081</v>
      </c>
      <c r="U379" s="82">
        <f ca="1">--(Tabel3[[#This Row],[jour]]&lt;&gt;TRUNC(Tabel3[[#This Row],[fin]]))</f>
        <v>1</v>
      </c>
      <c r="V379" s="82">
        <f>IF(Tabel3[[#This Row],[Type]]="j0",0,--(TRUNC(Tabel3[[#This Row],[debut]])-TRUNC(Tabel3[[#This Row],[fin precedent]])&lt;Tabel3[[#This Row],[delai]]))</f>
        <v>0</v>
      </c>
      <c r="X379"/>
      <c r="Y379" s="75"/>
    </row>
    <row r="380" spans="12:25" ht="18" customHeight="1" x14ac:dyDescent="0.2">
      <c r="L380" s="78" t="s">
        <v>64</v>
      </c>
      <c r="M380" s="78" t="s">
        <v>71</v>
      </c>
      <c r="N380" s="78" t="s">
        <v>1</v>
      </c>
      <c r="O380" s="84">
        <v>45937</v>
      </c>
      <c r="P380" s="78">
        <v>101</v>
      </c>
      <c r="Q380" s="78">
        <f>INDEX($C$1:$I$1,MATCH(Tabel3[[#This Row],[Type]],Devoirs[[#Headers],[J0]:[J60]],0))</f>
        <v>0</v>
      </c>
      <c r="R380" s="85" t="str" cm="1">
        <f t="array" ref="R380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38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45948.735312500081</v>
      </c>
      <c r="T38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45950.388784722309</v>
      </c>
      <c r="U380" s="82">
        <f ca="1">--(Tabel3[[#This Row],[jour]]&lt;&gt;TRUNC(Tabel3[[#This Row],[fin]]))</f>
        <v>1</v>
      </c>
      <c r="V380" s="82">
        <f>IF(Tabel3[[#This Row],[Type]]="j0",0,--(TRUNC(Tabel3[[#This Row],[debut]])-TRUNC(Tabel3[[#This Row],[fin precedent]])&lt;Tabel3[[#This Row],[delai]]))</f>
        <v>0</v>
      </c>
      <c r="X380"/>
      <c r="Y380" s="75"/>
    </row>
    <row r="381" spans="12:25" ht="18" customHeight="1" x14ac:dyDescent="0.2">
      <c r="L381" s="78" t="s">
        <v>64</v>
      </c>
      <c r="M381" s="78" t="s">
        <v>65</v>
      </c>
      <c r="N381" s="78" t="s">
        <v>1</v>
      </c>
      <c r="O381" s="84">
        <v>45937</v>
      </c>
      <c r="P381" s="78">
        <v>109</v>
      </c>
      <c r="Q381" s="78">
        <f>INDEX($C$1:$I$1,MATCH(Tabel3[[#This Row],[Type]],Devoirs[[#Headers],[J0]:[J60]],0))</f>
        <v>0</v>
      </c>
      <c r="R381" s="85" t="str" cm="1">
        <f t="array" ref="R381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38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45950.388784722309</v>
      </c>
      <c r="T38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45950.464479166752</v>
      </c>
      <c r="U381" s="82">
        <f ca="1">--(Tabel3[[#This Row],[jour]]&lt;&gt;TRUNC(Tabel3[[#This Row],[fin]]))</f>
        <v>1</v>
      </c>
      <c r="V381" s="82">
        <f>IF(Tabel3[[#This Row],[Type]]="j0",0,--(TRUNC(Tabel3[[#This Row],[debut]])-TRUNC(Tabel3[[#This Row],[fin precedent]])&lt;Tabel3[[#This Row],[delai]]))</f>
        <v>0</v>
      </c>
      <c r="X381"/>
      <c r="Y381" s="75"/>
    </row>
    <row r="382" spans="12:25" ht="18" customHeight="1" x14ac:dyDescent="0.2">
      <c r="L382" s="78" t="s">
        <v>104</v>
      </c>
      <c r="M382" s="78" t="s">
        <v>123</v>
      </c>
      <c r="N382" s="78" t="s">
        <v>38</v>
      </c>
      <c r="O382" s="84">
        <v>45938</v>
      </c>
      <c r="P382" s="78">
        <v>57</v>
      </c>
      <c r="Q382" s="78">
        <f>INDEX($C$1:$I$1,MATCH(Tabel3[[#This Row],[Type]],Devoirs[[#Headers],[J0]:[J60]],0))</f>
        <v>4</v>
      </c>
      <c r="R382" s="85" cm="1">
        <f t="array" aca="1" ref="R38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45904.472083333341</v>
      </c>
      <c r="S38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45950.464479166752</v>
      </c>
      <c r="T38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45950.504062500084</v>
      </c>
      <c r="U382" s="82">
        <f ca="1">--(Tabel3[[#This Row],[jour]]&lt;&gt;TRUNC(Tabel3[[#This Row],[fin]]))</f>
        <v>1</v>
      </c>
      <c r="V382" s="82">
        <f ca="1">IF(Tabel3[[#This Row],[Type]]="j0",0,--(TRUNC(Tabel3[[#This Row],[debut]])-TRUNC(Tabel3[[#This Row],[fin precedent]])&lt;Tabel3[[#This Row],[delai]]))</f>
        <v>0</v>
      </c>
      <c r="X382"/>
      <c r="Y382" s="75"/>
    </row>
    <row r="383" spans="12:25" ht="18" customHeight="1" x14ac:dyDescent="0.2">
      <c r="L383" s="78" t="s">
        <v>43</v>
      </c>
      <c r="M383" s="78" t="s">
        <v>50</v>
      </c>
      <c r="N383" s="78" t="s">
        <v>38</v>
      </c>
      <c r="O383" s="84">
        <v>45938</v>
      </c>
      <c r="P383" s="78">
        <v>89.25</v>
      </c>
      <c r="Q383" s="78">
        <f>INDEX($C$1:$I$1,MATCH(Tabel3[[#This Row],[Type]],Devoirs[[#Headers],[J0]:[J60]],0))</f>
        <v>4</v>
      </c>
      <c r="R383" s="85" cm="1">
        <f t="array" aca="1" ref="R38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45917.618437500016</v>
      </c>
      <c r="S38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45950.504062500084</v>
      </c>
      <c r="T38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45950.566041666752</v>
      </c>
      <c r="U383" s="82">
        <f ca="1">--(Tabel3[[#This Row],[jour]]&lt;&gt;TRUNC(Tabel3[[#This Row],[fin]]))</f>
        <v>1</v>
      </c>
      <c r="V383" s="82">
        <f ca="1">IF(Tabel3[[#This Row],[Type]]="j0",0,--(TRUNC(Tabel3[[#This Row],[debut]])-TRUNC(Tabel3[[#This Row],[fin precedent]])&lt;Tabel3[[#This Row],[delai]]))</f>
        <v>0</v>
      </c>
      <c r="X383"/>
      <c r="Y383" s="75"/>
    </row>
    <row r="384" spans="12:25" ht="18" customHeight="1" x14ac:dyDescent="0.2">
      <c r="L384" s="78" t="s">
        <v>135</v>
      </c>
      <c r="M384" s="78" t="s">
        <v>140</v>
      </c>
      <c r="N384" s="78" t="s">
        <v>41</v>
      </c>
      <c r="O384" s="84">
        <v>45938</v>
      </c>
      <c r="P384" s="78">
        <v>20.7</v>
      </c>
      <c r="Q384" s="78">
        <f>INDEX($C$1:$I$1,MATCH(Tabel3[[#This Row],[Type]],Devoirs[[#Headers],[J0]:[J60]],0))</f>
        <v>15</v>
      </c>
      <c r="R384" s="85" cm="1">
        <f t="array" aca="1" ref="R38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45916.748888888906</v>
      </c>
      <c r="S38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45950.566041666752</v>
      </c>
      <c r="T38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45950.580416666751</v>
      </c>
      <c r="U384" s="82">
        <f ca="1">--(Tabel3[[#This Row],[jour]]&lt;&gt;TRUNC(Tabel3[[#This Row],[fin]]))</f>
        <v>1</v>
      </c>
      <c r="V384" s="82">
        <f ca="1">IF(Tabel3[[#This Row],[Type]]="j0",0,--(TRUNC(Tabel3[[#This Row],[debut]])-TRUNC(Tabel3[[#This Row],[fin precedent]])&lt;Tabel3[[#This Row],[delai]]))</f>
        <v>0</v>
      </c>
      <c r="X384"/>
      <c r="Y384" s="75"/>
    </row>
    <row r="385" spans="12:25" ht="18" customHeight="1" x14ac:dyDescent="0.2">
      <c r="L385" s="78" t="s">
        <v>125</v>
      </c>
      <c r="M385" s="78" t="s">
        <v>133</v>
      </c>
      <c r="N385" s="78" t="s">
        <v>41</v>
      </c>
      <c r="O385" s="84">
        <v>45938</v>
      </c>
      <c r="P385" s="78">
        <v>23.4</v>
      </c>
      <c r="Q385" s="78">
        <f>INDEX($C$1:$I$1,MATCH(Tabel3[[#This Row],[Type]],Devoirs[[#Headers],[J0]:[J60]],0))</f>
        <v>15</v>
      </c>
      <c r="R385" s="85" cm="1">
        <f t="array" aca="1" ref="R38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45927.504756944472</v>
      </c>
      <c r="S38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45950.580416666751</v>
      </c>
      <c r="T38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45950.596666666752</v>
      </c>
      <c r="U385" s="82">
        <f ca="1">--(Tabel3[[#This Row],[jour]]&lt;&gt;TRUNC(Tabel3[[#This Row],[fin]]))</f>
        <v>1</v>
      </c>
      <c r="V385" s="82">
        <f ca="1">IF(Tabel3[[#This Row],[Type]]="j0",0,--(TRUNC(Tabel3[[#This Row],[debut]])-TRUNC(Tabel3[[#This Row],[fin precedent]])&lt;Tabel3[[#This Row],[delai]]))</f>
        <v>0</v>
      </c>
      <c r="X385"/>
      <c r="Y385" s="75"/>
    </row>
    <row r="386" spans="12:25" ht="18" customHeight="1" x14ac:dyDescent="0.2">
      <c r="L386" s="78" t="s">
        <v>135</v>
      </c>
      <c r="M386" s="78" t="s">
        <v>159</v>
      </c>
      <c r="N386" s="78" t="s">
        <v>41</v>
      </c>
      <c r="O386" s="84">
        <v>45938</v>
      </c>
      <c r="P386" s="78">
        <v>24.9</v>
      </c>
      <c r="Q386" s="78">
        <f>INDEX($C$1:$I$1,MATCH(Tabel3[[#This Row],[Type]],Devoirs[[#Headers],[J0]:[J60]],0))</f>
        <v>15</v>
      </c>
      <c r="R386" s="85" cm="1">
        <f t="array" aca="1" ref="R38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45916.748888888906</v>
      </c>
      <c r="S38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45950.596666666752</v>
      </c>
      <c r="T38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45950.613958333415</v>
      </c>
      <c r="U386" s="82">
        <f ca="1">--(Tabel3[[#This Row],[jour]]&lt;&gt;TRUNC(Tabel3[[#This Row],[fin]]))</f>
        <v>1</v>
      </c>
      <c r="V386" s="82">
        <f ca="1">IF(Tabel3[[#This Row],[Type]]="j0",0,--(TRUNC(Tabel3[[#This Row],[debut]])-TRUNC(Tabel3[[#This Row],[fin precedent]])&lt;Tabel3[[#This Row],[delai]]))</f>
        <v>0</v>
      </c>
      <c r="X386"/>
      <c r="Y386" s="75"/>
    </row>
    <row r="387" spans="12:25" ht="18" customHeight="1" x14ac:dyDescent="0.2">
      <c r="L387" s="78" t="s">
        <v>104</v>
      </c>
      <c r="M387" s="78" t="s">
        <v>115</v>
      </c>
      <c r="N387" s="78" t="s">
        <v>41</v>
      </c>
      <c r="O387" s="84">
        <v>45938</v>
      </c>
      <c r="P387" s="78">
        <v>25.5</v>
      </c>
      <c r="Q387" s="78">
        <f>INDEX($C$1:$I$1,MATCH(Tabel3[[#This Row],[Type]],Devoirs[[#Headers],[J0]:[J60]],0))</f>
        <v>15</v>
      </c>
      <c r="R387" s="85" cm="1">
        <f t="array" aca="1" ref="R38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45918.341770833351</v>
      </c>
      <c r="S38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45950.613958333415</v>
      </c>
      <c r="T38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45950.631666666748</v>
      </c>
      <c r="U387" s="82">
        <f ca="1">--(Tabel3[[#This Row],[jour]]&lt;&gt;TRUNC(Tabel3[[#This Row],[fin]]))</f>
        <v>1</v>
      </c>
      <c r="V387" s="82">
        <f ca="1">IF(Tabel3[[#This Row],[Type]]="j0",0,--(TRUNC(Tabel3[[#This Row],[debut]])-TRUNC(Tabel3[[#This Row],[fin precedent]])&lt;Tabel3[[#This Row],[delai]]))</f>
        <v>0</v>
      </c>
      <c r="X387"/>
      <c r="Y387" s="75"/>
    </row>
    <row r="388" spans="12:25" ht="18" customHeight="1" x14ac:dyDescent="0.2">
      <c r="L388" s="78" t="s">
        <v>104</v>
      </c>
      <c r="M388" s="78" t="s">
        <v>113</v>
      </c>
      <c r="N388" s="78" t="s">
        <v>41</v>
      </c>
      <c r="O388" s="84">
        <v>45938</v>
      </c>
      <c r="P388" s="78">
        <v>27.9</v>
      </c>
      <c r="Q388" s="78">
        <f>INDEX($C$1:$I$1,MATCH(Tabel3[[#This Row],[Type]],Devoirs[[#Headers],[J0]:[J60]],0))</f>
        <v>15</v>
      </c>
      <c r="R388" s="85" cm="1">
        <f t="array" aca="1" ref="R38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45918.341770833351</v>
      </c>
      <c r="S38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45950.631666666748</v>
      </c>
      <c r="T38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45950.651041666752</v>
      </c>
      <c r="U388" s="82">
        <f ca="1">--(Tabel3[[#This Row],[jour]]&lt;&gt;TRUNC(Tabel3[[#This Row],[fin]]))</f>
        <v>1</v>
      </c>
      <c r="V388" s="82">
        <f ca="1">IF(Tabel3[[#This Row],[Type]]="j0",0,--(TRUNC(Tabel3[[#This Row],[debut]])-TRUNC(Tabel3[[#This Row],[fin precedent]])&lt;Tabel3[[#This Row],[delai]]))</f>
        <v>0</v>
      </c>
      <c r="X388"/>
      <c r="Y388" s="75"/>
    </row>
    <row r="389" spans="12:25" ht="18" customHeight="1" x14ac:dyDescent="0.2">
      <c r="L389" s="78" t="s">
        <v>125</v>
      </c>
      <c r="M389" s="78" t="s">
        <v>130</v>
      </c>
      <c r="N389" s="78" t="s">
        <v>41</v>
      </c>
      <c r="O389" s="84">
        <v>45938</v>
      </c>
      <c r="P389" s="78">
        <v>30.299999999999997</v>
      </c>
      <c r="Q389" s="78">
        <f>INDEX($C$1:$I$1,MATCH(Tabel3[[#This Row],[Type]],Devoirs[[#Headers],[J0]:[J60]],0))</f>
        <v>15</v>
      </c>
      <c r="R389" s="85" cm="1">
        <f t="array" aca="1" ref="R38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45927.504756944472</v>
      </c>
      <c r="S38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45950.651041666752</v>
      </c>
      <c r="T38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45950.672083333418</v>
      </c>
      <c r="U389" s="82">
        <f ca="1">--(Tabel3[[#This Row],[jour]]&lt;&gt;TRUNC(Tabel3[[#This Row],[fin]]))</f>
        <v>1</v>
      </c>
      <c r="V389" s="82">
        <f ca="1">IF(Tabel3[[#This Row],[Type]]="j0",0,--(TRUNC(Tabel3[[#This Row],[debut]])-TRUNC(Tabel3[[#This Row],[fin precedent]])&lt;Tabel3[[#This Row],[delai]]))</f>
        <v>0</v>
      </c>
      <c r="X389"/>
      <c r="Y389" s="75"/>
    </row>
    <row r="390" spans="12:25" ht="18" customHeight="1" x14ac:dyDescent="0.2">
      <c r="L390" s="78" t="s">
        <v>104</v>
      </c>
      <c r="M390" s="78" t="s">
        <v>106</v>
      </c>
      <c r="N390" s="78" t="s">
        <v>41</v>
      </c>
      <c r="O390" s="84">
        <v>45938</v>
      </c>
      <c r="P390" s="78">
        <v>31.799999999999997</v>
      </c>
      <c r="Q390" s="78">
        <f>INDEX($C$1:$I$1,MATCH(Tabel3[[#This Row],[Type]],Devoirs[[#Headers],[J0]:[J60]],0))</f>
        <v>15</v>
      </c>
      <c r="R390" s="85" cm="1">
        <f t="array" aca="1" ref="R39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45918.341770833351</v>
      </c>
      <c r="S39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45950.672083333418</v>
      </c>
      <c r="T39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45950.694166666755</v>
      </c>
      <c r="U390" s="82">
        <f ca="1">--(Tabel3[[#This Row],[jour]]&lt;&gt;TRUNC(Tabel3[[#This Row],[fin]]))</f>
        <v>1</v>
      </c>
      <c r="V390" s="82">
        <f ca="1">IF(Tabel3[[#This Row],[Type]]="j0",0,--(TRUNC(Tabel3[[#This Row],[debut]])-TRUNC(Tabel3[[#This Row],[fin precedent]])&lt;Tabel3[[#This Row],[delai]]))</f>
        <v>0</v>
      </c>
      <c r="X390"/>
      <c r="Y390" s="75"/>
    </row>
    <row r="391" spans="12:25" ht="18" customHeight="1" x14ac:dyDescent="0.2">
      <c r="L391" s="78" t="s">
        <v>51</v>
      </c>
      <c r="M391" s="78" t="s">
        <v>63</v>
      </c>
      <c r="N391" s="78" t="s">
        <v>37</v>
      </c>
      <c r="O391" s="84">
        <v>45938</v>
      </c>
      <c r="P391" s="78">
        <v>63.9</v>
      </c>
      <c r="Q391" s="78">
        <f>INDEX($C$1:$I$1,MATCH(Tabel3[[#This Row],[Type]],Devoirs[[#Headers],[J0]:[J60]],0))</f>
        <v>2</v>
      </c>
      <c r="R391" s="85" cm="1">
        <f t="array" aca="1" ref="R39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45902.368750000001</v>
      </c>
      <c r="S39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45950.694166666755</v>
      </c>
      <c r="T39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45950.738541666753</v>
      </c>
      <c r="U391" s="82">
        <f ca="1">--(Tabel3[[#This Row],[jour]]&lt;&gt;TRUNC(Tabel3[[#This Row],[fin]]))</f>
        <v>1</v>
      </c>
      <c r="V391" s="82">
        <f ca="1">IF(Tabel3[[#This Row],[Type]]="j0",0,--(TRUNC(Tabel3[[#This Row],[debut]])-TRUNC(Tabel3[[#This Row],[fin precedent]])&lt;Tabel3[[#This Row],[delai]]))</f>
        <v>0</v>
      </c>
      <c r="X391"/>
      <c r="Y391" s="75"/>
    </row>
    <row r="392" spans="12:25" ht="18" customHeight="1" x14ac:dyDescent="0.2">
      <c r="L392" s="78" t="s">
        <v>85</v>
      </c>
      <c r="M392" s="78" t="s">
        <v>91</v>
      </c>
      <c r="N392" s="78" t="s">
        <v>37</v>
      </c>
      <c r="O392" s="84">
        <v>45938</v>
      </c>
      <c r="P392" s="78">
        <v>63.9</v>
      </c>
      <c r="Q392" s="78">
        <f>INDEX($C$1:$I$1,MATCH(Tabel3[[#This Row],[Type]],Devoirs[[#Headers],[J0]:[J60]],0))</f>
        <v>2</v>
      </c>
      <c r="R392" s="85" cm="1">
        <f t="array" aca="1" ref="R39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45902.565972222219</v>
      </c>
      <c r="S39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45950.738541666753</v>
      </c>
      <c r="T39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45951.366250000086</v>
      </c>
      <c r="U392" s="82">
        <f ca="1">--(Tabel3[[#This Row],[jour]]&lt;&gt;TRUNC(Tabel3[[#This Row],[fin]]))</f>
        <v>1</v>
      </c>
      <c r="V392" s="82">
        <f ca="1">IF(Tabel3[[#This Row],[Type]]="j0",0,--(TRUNC(Tabel3[[#This Row],[debut]])-TRUNC(Tabel3[[#This Row],[fin precedent]])&lt;Tabel3[[#This Row],[delai]]))</f>
        <v>0</v>
      </c>
      <c r="X392"/>
      <c r="Y392" s="75"/>
    </row>
    <row r="393" spans="12:25" ht="18" customHeight="1" x14ac:dyDescent="0.2">
      <c r="L393" s="78" t="s">
        <v>135</v>
      </c>
      <c r="M393" s="78" t="s">
        <v>136</v>
      </c>
      <c r="N393" s="78" t="s">
        <v>40</v>
      </c>
      <c r="O393" s="84">
        <v>45938</v>
      </c>
      <c r="P393" s="78">
        <v>26.1</v>
      </c>
      <c r="Q393" s="78">
        <f>INDEX($C$1:$I$1,MATCH(Tabel3[[#This Row],[Type]],Devoirs[[#Headers],[J0]:[J60]],0))</f>
        <v>5</v>
      </c>
      <c r="R393" s="85" cm="1">
        <f t="array" aca="1" ref="R39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45911.693923611136</v>
      </c>
      <c r="S39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45951.366250000086</v>
      </c>
      <c r="T39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45951.384375000089</v>
      </c>
      <c r="U393" s="82">
        <f ca="1">--(Tabel3[[#This Row],[jour]]&lt;&gt;TRUNC(Tabel3[[#This Row],[fin]]))</f>
        <v>1</v>
      </c>
      <c r="V393" s="82">
        <f ca="1">IF(Tabel3[[#This Row],[Type]]="j0",0,--(TRUNC(Tabel3[[#This Row],[debut]])-TRUNC(Tabel3[[#This Row],[fin precedent]])&lt;Tabel3[[#This Row],[delai]]))</f>
        <v>0</v>
      </c>
      <c r="X393"/>
      <c r="Y393" s="75"/>
    </row>
    <row r="394" spans="12:25" ht="18" customHeight="1" x14ac:dyDescent="0.2">
      <c r="L394" s="78" t="s">
        <v>85</v>
      </c>
      <c r="M394" s="78" t="s">
        <v>93</v>
      </c>
      <c r="N394" s="78" t="s">
        <v>40</v>
      </c>
      <c r="O394" s="84">
        <v>45938</v>
      </c>
      <c r="P394" s="78">
        <v>35.1</v>
      </c>
      <c r="Q394" s="78">
        <f>INDEX($C$1:$I$1,MATCH(Tabel3[[#This Row],[Type]],Devoirs[[#Headers],[J0]:[J60]],0))</f>
        <v>5</v>
      </c>
      <c r="R394" s="85" cm="1">
        <f t="array" aca="1" ref="R39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45912.49809027779</v>
      </c>
      <c r="S39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45951.384375000089</v>
      </c>
      <c r="T39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45951.40875000009</v>
      </c>
      <c r="U394" s="82">
        <f ca="1">--(Tabel3[[#This Row],[jour]]&lt;&gt;TRUNC(Tabel3[[#This Row],[fin]]))</f>
        <v>1</v>
      </c>
      <c r="V394" s="82">
        <f ca="1">IF(Tabel3[[#This Row],[Type]]="j0",0,--(TRUNC(Tabel3[[#This Row],[debut]])-TRUNC(Tabel3[[#This Row],[fin precedent]])&lt;Tabel3[[#This Row],[delai]]))</f>
        <v>0</v>
      </c>
      <c r="X394"/>
      <c r="Y394" s="75"/>
    </row>
    <row r="395" spans="12:25" ht="18" customHeight="1" x14ac:dyDescent="0.2">
      <c r="L395" s="78" t="s">
        <v>43</v>
      </c>
      <c r="M395" s="78" t="s">
        <v>45</v>
      </c>
      <c r="N395" s="78" t="s">
        <v>40</v>
      </c>
      <c r="O395" s="84">
        <v>45938</v>
      </c>
      <c r="P395" s="78">
        <v>36.9</v>
      </c>
      <c r="Q395" s="78">
        <f>INDEX($C$1:$I$1,MATCH(Tabel3[[#This Row],[Type]],Devoirs[[#Headers],[J0]:[J60]],0))</f>
        <v>5</v>
      </c>
      <c r="R395" s="85" cm="1">
        <f t="array" aca="1" ref="R39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45932.585833333382</v>
      </c>
      <c r="S39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45951.40875000009</v>
      </c>
      <c r="T39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45951.434375000092</v>
      </c>
      <c r="U395" s="82">
        <f ca="1">--(Tabel3[[#This Row],[jour]]&lt;&gt;TRUNC(Tabel3[[#This Row],[fin]]))</f>
        <v>1</v>
      </c>
      <c r="V395" s="82">
        <f ca="1">IF(Tabel3[[#This Row],[Type]]="j0",0,--(TRUNC(Tabel3[[#This Row],[debut]])-TRUNC(Tabel3[[#This Row],[fin precedent]])&lt;Tabel3[[#This Row],[delai]]))</f>
        <v>0</v>
      </c>
      <c r="X395"/>
      <c r="Y395" s="75"/>
    </row>
    <row r="396" spans="12:25" ht="18" customHeight="1" x14ac:dyDescent="0.2">
      <c r="L396" s="78" t="s">
        <v>125</v>
      </c>
      <c r="M396" s="78" t="s">
        <v>134</v>
      </c>
      <c r="N396" s="78" t="s">
        <v>40</v>
      </c>
      <c r="O396" s="84">
        <v>45938</v>
      </c>
      <c r="P396" s="78">
        <v>45.9</v>
      </c>
      <c r="Q396" s="78">
        <f>INDEX($C$1:$I$1,MATCH(Tabel3[[#This Row],[Type]],Devoirs[[#Headers],[J0]:[J60]],0))</f>
        <v>5</v>
      </c>
      <c r="R396" s="85" cm="1">
        <f t="array" aca="1" ref="R39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45919.707187500011</v>
      </c>
      <c r="S39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45951.434375000092</v>
      </c>
      <c r="T39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45951.466250000092</v>
      </c>
      <c r="U396" s="82">
        <f ca="1">--(Tabel3[[#This Row],[jour]]&lt;&gt;TRUNC(Tabel3[[#This Row],[fin]]))</f>
        <v>1</v>
      </c>
      <c r="V396" s="82">
        <f ca="1">IF(Tabel3[[#This Row],[Type]]="j0",0,--(TRUNC(Tabel3[[#This Row],[debut]])-TRUNC(Tabel3[[#This Row],[fin precedent]])&lt;Tabel3[[#This Row],[delai]]))</f>
        <v>0</v>
      </c>
      <c r="X396"/>
      <c r="Y396" s="75"/>
    </row>
    <row r="397" spans="12:25" ht="18" customHeight="1" x14ac:dyDescent="0.2">
      <c r="L397" s="78" t="s">
        <v>51</v>
      </c>
      <c r="M397" s="78" t="s">
        <v>60</v>
      </c>
      <c r="N397" s="78" t="s">
        <v>1</v>
      </c>
      <c r="O397" s="84">
        <v>45938</v>
      </c>
      <c r="P397" s="78">
        <v>40</v>
      </c>
      <c r="Q397" s="78">
        <f>INDEX($C$1:$I$1,MATCH(Tabel3[[#This Row],[Type]],Devoirs[[#Headers],[J0]:[J60]],0))</f>
        <v>0</v>
      </c>
      <c r="R397" s="85" t="str" cm="1">
        <f t="array" ref="R397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39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45951.466250000092</v>
      </c>
      <c r="T39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45951.494027777873</v>
      </c>
      <c r="U397" s="82">
        <f ca="1">--(Tabel3[[#This Row],[jour]]&lt;&gt;TRUNC(Tabel3[[#This Row],[fin]]))</f>
        <v>1</v>
      </c>
      <c r="V397" s="82">
        <f>IF(Tabel3[[#This Row],[Type]]="j0",0,--(TRUNC(Tabel3[[#This Row],[debut]])-TRUNC(Tabel3[[#This Row],[fin precedent]])&lt;Tabel3[[#This Row],[delai]]))</f>
        <v>0</v>
      </c>
      <c r="X397"/>
      <c r="Y397" s="75"/>
    </row>
    <row r="398" spans="12:25" ht="18" customHeight="1" x14ac:dyDescent="0.2">
      <c r="L398" s="78" t="s">
        <v>74</v>
      </c>
      <c r="M398" s="78" t="s">
        <v>79</v>
      </c>
      <c r="N398" s="78" t="s">
        <v>1</v>
      </c>
      <c r="O398" s="84">
        <v>45938</v>
      </c>
      <c r="P398" s="78">
        <v>81</v>
      </c>
      <c r="Q398" s="78">
        <f>INDEX($C$1:$I$1,MATCH(Tabel3[[#This Row],[Type]],Devoirs[[#Headers],[J0]:[J60]],0))</f>
        <v>0</v>
      </c>
      <c r="R398" s="85" t="str" cm="1">
        <f t="array" ref="R398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39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45951.494027777873</v>
      </c>
      <c r="T39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45951.550277777875</v>
      </c>
      <c r="U398" s="82">
        <f ca="1">--(Tabel3[[#This Row],[jour]]&lt;&gt;TRUNC(Tabel3[[#This Row],[fin]]))</f>
        <v>1</v>
      </c>
      <c r="V398" s="82">
        <f>IF(Tabel3[[#This Row],[Type]]="j0",0,--(TRUNC(Tabel3[[#This Row],[debut]])-TRUNC(Tabel3[[#This Row],[fin precedent]])&lt;Tabel3[[#This Row],[delai]]))</f>
        <v>0</v>
      </c>
      <c r="X398"/>
      <c r="Y398" s="75"/>
    </row>
    <row r="399" spans="12:25" ht="18" customHeight="1" x14ac:dyDescent="0.2">
      <c r="L399" s="78" t="s">
        <v>51</v>
      </c>
      <c r="M399" s="78" t="s">
        <v>53</v>
      </c>
      <c r="N399" s="78" t="s">
        <v>38</v>
      </c>
      <c r="O399" s="84">
        <v>45939</v>
      </c>
      <c r="P399" s="78">
        <v>46.5</v>
      </c>
      <c r="Q399" s="78">
        <f>INDEX($C$1:$I$1,MATCH(Tabel3[[#This Row],[Type]],Devoirs[[#Headers],[J0]:[J60]],0))</f>
        <v>4</v>
      </c>
      <c r="R399" s="85" cm="1">
        <f t="array" aca="1" ref="R39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45904.365208333336</v>
      </c>
      <c r="S39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45951.550277777875</v>
      </c>
      <c r="T39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45951.582569444545</v>
      </c>
      <c r="U399" s="82">
        <f ca="1">--(Tabel3[[#This Row],[jour]]&lt;&gt;TRUNC(Tabel3[[#This Row],[fin]]))</f>
        <v>1</v>
      </c>
      <c r="V399" s="82">
        <f ca="1">IF(Tabel3[[#This Row],[Type]]="j0",0,--(TRUNC(Tabel3[[#This Row],[debut]])-TRUNC(Tabel3[[#This Row],[fin precedent]])&lt;Tabel3[[#This Row],[delai]]))</f>
        <v>0</v>
      </c>
      <c r="X399"/>
      <c r="Y399" s="75"/>
    </row>
    <row r="400" spans="12:25" ht="18" customHeight="1" x14ac:dyDescent="0.2">
      <c r="L400" s="78" t="s">
        <v>104</v>
      </c>
      <c r="M400" s="78" t="s">
        <v>111</v>
      </c>
      <c r="N400" s="78" t="s">
        <v>38</v>
      </c>
      <c r="O400" s="84">
        <v>45939</v>
      </c>
      <c r="P400" s="78">
        <v>46.5</v>
      </c>
      <c r="Q400" s="78">
        <f>INDEX($C$1:$I$1,MATCH(Tabel3[[#This Row],[Type]],Devoirs[[#Headers],[J0]:[J60]],0))</f>
        <v>4</v>
      </c>
      <c r="R400" s="85" cm="1">
        <f t="array" aca="1" ref="R40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45904.472083333341</v>
      </c>
      <c r="S40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45951.582569444545</v>
      </c>
      <c r="T40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45951.614861111215</v>
      </c>
      <c r="U400" s="82">
        <f ca="1">--(Tabel3[[#This Row],[jour]]&lt;&gt;TRUNC(Tabel3[[#This Row],[fin]]))</f>
        <v>1</v>
      </c>
      <c r="V400" s="82">
        <f ca="1">IF(Tabel3[[#This Row],[Type]]="j0",0,--(TRUNC(Tabel3[[#This Row],[debut]])-TRUNC(Tabel3[[#This Row],[fin precedent]])&lt;Tabel3[[#This Row],[delai]]))</f>
        <v>0</v>
      </c>
      <c r="X400"/>
      <c r="Y400" s="75"/>
    </row>
    <row r="401" spans="12:25" ht="18" customHeight="1" x14ac:dyDescent="0.2">
      <c r="L401" s="78" t="s">
        <v>74</v>
      </c>
      <c r="M401" s="78" t="s">
        <v>81</v>
      </c>
      <c r="N401" s="78" t="s">
        <v>38</v>
      </c>
      <c r="O401" s="84">
        <v>45939</v>
      </c>
      <c r="P401" s="78">
        <v>79.5</v>
      </c>
      <c r="Q401" s="78">
        <f>INDEX($C$1:$I$1,MATCH(Tabel3[[#This Row],[Type]],Devoirs[[#Headers],[J0]:[J60]],0))</f>
        <v>4</v>
      </c>
      <c r="R401" s="85" cm="1">
        <f t="array" aca="1" ref="R40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45911.6805902778</v>
      </c>
      <c r="S40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45951.614861111215</v>
      </c>
      <c r="T40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45951.670069444546</v>
      </c>
      <c r="U401" s="82">
        <f ca="1">--(Tabel3[[#This Row],[jour]]&lt;&gt;TRUNC(Tabel3[[#This Row],[fin]]))</f>
        <v>1</v>
      </c>
      <c r="V401" s="82">
        <f ca="1">IF(Tabel3[[#This Row],[Type]]="j0",0,--(TRUNC(Tabel3[[#This Row],[debut]])-TRUNC(Tabel3[[#This Row],[fin precedent]])&lt;Tabel3[[#This Row],[delai]]))</f>
        <v>0</v>
      </c>
      <c r="X401"/>
      <c r="Y401" s="75"/>
    </row>
    <row r="402" spans="12:25" ht="18" customHeight="1" x14ac:dyDescent="0.2">
      <c r="L402" s="78" t="s">
        <v>125</v>
      </c>
      <c r="M402" s="78" t="s">
        <v>128</v>
      </c>
      <c r="N402" s="78" t="s">
        <v>41</v>
      </c>
      <c r="O402" s="84">
        <v>45939</v>
      </c>
      <c r="P402" s="78">
        <v>21</v>
      </c>
      <c r="Q402" s="78">
        <f>INDEX($C$1:$I$1,MATCH(Tabel3[[#This Row],[Type]],Devoirs[[#Headers],[J0]:[J60]],0))</f>
        <v>15</v>
      </c>
      <c r="R402" s="85" cm="1">
        <f t="array" aca="1" ref="R40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45927.504756944472</v>
      </c>
      <c r="S40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45951.670069444546</v>
      </c>
      <c r="T40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45951.684652777876</v>
      </c>
      <c r="U402" s="82">
        <f ca="1">--(Tabel3[[#This Row],[jour]]&lt;&gt;TRUNC(Tabel3[[#This Row],[fin]]))</f>
        <v>1</v>
      </c>
      <c r="V402" s="82">
        <f ca="1">IF(Tabel3[[#This Row],[Type]]="j0",0,--(TRUNC(Tabel3[[#This Row],[debut]])-TRUNC(Tabel3[[#This Row],[fin precedent]])&lt;Tabel3[[#This Row],[delai]]))</f>
        <v>0</v>
      </c>
      <c r="X402"/>
      <c r="Y402" s="75"/>
    </row>
    <row r="403" spans="12:25" ht="18" customHeight="1" x14ac:dyDescent="0.2">
      <c r="L403" s="78" t="s">
        <v>135</v>
      </c>
      <c r="M403" s="78" t="s">
        <v>156</v>
      </c>
      <c r="N403" s="78" t="s">
        <v>41</v>
      </c>
      <c r="O403" s="84">
        <v>45939</v>
      </c>
      <c r="P403" s="78">
        <v>32.4</v>
      </c>
      <c r="Q403" s="78">
        <f>INDEX($C$1:$I$1,MATCH(Tabel3[[#This Row],[Type]],Devoirs[[#Headers],[J0]:[J60]],0))</f>
        <v>15</v>
      </c>
      <c r="R403" s="85" cm="1">
        <f t="array" aca="1" ref="R40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45916.748888888906</v>
      </c>
      <c r="S40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45951.684652777876</v>
      </c>
      <c r="T40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45951.707152777875</v>
      </c>
      <c r="U403" s="82">
        <f ca="1">--(Tabel3[[#This Row],[jour]]&lt;&gt;TRUNC(Tabel3[[#This Row],[fin]]))</f>
        <v>1</v>
      </c>
      <c r="V403" s="82">
        <f ca="1">IF(Tabel3[[#This Row],[Type]]="j0",0,--(TRUNC(Tabel3[[#This Row],[debut]])-TRUNC(Tabel3[[#This Row],[fin precedent]])&lt;Tabel3[[#This Row],[delai]]))</f>
        <v>0</v>
      </c>
      <c r="X403"/>
      <c r="Y403" s="75"/>
    </row>
    <row r="404" spans="12:25" ht="18" customHeight="1" x14ac:dyDescent="0.2">
      <c r="L404" s="78" t="s">
        <v>74</v>
      </c>
      <c r="M404" s="78" t="s">
        <v>83</v>
      </c>
      <c r="N404" s="78" t="s">
        <v>41</v>
      </c>
      <c r="O404" s="84">
        <v>45939</v>
      </c>
      <c r="P404" s="78">
        <v>33.299999999999997</v>
      </c>
      <c r="Q404" s="78">
        <f>INDEX($C$1:$I$1,MATCH(Tabel3[[#This Row],[Type]],Devoirs[[#Headers],[J0]:[J60]],0))</f>
        <v>15</v>
      </c>
      <c r="R404" s="85" cm="1">
        <f t="array" aca="1" ref="R40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45930.603125000031</v>
      </c>
      <c r="S40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45951.707152777875</v>
      </c>
      <c r="T40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45951.730277777875</v>
      </c>
      <c r="U404" s="82">
        <f ca="1">--(Tabel3[[#This Row],[jour]]&lt;&gt;TRUNC(Tabel3[[#This Row],[fin]]))</f>
        <v>1</v>
      </c>
      <c r="V404" s="82">
        <f ca="1">IF(Tabel3[[#This Row],[Type]]="j0",0,--(TRUNC(Tabel3[[#This Row],[debut]])-TRUNC(Tabel3[[#This Row],[fin precedent]])&lt;Tabel3[[#This Row],[delai]]))</f>
        <v>0</v>
      </c>
      <c r="X404"/>
      <c r="Y404" s="75"/>
    </row>
    <row r="405" spans="12:25" ht="18" customHeight="1" x14ac:dyDescent="0.2">
      <c r="L405" s="78" t="s">
        <v>95</v>
      </c>
      <c r="M405" s="78" t="s">
        <v>103</v>
      </c>
      <c r="N405" s="78" t="s">
        <v>37</v>
      </c>
      <c r="O405" s="84">
        <v>45939</v>
      </c>
      <c r="P405" s="78">
        <v>32.4</v>
      </c>
      <c r="Q405" s="78">
        <f>INDEX($C$1:$I$1,MATCH(Tabel3[[#This Row],[Type]],Devoirs[[#Headers],[J0]:[J60]],0))</f>
        <v>2</v>
      </c>
      <c r="R405" s="85" cm="1">
        <f t="array" aca="1" ref="R40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45912.573784722234</v>
      </c>
      <c r="S40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45951.730277777875</v>
      </c>
      <c r="T40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45952.33611111121</v>
      </c>
      <c r="U405" s="82">
        <f ca="1">--(Tabel3[[#This Row],[jour]]&lt;&gt;TRUNC(Tabel3[[#This Row],[fin]]))</f>
        <v>1</v>
      </c>
      <c r="V405" s="82">
        <f ca="1">IF(Tabel3[[#This Row],[Type]]="j0",0,--(TRUNC(Tabel3[[#This Row],[debut]])-TRUNC(Tabel3[[#This Row],[fin precedent]])&lt;Tabel3[[#This Row],[delai]]))</f>
        <v>0</v>
      </c>
      <c r="X405"/>
      <c r="Y405" s="75"/>
    </row>
    <row r="406" spans="12:25" ht="18" customHeight="1" x14ac:dyDescent="0.2">
      <c r="L406" s="78" t="s">
        <v>125</v>
      </c>
      <c r="M406" s="78" t="s">
        <v>126</v>
      </c>
      <c r="N406" s="78" t="s">
        <v>37</v>
      </c>
      <c r="O406" s="84">
        <v>45939</v>
      </c>
      <c r="P406" s="78">
        <v>59.4</v>
      </c>
      <c r="Q406" s="78">
        <f>INDEX($C$1:$I$1,MATCH(Tabel3[[#This Row],[Type]],Devoirs[[#Headers],[J0]:[J60]],0))</f>
        <v>2</v>
      </c>
      <c r="R406" s="85" cm="1">
        <f t="array" aca="1" ref="R40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45908.665937500016</v>
      </c>
      <c r="S40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45952.33611111121</v>
      </c>
      <c r="T40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45952.377361111212</v>
      </c>
      <c r="U406" s="82">
        <f ca="1">--(Tabel3[[#This Row],[jour]]&lt;&gt;TRUNC(Tabel3[[#This Row],[fin]]))</f>
        <v>1</v>
      </c>
      <c r="V406" s="82">
        <f ca="1">IF(Tabel3[[#This Row],[Type]]="j0",0,--(TRUNC(Tabel3[[#This Row],[debut]])-TRUNC(Tabel3[[#This Row],[fin precedent]])&lt;Tabel3[[#This Row],[delai]]))</f>
        <v>0</v>
      </c>
      <c r="X406"/>
      <c r="Y406" s="75"/>
    </row>
    <row r="407" spans="12:25" ht="18" customHeight="1" x14ac:dyDescent="0.2">
      <c r="L407" s="78" t="s">
        <v>64</v>
      </c>
      <c r="M407" s="78" t="s">
        <v>70</v>
      </c>
      <c r="N407" s="78" t="s">
        <v>37</v>
      </c>
      <c r="O407" s="84">
        <v>45939</v>
      </c>
      <c r="P407" s="78">
        <v>75.600000000000009</v>
      </c>
      <c r="Q407" s="78">
        <f>INDEX($C$1:$I$1,MATCH(Tabel3[[#This Row],[Type]],Devoirs[[#Headers],[J0]:[J60]],0))</f>
        <v>2</v>
      </c>
      <c r="R407" s="85" cm="1">
        <f t="array" aca="1" ref="R40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45912.698090277787</v>
      </c>
      <c r="S40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45952.377361111212</v>
      </c>
      <c r="T40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45952.42986111121</v>
      </c>
      <c r="U407" s="82">
        <f ca="1">--(Tabel3[[#This Row],[jour]]&lt;&gt;TRUNC(Tabel3[[#This Row],[fin]]))</f>
        <v>1</v>
      </c>
      <c r="V407" s="82">
        <f ca="1">IF(Tabel3[[#This Row],[Type]]="j0",0,--(TRUNC(Tabel3[[#This Row],[debut]])-TRUNC(Tabel3[[#This Row],[fin precedent]])&lt;Tabel3[[#This Row],[delai]]))</f>
        <v>0</v>
      </c>
      <c r="X407"/>
      <c r="Y407" s="75"/>
    </row>
    <row r="408" spans="12:25" ht="18" customHeight="1" x14ac:dyDescent="0.2">
      <c r="L408" s="78" t="s">
        <v>64</v>
      </c>
      <c r="M408" s="78" t="s">
        <v>71</v>
      </c>
      <c r="N408" s="78" t="s">
        <v>37</v>
      </c>
      <c r="O408" s="84">
        <v>45939</v>
      </c>
      <c r="P408" s="78">
        <v>90.9</v>
      </c>
      <c r="Q408" s="78">
        <f>INDEX($C$1:$I$1,MATCH(Tabel3[[#This Row],[Type]],Devoirs[[#Headers],[J0]:[J60]],0))</f>
        <v>2</v>
      </c>
      <c r="R408" s="85" cm="1">
        <f t="array" aca="1" ref="R40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45912.698090277787</v>
      </c>
      <c r="S40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45952.42986111121</v>
      </c>
      <c r="T40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45952.49298611121</v>
      </c>
      <c r="U408" s="82">
        <f ca="1">--(Tabel3[[#This Row],[jour]]&lt;&gt;TRUNC(Tabel3[[#This Row],[fin]]))</f>
        <v>1</v>
      </c>
      <c r="V408" s="82">
        <f ca="1">IF(Tabel3[[#This Row],[Type]]="j0",0,--(TRUNC(Tabel3[[#This Row],[debut]])-TRUNC(Tabel3[[#This Row],[fin precedent]])&lt;Tabel3[[#This Row],[delai]]))</f>
        <v>0</v>
      </c>
      <c r="X408"/>
      <c r="Y408" s="75"/>
    </row>
    <row r="409" spans="12:25" ht="18" customHeight="1" x14ac:dyDescent="0.2">
      <c r="L409" s="78" t="s">
        <v>64</v>
      </c>
      <c r="M409" s="78" t="s">
        <v>65</v>
      </c>
      <c r="N409" s="78" t="s">
        <v>37</v>
      </c>
      <c r="O409" s="84">
        <v>45939</v>
      </c>
      <c r="P409" s="78">
        <v>98.100000000000009</v>
      </c>
      <c r="Q409" s="78">
        <f>INDEX($C$1:$I$1,MATCH(Tabel3[[#This Row],[Type]],Devoirs[[#Headers],[J0]:[J60]],0))</f>
        <v>2</v>
      </c>
      <c r="R409" s="85" cm="1">
        <f t="array" aca="1" ref="R40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45912.698090277787</v>
      </c>
      <c r="S40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45952.49298611121</v>
      </c>
      <c r="T40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45952.561111111208</v>
      </c>
      <c r="U409" s="82">
        <f ca="1">--(Tabel3[[#This Row],[jour]]&lt;&gt;TRUNC(Tabel3[[#This Row],[fin]]))</f>
        <v>1</v>
      </c>
      <c r="V409" s="82">
        <f ca="1">IF(Tabel3[[#This Row],[Type]]="j0",0,--(TRUNC(Tabel3[[#This Row],[debut]])-TRUNC(Tabel3[[#This Row],[fin precedent]])&lt;Tabel3[[#This Row],[delai]]))</f>
        <v>0</v>
      </c>
      <c r="X409"/>
      <c r="Y409" s="75"/>
    </row>
    <row r="410" spans="12:25" ht="18" customHeight="1" x14ac:dyDescent="0.2">
      <c r="L410" s="78" t="s">
        <v>74</v>
      </c>
      <c r="M410" s="78" t="s">
        <v>84</v>
      </c>
      <c r="N410" s="78" t="s">
        <v>40</v>
      </c>
      <c r="O410" s="84">
        <v>45939</v>
      </c>
      <c r="P410" s="78">
        <v>18</v>
      </c>
      <c r="Q410" s="78">
        <f>INDEX($C$1:$I$1,MATCH(Tabel3[[#This Row],[Type]],Devoirs[[#Headers],[J0]:[J60]],0))</f>
        <v>5</v>
      </c>
      <c r="R410" s="85" cm="1">
        <f t="array" aca="1" ref="R41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45923.462534722232</v>
      </c>
      <c r="S41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45952.561111111208</v>
      </c>
      <c r="T41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45952.573611111206</v>
      </c>
      <c r="U410" s="82">
        <f ca="1">--(Tabel3[[#This Row],[jour]]&lt;&gt;TRUNC(Tabel3[[#This Row],[fin]]))</f>
        <v>1</v>
      </c>
      <c r="V410" s="82">
        <f ca="1">IF(Tabel3[[#This Row],[Type]]="j0",0,--(TRUNC(Tabel3[[#This Row],[debut]])-TRUNC(Tabel3[[#This Row],[fin precedent]])&lt;Tabel3[[#This Row],[delai]]))</f>
        <v>0</v>
      </c>
      <c r="X410"/>
      <c r="Y410" s="75"/>
    </row>
    <row r="411" spans="12:25" ht="18" customHeight="1" x14ac:dyDescent="0.2">
      <c r="L411" s="78" t="s">
        <v>64</v>
      </c>
      <c r="M411" s="78" t="s">
        <v>68</v>
      </c>
      <c r="N411" s="78" t="s">
        <v>40</v>
      </c>
      <c r="O411" s="84">
        <v>45939</v>
      </c>
      <c r="P411" s="78">
        <v>27</v>
      </c>
      <c r="Q411" s="78">
        <f>INDEX($C$1:$I$1,MATCH(Tabel3[[#This Row],[Type]],Devoirs[[#Headers],[J0]:[J60]],0))</f>
        <v>5</v>
      </c>
      <c r="R411" s="85" cm="1">
        <f t="array" aca="1" ref="R41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45926.471840277802</v>
      </c>
      <c r="S41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45952.573611111206</v>
      </c>
      <c r="T41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45952.592361111208</v>
      </c>
      <c r="U411" s="82">
        <f ca="1">--(Tabel3[[#This Row],[jour]]&lt;&gt;TRUNC(Tabel3[[#This Row],[fin]]))</f>
        <v>1</v>
      </c>
      <c r="V411" s="82">
        <f ca="1">IF(Tabel3[[#This Row],[Type]]="j0",0,--(TRUNC(Tabel3[[#This Row],[debut]])-TRUNC(Tabel3[[#This Row],[fin precedent]])&lt;Tabel3[[#This Row],[delai]]))</f>
        <v>0</v>
      </c>
      <c r="X411"/>
      <c r="Y411" s="75"/>
    </row>
    <row r="412" spans="12:25" ht="18" customHeight="1" x14ac:dyDescent="0.2">
      <c r="L412" s="78" t="s">
        <v>104</v>
      </c>
      <c r="M412" s="78" t="s">
        <v>121</v>
      </c>
      <c r="N412" s="78" t="s">
        <v>40</v>
      </c>
      <c r="O412" s="84">
        <v>45939</v>
      </c>
      <c r="P412" s="78">
        <v>31.05</v>
      </c>
      <c r="Q412" s="78">
        <f>INDEX($C$1:$I$1,MATCH(Tabel3[[#This Row],[Type]],Devoirs[[#Headers],[J0]:[J60]],0))</f>
        <v>5</v>
      </c>
      <c r="R412" s="85" cm="1">
        <f t="array" aca="1" ref="R41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45912.451006944459</v>
      </c>
      <c r="S41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45952.592361111208</v>
      </c>
      <c r="T41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45952.613923611207</v>
      </c>
      <c r="U412" s="82">
        <f ca="1">--(Tabel3[[#This Row],[jour]]&lt;&gt;TRUNC(Tabel3[[#This Row],[fin]]))</f>
        <v>1</v>
      </c>
      <c r="V412" s="82">
        <f ca="1">IF(Tabel3[[#This Row],[Type]]="j0",0,--(TRUNC(Tabel3[[#This Row],[debut]])-TRUNC(Tabel3[[#This Row],[fin precedent]])&lt;Tabel3[[#This Row],[delai]]))</f>
        <v>0</v>
      </c>
      <c r="X412"/>
      <c r="Y412" s="75"/>
    </row>
    <row r="413" spans="12:25" ht="18" customHeight="1" x14ac:dyDescent="0.2">
      <c r="L413" s="78" t="s">
        <v>104</v>
      </c>
      <c r="M413" s="78" t="s">
        <v>112</v>
      </c>
      <c r="N413" s="78" t="s">
        <v>40</v>
      </c>
      <c r="O413" s="84">
        <v>45939</v>
      </c>
      <c r="P413" s="78">
        <v>44.1</v>
      </c>
      <c r="Q413" s="78">
        <f>INDEX($C$1:$I$1,MATCH(Tabel3[[#This Row],[Type]],Devoirs[[#Headers],[J0]:[J60]],0))</f>
        <v>5</v>
      </c>
      <c r="R413" s="85" cm="1">
        <f t="array" aca="1" ref="R41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45912.451006944459</v>
      </c>
      <c r="S41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45952.613923611207</v>
      </c>
      <c r="T41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45952.644548611206</v>
      </c>
      <c r="U413" s="82">
        <f ca="1">--(Tabel3[[#This Row],[jour]]&lt;&gt;TRUNC(Tabel3[[#This Row],[fin]]))</f>
        <v>1</v>
      </c>
      <c r="V413" s="82">
        <f ca="1">IF(Tabel3[[#This Row],[Type]]="j0",0,--(TRUNC(Tabel3[[#This Row],[debut]])-TRUNC(Tabel3[[#This Row],[fin precedent]])&lt;Tabel3[[#This Row],[delai]]))</f>
        <v>0</v>
      </c>
      <c r="X413"/>
      <c r="Y413" s="75"/>
    </row>
    <row r="414" spans="12:25" ht="18" customHeight="1" x14ac:dyDescent="0.2">
      <c r="L414" s="78" t="s">
        <v>95</v>
      </c>
      <c r="M414" s="78" t="s">
        <v>100</v>
      </c>
      <c r="N414" s="78" t="s">
        <v>40</v>
      </c>
      <c r="O414" s="84">
        <v>45939</v>
      </c>
      <c r="P414" s="78">
        <v>45</v>
      </c>
      <c r="Q414" s="78">
        <f>INDEX($C$1:$I$1,MATCH(Tabel3[[#This Row],[Type]],Devoirs[[#Headers],[J0]:[J60]],0))</f>
        <v>5</v>
      </c>
      <c r="R414" s="85" cm="1">
        <f t="array" aca="1" ref="R41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45926.397256944474</v>
      </c>
      <c r="S41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45952.644548611206</v>
      </c>
      <c r="T41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45952.675798611206</v>
      </c>
      <c r="U414" s="82">
        <f ca="1">--(Tabel3[[#This Row],[jour]]&lt;&gt;TRUNC(Tabel3[[#This Row],[fin]]))</f>
        <v>1</v>
      </c>
      <c r="V414" s="82">
        <f ca="1">IF(Tabel3[[#This Row],[Type]]="j0",0,--(TRUNC(Tabel3[[#This Row],[debut]])-TRUNC(Tabel3[[#This Row],[fin precedent]])&lt;Tabel3[[#This Row],[delai]]))</f>
        <v>0</v>
      </c>
      <c r="X414"/>
      <c r="Y414" s="75"/>
    </row>
    <row r="415" spans="12:25" ht="18" customHeight="1" x14ac:dyDescent="0.2">
      <c r="L415" s="78" t="s">
        <v>95</v>
      </c>
      <c r="M415" s="78" t="s">
        <v>101</v>
      </c>
      <c r="N415" s="78" t="s">
        <v>40</v>
      </c>
      <c r="O415" s="84">
        <v>45939</v>
      </c>
      <c r="P415" s="78">
        <v>45</v>
      </c>
      <c r="Q415" s="78">
        <f>INDEX($C$1:$I$1,MATCH(Tabel3[[#This Row],[Type]],Devoirs[[#Headers],[J0]:[J60]],0))</f>
        <v>5</v>
      </c>
      <c r="R415" s="85" cm="1">
        <f t="array" aca="1" ref="R41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45926.397256944474</v>
      </c>
      <c r="S41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45952.675798611206</v>
      </c>
      <c r="T41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45952.707048611206</v>
      </c>
      <c r="U415" s="82">
        <f ca="1">--(Tabel3[[#This Row],[jour]]&lt;&gt;TRUNC(Tabel3[[#This Row],[fin]]))</f>
        <v>1</v>
      </c>
      <c r="V415" s="82">
        <f ca="1">IF(Tabel3[[#This Row],[Type]]="j0",0,--(TRUNC(Tabel3[[#This Row],[debut]])-TRUNC(Tabel3[[#This Row],[fin precedent]])&lt;Tabel3[[#This Row],[delai]]))</f>
        <v>0</v>
      </c>
      <c r="X415"/>
      <c r="Y415" s="75"/>
    </row>
    <row r="416" spans="12:25" ht="18" customHeight="1" x14ac:dyDescent="0.2">
      <c r="L416" s="78" t="s">
        <v>104</v>
      </c>
      <c r="M416" s="78" t="s">
        <v>110</v>
      </c>
      <c r="N416" s="78" t="s">
        <v>40</v>
      </c>
      <c r="O416" s="84">
        <v>45939</v>
      </c>
      <c r="P416" s="78">
        <v>45</v>
      </c>
      <c r="Q416" s="78">
        <f>INDEX($C$1:$I$1,MATCH(Tabel3[[#This Row],[Type]],Devoirs[[#Headers],[J0]:[J60]],0))</f>
        <v>5</v>
      </c>
      <c r="R416" s="85" cm="1">
        <f t="array" aca="1" ref="R41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45912.451006944459</v>
      </c>
      <c r="S41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45952.707048611206</v>
      </c>
      <c r="T41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45952.738298611206</v>
      </c>
      <c r="U416" s="82">
        <f ca="1">--(Tabel3[[#This Row],[jour]]&lt;&gt;TRUNC(Tabel3[[#This Row],[fin]]))</f>
        <v>1</v>
      </c>
      <c r="V416" s="82">
        <f ca="1">IF(Tabel3[[#This Row],[Type]]="j0",0,--(TRUNC(Tabel3[[#This Row],[debut]])-TRUNC(Tabel3[[#This Row],[fin precedent]])&lt;Tabel3[[#This Row],[delai]]))</f>
        <v>0</v>
      </c>
      <c r="X416"/>
      <c r="Y416" s="75"/>
    </row>
    <row r="417" spans="12:25" ht="18" customHeight="1" x14ac:dyDescent="0.2">
      <c r="L417" s="78" t="s">
        <v>104</v>
      </c>
      <c r="M417" s="78" t="s">
        <v>122</v>
      </c>
      <c r="N417" s="78" t="s">
        <v>39</v>
      </c>
      <c r="O417" s="84">
        <v>45939</v>
      </c>
      <c r="P417" s="78">
        <v>47.4</v>
      </c>
      <c r="Q417" s="78">
        <f>INDEX($C$1:$I$1,MATCH(Tabel3[[#This Row],[Type]],Devoirs[[#Headers],[J0]:[J60]],0))</f>
        <v>4</v>
      </c>
      <c r="R417" s="85" cm="1">
        <f t="array" aca="1" ref="R41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45908.505000000012</v>
      </c>
      <c r="S41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45952.738298611206</v>
      </c>
      <c r="T41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45953.354548611205</v>
      </c>
      <c r="U417" s="82">
        <f ca="1">--(Tabel3[[#This Row],[jour]]&lt;&gt;TRUNC(Tabel3[[#This Row],[fin]]))</f>
        <v>1</v>
      </c>
      <c r="V417" s="82">
        <f ca="1">IF(Tabel3[[#This Row],[Type]]="j0",0,--(TRUNC(Tabel3[[#This Row],[debut]])-TRUNC(Tabel3[[#This Row],[fin precedent]])&lt;Tabel3[[#This Row],[delai]]))</f>
        <v>0</v>
      </c>
      <c r="X417"/>
      <c r="Y417" s="75"/>
    </row>
    <row r="418" spans="12:25" ht="18" customHeight="1" x14ac:dyDescent="0.2">
      <c r="L418" s="78" t="s">
        <v>74</v>
      </c>
      <c r="M418" s="78" t="s">
        <v>77</v>
      </c>
      <c r="N418" s="78" t="s">
        <v>39</v>
      </c>
      <c r="O418" s="84">
        <v>45939</v>
      </c>
      <c r="P418" s="78">
        <v>64.8</v>
      </c>
      <c r="Q418" s="78">
        <f>INDEX($C$1:$I$1,MATCH(Tabel3[[#This Row],[Type]],Devoirs[[#Headers],[J0]:[J60]],0))</f>
        <v>4</v>
      </c>
      <c r="R418" s="85" cm="1">
        <f t="array" aca="1" ref="R41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45916.567500000012</v>
      </c>
      <c r="S41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45953.354548611205</v>
      </c>
      <c r="T41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45953.399548611203</v>
      </c>
      <c r="U418" s="82">
        <f ca="1">--(Tabel3[[#This Row],[jour]]&lt;&gt;TRUNC(Tabel3[[#This Row],[fin]]))</f>
        <v>1</v>
      </c>
      <c r="V418" s="82">
        <f ca="1">IF(Tabel3[[#This Row],[Type]]="j0",0,--(TRUNC(Tabel3[[#This Row],[debut]])-TRUNC(Tabel3[[#This Row],[fin precedent]])&lt;Tabel3[[#This Row],[delai]]))</f>
        <v>0</v>
      </c>
      <c r="X418"/>
      <c r="Y418" s="75"/>
    </row>
    <row r="419" spans="12:25" ht="18" customHeight="1" x14ac:dyDescent="0.2">
      <c r="L419" s="78" t="s">
        <v>51</v>
      </c>
      <c r="M419" s="78" t="s">
        <v>54</v>
      </c>
      <c r="N419" s="78" t="s">
        <v>1</v>
      </c>
      <c r="O419" s="84">
        <v>45939</v>
      </c>
      <c r="P419" s="78">
        <v>66</v>
      </c>
      <c r="Q419" s="78">
        <f>INDEX($C$1:$I$1,MATCH(Tabel3[[#This Row],[Type]],Devoirs[[#Headers],[J0]:[J60]],0))</f>
        <v>0</v>
      </c>
      <c r="R419" s="85" t="str" cm="1">
        <f t="array" ref="R419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41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45953.399548611203</v>
      </c>
      <c r="T41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45953.445381944533</v>
      </c>
      <c r="U419" s="82">
        <f ca="1">--(Tabel3[[#This Row],[jour]]&lt;&gt;TRUNC(Tabel3[[#This Row],[fin]]))</f>
        <v>1</v>
      </c>
      <c r="V419" s="82">
        <f>IF(Tabel3[[#This Row],[Type]]="j0",0,--(TRUNC(Tabel3[[#This Row],[debut]])-TRUNC(Tabel3[[#This Row],[fin precedent]])&lt;Tabel3[[#This Row],[delai]]))</f>
        <v>0</v>
      </c>
      <c r="X419"/>
      <c r="Y419" s="75"/>
    </row>
    <row r="420" spans="12:25" ht="18" customHeight="1" x14ac:dyDescent="0.2">
      <c r="L420" s="78" t="s">
        <v>95</v>
      </c>
      <c r="M420" s="78" t="s">
        <v>97</v>
      </c>
      <c r="N420" s="78" t="s">
        <v>1</v>
      </c>
      <c r="O420" s="84">
        <v>45939</v>
      </c>
      <c r="P420" s="78">
        <v>110</v>
      </c>
      <c r="Q420" s="78">
        <f>INDEX($C$1:$I$1,MATCH(Tabel3[[#This Row],[Type]],Devoirs[[#Headers],[J0]:[J60]],0))</f>
        <v>0</v>
      </c>
      <c r="R420" s="85" t="str" cm="1">
        <f t="array" ref="R420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42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45953.445381944533</v>
      </c>
      <c r="T42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45953.521770833424</v>
      </c>
      <c r="U420" s="82">
        <f ca="1">--(Tabel3[[#This Row],[jour]]&lt;&gt;TRUNC(Tabel3[[#This Row],[fin]]))</f>
        <v>1</v>
      </c>
      <c r="V420" s="82">
        <f>IF(Tabel3[[#This Row],[Type]]="j0",0,--(TRUNC(Tabel3[[#This Row],[debut]])-TRUNC(Tabel3[[#This Row],[fin precedent]])&lt;Tabel3[[#This Row],[delai]]))</f>
        <v>0</v>
      </c>
      <c r="X420"/>
      <c r="Y420" s="75"/>
    </row>
    <row r="421" spans="12:25" ht="18" customHeight="1" x14ac:dyDescent="0.2">
      <c r="L421" s="78" t="s">
        <v>51</v>
      </c>
      <c r="M421" s="78" t="s">
        <v>60</v>
      </c>
      <c r="N421" s="78" t="s">
        <v>37</v>
      </c>
      <c r="O421" s="84">
        <v>45940</v>
      </c>
      <c r="P421" s="78">
        <v>36</v>
      </c>
      <c r="Q421" s="78">
        <f>INDEX($C$1:$I$1,MATCH(Tabel3[[#This Row],[Type]],Devoirs[[#Headers],[J0]:[J60]],0))</f>
        <v>2</v>
      </c>
      <c r="R421" s="85" cm="1">
        <f t="array" aca="1" ref="R42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45902.368750000001</v>
      </c>
      <c r="S42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45953.521770833424</v>
      </c>
      <c r="T42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45953.546770833425</v>
      </c>
      <c r="U421" s="82">
        <f ca="1">--(Tabel3[[#This Row],[jour]]&lt;&gt;TRUNC(Tabel3[[#This Row],[fin]]))</f>
        <v>1</v>
      </c>
      <c r="V421" s="82">
        <f ca="1">IF(Tabel3[[#This Row],[Type]]="j0",0,--(TRUNC(Tabel3[[#This Row],[debut]])-TRUNC(Tabel3[[#This Row],[fin precedent]])&lt;Tabel3[[#This Row],[delai]]))</f>
        <v>0</v>
      </c>
      <c r="X421"/>
      <c r="Y421" s="75"/>
    </row>
    <row r="422" spans="12:25" ht="18" customHeight="1" x14ac:dyDescent="0.2">
      <c r="L422" s="78" t="s">
        <v>74</v>
      </c>
      <c r="M422" s="78" t="s">
        <v>79</v>
      </c>
      <c r="N422" s="78" t="s">
        <v>37</v>
      </c>
      <c r="O422" s="84">
        <v>45940</v>
      </c>
      <c r="P422" s="78">
        <v>72.900000000000006</v>
      </c>
      <c r="Q422" s="78">
        <f>INDEX($C$1:$I$1,MATCH(Tabel3[[#This Row],[Type]],Devoirs[[#Headers],[J0]:[J60]],0))</f>
        <v>2</v>
      </c>
      <c r="R422" s="85" cm="1">
        <f t="array" aca="1" ref="R42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45910.499444444467</v>
      </c>
      <c r="S42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45953.546770833425</v>
      </c>
      <c r="T42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45953.597395833429</v>
      </c>
      <c r="U422" s="82">
        <f ca="1">--(Tabel3[[#This Row],[jour]]&lt;&gt;TRUNC(Tabel3[[#This Row],[fin]]))</f>
        <v>1</v>
      </c>
      <c r="V422" s="82">
        <f ca="1">IF(Tabel3[[#This Row],[Type]]="j0",0,--(TRUNC(Tabel3[[#This Row],[debut]])-TRUNC(Tabel3[[#This Row],[fin precedent]])&lt;Tabel3[[#This Row],[delai]]))</f>
        <v>0</v>
      </c>
      <c r="X422"/>
      <c r="Y422" s="75"/>
    </row>
    <row r="423" spans="12:25" ht="18" customHeight="1" x14ac:dyDescent="0.2">
      <c r="L423" s="78" t="s">
        <v>104</v>
      </c>
      <c r="M423" s="78" t="s">
        <v>119</v>
      </c>
      <c r="N423" s="78" t="s">
        <v>40</v>
      </c>
      <c r="O423" s="84">
        <v>45940</v>
      </c>
      <c r="P423" s="78">
        <v>15.3</v>
      </c>
      <c r="Q423" s="78">
        <f>INDEX($C$1:$I$1,MATCH(Tabel3[[#This Row],[Type]],Devoirs[[#Headers],[J0]:[J60]],0))</f>
        <v>5</v>
      </c>
      <c r="R423" s="85" cm="1">
        <f t="array" aca="1" ref="R42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45912.451006944459</v>
      </c>
      <c r="S42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45953.597395833429</v>
      </c>
      <c r="T42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45953.608020833432</v>
      </c>
      <c r="U423" s="82">
        <f ca="1">--(Tabel3[[#This Row],[jour]]&lt;&gt;TRUNC(Tabel3[[#This Row],[fin]]))</f>
        <v>1</v>
      </c>
      <c r="V423" s="82">
        <f ca="1">IF(Tabel3[[#This Row],[Type]]="j0",0,--(TRUNC(Tabel3[[#This Row],[debut]])-TRUNC(Tabel3[[#This Row],[fin precedent]])&lt;Tabel3[[#This Row],[delai]]))</f>
        <v>0</v>
      </c>
      <c r="X423"/>
      <c r="Y423" s="75"/>
    </row>
    <row r="424" spans="12:25" ht="18" customHeight="1" x14ac:dyDescent="0.2">
      <c r="L424" s="78" t="s">
        <v>85</v>
      </c>
      <c r="M424" s="78" t="s">
        <v>87</v>
      </c>
      <c r="N424" s="78" t="s">
        <v>40</v>
      </c>
      <c r="O424" s="84">
        <v>45940</v>
      </c>
      <c r="P424" s="78">
        <v>16.2</v>
      </c>
      <c r="Q424" s="78">
        <f>INDEX($C$1:$I$1,MATCH(Tabel3[[#This Row],[Type]],Devoirs[[#Headers],[J0]:[J60]],0))</f>
        <v>5</v>
      </c>
      <c r="R424" s="85" cm="1">
        <f t="array" aca="1" ref="R42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45912.49809027779</v>
      </c>
      <c r="S42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45953.608020833432</v>
      </c>
      <c r="T42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45953.619270833435</v>
      </c>
      <c r="U424" s="82">
        <f ca="1">--(Tabel3[[#This Row],[jour]]&lt;&gt;TRUNC(Tabel3[[#This Row],[fin]]))</f>
        <v>1</v>
      </c>
      <c r="V424" s="82">
        <f ca="1">IF(Tabel3[[#This Row],[Type]]="j0",0,--(TRUNC(Tabel3[[#This Row],[debut]])-TRUNC(Tabel3[[#This Row],[fin precedent]])&lt;Tabel3[[#This Row],[delai]]))</f>
        <v>0</v>
      </c>
      <c r="X424"/>
      <c r="Y424" s="75"/>
    </row>
    <row r="425" spans="12:25" ht="18" customHeight="1" x14ac:dyDescent="0.2">
      <c r="L425" s="78" t="s">
        <v>85</v>
      </c>
      <c r="M425" s="78" t="s">
        <v>94</v>
      </c>
      <c r="N425" s="78" t="s">
        <v>40</v>
      </c>
      <c r="O425" s="84">
        <v>45940</v>
      </c>
      <c r="P425" s="78">
        <v>31.5</v>
      </c>
      <c r="Q425" s="78">
        <f>INDEX($C$1:$I$1,MATCH(Tabel3[[#This Row],[Type]],Devoirs[[#Headers],[J0]:[J60]],0))</f>
        <v>5</v>
      </c>
      <c r="R425" s="85" cm="1">
        <f t="array" aca="1" ref="R42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45912.49809027779</v>
      </c>
      <c r="S42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45953.619270833435</v>
      </c>
      <c r="T42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45953.641145833433</v>
      </c>
      <c r="U425" s="82">
        <f ca="1">--(Tabel3[[#This Row],[jour]]&lt;&gt;TRUNC(Tabel3[[#This Row],[fin]]))</f>
        <v>1</v>
      </c>
      <c r="V425" s="82">
        <f ca="1">IF(Tabel3[[#This Row],[Type]]="j0",0,--(TRUNC(Tabel3[[#This Row],[debut]])-TRUNC(Tabel3[[#This Row],[fin precedent]])&lt;Tabel3[[#This Row],[delai]]))</f>
        <v>0</v>
      </c>
      <c r="X425"/>
      <c r="Y425" s="75"/>
    </row>
    <row r="426" spans="12:25" ht="18" customHeight="1" x14ac:dyDescent="0.2">
      <c r="L426" s="78" t="s">
        <v>43</v>
      </c>
      <c r="M426" s="78" t="s">
        <v>46</v>
      </c>
      <c r="N426" s="78" t="s">
        <v>40</v>
      </c>
      <c r="O426" s="84">
        <v>45940</v>
      </c>
      <c r="P426" s="78">
        <v>34.200000000000003</v>
      </c>
      <c r="Q426" s="78">
        <f>INDEX($C$1:$I$1,MATCH(Tabel3[[#This Row],[Type]],Devoirs[[#Headers],[J0]:[J60]],0))</f>
        <v>5</v>
      </c>
      <c r="R426" s="85" cm="1">
        <f t="array" aca="1" ref="R42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45932.585833333382</v>
      </c>
      <c r="S42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45953.641145833433</v>
      </c>
      <c r="T42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45953.664895833434</v>
      </c>
      <c r="U426" s="82">
        <f ca="1">--(Tabel3[[#This Row],[jour]]&lt;&gt;TRUNC(Tabel3[[#This Row],[fin]]))</f>
        <v>1</v>
      </c>
      <c r="V426" s="82">
        <f ca="1">IF(Tabel3[[#This Row],[Type]]="j0",0,--(TRUNC(Tabel3[[#This Row],[debut]])-TRUNC(Tabel3[[#This Row],[fin precedent]])&lt;Tabel3[[#This Row],[delai]]))</f>
        <v>0</v>
      </c>
      <c r="X426"/>
      <c r="Y426" s="75"/>
    </row>
    <row r="427" spans="12:25" ht="18" customHeight="1" x14ac:dyDescent="0.2">
      <c r="L427" s="78" t="s">
        <v>125</v>
      </c>
      <c r="M427" s="78" t="s">
        <v>129</v>
      </c>
      <c r="N427" s="78" t="s">
        <v>40</v>
      </c>
      <c r="O427" s="84">
        <v>45940</v>
      </c>
      <c r="P427" s="78">
        <v>39.6</v>
      </c>
      <c r="Q427" s="78">
        <f>INDEX($C$1:$I$1,MATCH(Tabel3[[#This Row],[Type]],Devoirs[[#Headers],[J0]:[J60]],0))</f>
        <v>5</v>
      </c>
      <c r="R427" s="85" cm="1">
        <f t="array" aca="1" ref="R42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45919.707187500011</v>
      </c>
      <c r="S42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45953.664895833434</v>
      </c>
      <c r="T42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45953.69239583343</v>
      </c>
      <c r="U427" s="82">
        <f ca="1">--(Tabel3[[#This Row],[jour]]&lt;&gt;TRUNC(Tabel3[[#This Row],[fin]]))</f>
        <v>1</v>
      </c>
      <c r="V427" s="82">
        <f ca="1">IF(Tabel3[[#This Row],[Type]]="j0",0,--(TRUNC(Tabel3[[#This Row],[debut]])-TRUNC(Tabel3[[#This Row],[fin precedent]])&lt;Tabel3[[#This Row],[delai]]))</f>
        <v>0</v>
      </c>
      <c r="X427"/>
      <c r="Y427" s="75"/>
    </row>
    <row r="428" spans="12:25" ht="18" customHeight="1" x14ac:dyDescent="0.2">
      <c r="L428" s="78" t="s">
        <v>43</v>
      </c>
      <c r="M428" s="78" t="s">
        <v>47</v>
      </c>
      <c r="N428" s="78" t="s">
        <v>39</v>
      </c>
      <c r="O428" s="84">
        <v>45940</v>
      </c>
      <c r="P428" s="78">
        <v>35.4</v>
      </c>
      <c r="Q428" s="78">
        <f>INDEX($C$1:$I$1,MATCH(Tabel3[[#This Row],[Type]],Devoirs[[#Headers],[J0]:[J60]],0))</f>
        <v>4</v>
      </c>
      <c r="R428" s="85" cm="1">
        <f t="array" aca="1" ref="R42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45924.734861111123</v>
      </c>
      <c r="S42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45953.69239583343</v>
      </c>
      <c r="T42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45953.716979166762</v>
      </c>
      <c r="U428" s="82">
        <f ca="1">--(Tabel3[[#This Row],[jour]]&lt;&gt;TRUNC(Tabel3[[#This Row],[fin]]))</f>
        <v>1</v>
      </c>
      <c r="V428" s="82">
        <f ca="1">IF(Tabel3[[#This Row],[Type]]="j0",0,--(TRUNC(Tabel3[[#This Row],[debut]])-TRUNC(Tabel3[[#This Row],[fin precedent]])&lt;Tabel3[[#This Row],[delai]]))</f>
        <v>0</v>
      </c>
      <c r="X428"/>
      <c r="Y428" s="75"/>
    </row>
    <row r="429" spans="12:25" ht="18" customHeight="1" x14ac:dyDescent="0.2">
      <c r="L429" s="78" t="s">
        <v>74</v>
      </c>
      <c r="M429" s="78" t="s">
        <v>76</v>
      </c>
      <c r="N429" s="78" t="s">
        <v>39</v>
      </c>
      <c r="O429" s="84">
        <v>45940</v>
      </c>
      <c r="P429" s="78">
        <v>68.399999999999991</v>
      </c>
      <c r="Q429" s="78">
        <f>INDEX($C$1:$I$1,MATCH(Tabel3[[#This Row],[Type]],Devoirs[[#Headers],[J0]:[J60]],0))</f>
        <v>4</v>
      </c>
      <c r="R429" s="85" cm="1">
        <f t="array" aca="1" ref="R42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45916.567500000012</v>
      </c>
      <c r="S42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45953.716979166762</v>
      </c>
      <c r="T42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45954.347812500098</v>
      </c>
      <c r="U429" s="82">
        <f ca="1">--(Tabel3[[#This Row],[jour]]&lt;&gt;TRUNC(Tabel3[[#This Row],[fin]]))</f>
        <v>1</v>
      </c>
      <c r="V429" s="82">
        <f ca="1">IF(Tabel3[[#This Row],[Type]]="j0",0,--(TRUNC(Tabel3[[#This Row],[debut]])-TRUNC(Tabel3[[#This Row],[fin precedent]])&lt;Tabel3[[#This Row],[delai]]))</f>
        <v>0</v>
      </c>
      <c r="X429"/>
      <c r="Y429" s="75"/>
    </row>
    <row r="430" spans="12:25" ht="18" customHeight="1" x14ac:dyDescent="0.2">
      <c r="L430" s="78" t="s">
        <v>43</v>
      </c>
      <c r="M430" s="78" t="s">
        <v>49</v>
      </c>
      <c r="N430" s="78" t="s">
        <v>39</v>
      </c>
      <c r="O430" s="84">
        <v>45940</v>
      </c>
      <c r="P430" s="78">
        <v>70.8</v>
      </c>
      <c r="Q430" s="78">
        <f>INDEX($C$1:$I$1,MATCH(Tabel3[[#This Row],[Type]],Devoirs[[#Headers],[J0]:[J60]],0))</f>
        <v>4</v>
      </c>
      <c r="R430" s="85" cm="1">
        <f t="array" aca="1" ref="R43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45924.734861111123</v>
      </c>
      <c r="S43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45954.347812500098</v>
      </c>
      <c r="T43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45954.396979166762</v>
      </c>
      <c r="U430" s="82">
        <f ca="1">--(Tabel3[[#This Row],[jour]]&lt;&gt;TRUNC(Tabel3[[#This Row],[fin]]))</f>
        <v>1</v>
      </c>
      <c r="V430" s="82">
        <f ca="1">IF(Tabel3[[#This Row],[Type]]="j0",0,--(TRUNC(Tabel3[[#This Row],[debut]])-TRUNC(Tabel3[[#This Row],[fin precedent]])&lt;Tabel3[[#This Row],[delai]]))</f>
        <v>0</v>
      </c>
      <c r="X430"/>
      <c r="Y430" s="75"/>
    </row>
    <row r="431" spans="12:25" ht="18" customHeight="1" x14ac:dyDescent="0.2">
      <c r="L431" s="78" t="s">
        <v>125</v>
      </c>
      <c r="M431" s="78" t="s">
        <v>132</v>
      </c>
      <c r="N431" s="78" t="s">
        <v>1</v>
      </c>
      <c r="O431" s="84">
        <v>45940</v>
      </c>
      <c r="P431" s="78">
        <v>81</v>
      </c>
      <c r="Q431" s="78">
        <f>INDEX($C$1:$I$1,MATCH(Tabel3[[#This Row],[Type]],Devoirs[[#Headers],[J0]:[J60]],0))</f>
        <v>0</v>
      </c>
      <c r="R431" s="85" t="str" cm="1">
        <f t="array" ref="R431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43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45954.396979166762</v>
      </c>
      <c r="T43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45954.453229166764</v>
      </c>
      <c r="U431" s="82">
        <f ca="1">--(Tabel3[[#This Row],[jour]]&lt;&gt;TRUNC(Tabel3[[#This Row],[fin]]))</f>
        <v>1</v>
      </c>
      <c r="V431" s="82">
        <f>IF(Tabel3[[#This Row],[Type]]="j0",0,--(TRUNC(Tabel3[[#This Row],[debut]])-TRUNC(Tabel3[[#This Row],[fin precedent]])&lt;Tabel3[[#This Row],[delai]]))</f>
        <v>0</v>
      </c>
      <c r="X431"/>
      <c r="Y431" s="75"/>
    </row>
    <row r="432" spans="12:25" ht="18" customHeight="1" x14ac:dyDescent="0.2">
      <c r="L432" s="78" t="s">
        <v>135</v>
      </c>
      <c r="M432" s="78" t="s">
        <v>139</v>
      </c>
      <c r="N432" s="78" t="s">
        <v>1</v>
      </c>
      <c r="O432" s="84">
        <v>45940</v>
      </c>
      <c r="P432" s="78">
        <v>108</v>
      </c>
      <c r="Q432" s="78">
        <f>INDEX($C$1:$I$1,MATCH(Tabel3[[#This Row],[Type]],Devoirs[[#Headers],[J0]:[J60]],0))</f>
        <v>0</v>
      </c>
      <c r="R432" s="85" t="str" cm="1">
        <f t="array" ref="R432">IF(Tabel3[[#This Row],[Type]]="j0","-",INDEX(Tabel3[fin],MATCH(Tabel3[[#This Row],[UE]]&amp;"|"&amp; INDEX(Devoirs[[#Headers],[J0]:[J60]],MATCH(Tabel3[[#This Row],[Type]],Devoirs[[#Headers],[J0]:[J60]],0)-1),Tabel3[UE] &amp; "|" &amp;Tabel3[Type],0)))</f>
        <v>-</v>
      </c>
      <c r="S43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45954.453229166764</v>
      </c>
      <c r="T43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45954.528229166761</v>
      </c>
      <c r="U432" s="82">
        <f ca="1">--(Tabel3[[#This Row],[jour]]&lt;&gt;TRUNC(Tabel3[[#This Row],[fin]]))</f>
        <v>1</v>
      </c>
      <c r="V432" s="82">
        <f>IF(Tabel3[[#This Row],[Type]]="j0",0,--(TRUNC(Tabel3[[#This Row],[debut]])-TRUNC(Tabel3[[#This Row],[fin precedent]])&lt;Tabel3[[#This Row],[delai]]))</f>
        <v>0</v>
      </c>
      <c r="X432"/>
      <c r="Y432" s="75"/>
    </row>
    <row r="433" spans="12:25" ht="18" customHeight="1" x14ac:dyDescent="0.2">
      <c r="L433" s="78" t="s">
        <v>135</v>
      </c>
      <c r="M433" s="78" t="s">
        <v>157</v>
      </c>
      <c r="N433" s="78" t="s">
        <v>41</v>
      </c>
      <c r="O433" s="84">
        <v>45941</v>
      </c>
      <c r="P433" s="78">
        <v>16.2</v>
      </c>
      <c r="Q433" s="78">
        <f>INDEX($C$1:$I$1,MATCH(Tabel3[[#This Row],[Type]],Devoirs[[#Headers],[J0]:[J60]],0))</f>
        <v>15</v>
      </c>
      <c r="R433" s="85" cm="1">
        <f t="array" aca="1" ref="R43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45916.748888888906</v>
      </c>
      <c r="S43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45954.528229166761</v>
      </c>
      <c r="T43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45954.539479166764</v>
      </c>
      <c r="U433" s="82">
        <f ca="1">--(Tabel3[[#This Row],[jour]]&lt;&gt;TRUNC(Tabel3[[#This Row],[fin]]))</f>
        <v>1</v>
      </c>
      <c r="V433" s="82">
        <f ca="1">IF(Tabel3[[#This Row],[Type]]="j0",0,--(TRUNC(Tabel3[[#This Row],[debut]])-TRUNC(Tabel3[[#This Row],[fin precedent]])&lt;Tabel3[[#This Row],[delai]]))</f>
        <v>0</v>
      </c>
      <c r="X433"/>
      <c r="Y433" s="75"/>
    </row>
    <row r="434" spans="12:25" ht="18" customHeight="1" x14ac:dyDescent="0.2">
      <c r="L434" s="78" t="s">
        <v>51</v>
      </c>
      <c r="M434" s="78" t="s">
        <v>61</v>
      </c>
      <c r="N434" s="78" t="s">
        <v>41</v>
      </c>
      <c r="O434" s="84">
        <v>45941</v>
      </c>
      <c r="P434" s="78">
        <v>18.899999999999999</v>
      </c>
      <c r="Q434" s="78">
        <f>INDEX($C$1:$I$1,MATCH(Tabel3[[#This Row],[Type]],Devoirs[[#Headers],[J0]:[J60]],0))</f>
        <v>15</v>
      </c>
      <c r="R434" s="85" cm="1">
        <f t="array" aca="1" ref="R43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45917.705000000016</v>
      </c>
      <c r="S43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45954.539479166764</v>
      </c>
      <c r="T43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45954.552604166762</v>
      </c>
      <c r="U434" s="82">
        <f ca="1">--(Tabel3[[#This Row],[jour]]&lt;&gt;TRUNC(Tabel3[[#This Row],[fin]]))</f>
        <v>1</v>
      </c>
      <c r="V434" s="82">
        <f ca="1">IF(Tabel3[[#This Row],[Type]]="j0",0,--(TRUNC(Tabel3[[#This Row],[debut]])-TRUNC(Tabel3[[#This Row],[fin precedent]])&lt;Tabel3[[#This Row],[delai]]))</f>
        <v>0</v>
      </c>
      <c r="X434"/>
      <c r="Y434" s="75"/>
    </row>
    <row r="435" spans="12:25" ht="18" customHeight="1" x14ac:dyDescent="0.2">
      <c r="L435" s="78" t="s">
        <v>51</v>
      </c>
      <c r="M435" s="78" t="s">
        <v>54</v>
      </c>
      <c r="N435" s="78" t="s">
        <v>37</v>
      </c>
      <c r="O435" s="84">
        <v>45941</v>
      </c>
      <c r="P435" s="78">
        <v>59.4</v>
      </c>
      <c r="Q435" s="78">
        <f>INDEX($C$1:$I$1,MATCH(Tabel3[[#This Row],[Type]],Devoirs[[#Headers],[J0]:[J60]],0))</f>
        <v>2</v>
      </c>
      <c r="R435" s="85" cm="1">
        <f t="array" aca="1" ref="R43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45902.368750000001</v>
      </c>
      <c r="S43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45954.552604166762</v>
      </c>
      <c r="T43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45954.593854166764</v>
      </c>
      <c r="U435" s="82">
        <f ca="1">--(Tabel3[[#This Row],[jour]]&lt;&gt;TRUNC(Tabel3[[#This Row],[fin]]))</f>
        <v>1</v>
      </c>
      <c r="V435" s="82">
        <f ca="1">IF(Tabel3[[#This Row],[Type]]="j0",0,--(TRUNC(Tabel3[[#This Row],[debut]])-TRUNC(Tabel3[[#This Row],[fin precedent]])&lt;Tabel3[[#This Row],[delai]]))</f>
        <v>0</v>
      </c>
      <c r="X435"/>
      <c r="Y435" s="75"/>
    </row>
    <row r="436" spans="12:25" ht="18" customHeight="1" x14ac:dyDescent="0.2">
      <c r="L436" s="78" t="s">
        <v>95</v>
      </c>
      <c r="M436" s="78" t="s">
        <v>97</v>
      </c>
      <c r="N436" s="78" t="s">
        <v>37</v>
      </c>
      <c r="O436" s="84">
        <v>45941</v>
      </c>
      <c r="P436" s="78">
        <v>99</v>
      </c>
      <c r="Q436" s="78">
        <f>INDEX($C$1:$I$1,MATCH(Tabel3[[#This Row],[Type]],Devoirs[[#Headers],[J0]:[J60]],0))</f>
        <v>2</v>
      </c>
      <c r="R436" s="85" cm="1">
        <f t="array" aca="1" ref="R43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45912.573784722234</v>
      </c>
      <c r="S43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45954.593854166764</v>
      </c>
      <c r="T43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45954.662604166762</v>
      </c>
      <c r="U436" s="82">
        <f ca="1">--(Tabel3[[#This Row],[jour]]&lt;&gt;TRUNC(Tabel3[[#This Row],[fin]]))</f>
        <v>1</v>
      </c>
      <c r="V436" s="82">
        <f ca="1">IF(Tabel3[[#This Row],[Type]]="j0",0,--(TRUNC(Tabel3[[#This Row],[debut]])-TRUNC(Tabel3[[#This Row],[fin precedent]])&lt;Tabel3[[#This Row],[delai]]))</f>
        <v>0</v>
      </c>
      <c r="X436"/>
      <c r="Y436" s="75"/>
    </row>
    <row r="437" spans="12:25" ht="18" customHeight="1" x14ac:dyDescent="0.2">
      <c r="L437" s="78" t="s">
        <v>104</v>
      </c>
      <c r="M437" s="78" t="s">
        <v>124</v>
      </c>
      <c r="N437" s="78" t="s">
        <v>39</v>
      </c>
      <c r="O437" s="84">
        <v>45941</v>
      </c>
      <c r="P437" s="78">
        <v>30</v>
      </c>
      <c r="Q437" s="78">
        <f>INDEX($C$1:$I$1,MATCH(Tabel3[[#This Row],[Type]],Devoirs[[#Headers],[J0]:[J60]],0))</f>
        <v>4</v>
      </c>
      <c r="R437" s="85" cm="1">
        <f t="array" aca="1" ref="R43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45908.505000000012</v>
      </c>
      <c r="S43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45954.662604166762</v>
      </c>
      <c r="T43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45954.683437500098</v>
      </c>
      <c r="U437" s="82">
        <f ca="1">--(Tabel3[[#This Row],[jour]]&lt;&gt;TRUNC(Tabel3[[#This Row],[fin]]))</f>
        <v>1</v>
      </c>
      <c r="V437" s="82">
        <f ca="1">IF(Tabel3[[#This Row],[Type]]="j0",0,--(TRUNC(Tabel3[[#This Row],[debut]])-TRUNC(Tabel3[[#This Row],[fin precedent]])&lt;Tabel3[[#This Row],[delai]]))</f>
        <v>0</v>
      </c>
      <c r="X437"/>
      <c r="Y437" s="75"/>
    </row>
    <row r="438" spans="12:25" ht="18" customHeight="1" x14ac:dyDescent="0.2">
      <c r="L438" s="78" t="s">
        <v>51</v>
      </c>
      <c r="M438" s="78" t="s">
        <v>56</v>
      </c>
      <c r="N438" s="78" t="s">
        <v>39</v>
      </c>
      <c r="O438" s="84">
        <v>45941</v>
      </c>
      <c r="P438" s="78">
        <v>36</v>
      </c>
      <c r="Q438" s="78">
        <f>INDEX($C$1:$I$1,MATCH(Tabel3[[#This Row],[Type]],Devoirs[[#Headers],[J0]:[J60]],0))</f>
        <v>4</v>
      </c>
      <c r="R438" s="85" cm="1">
        <f t="array" aca="1" ref="R43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45908.415937500009</v>
      </c>
      <c r="S43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45954.683437500098</v>
      </c>
      <c r="T43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45954.7084375001</v>
      </c>
      <c r="U438" s="82">
        <f ca="1">--(Tabel3[[#This Row],[jour]]&lt;&gt;TRUNC(Tabel3[[#This Row],[fin]]))</f>
        <v>1</v>
      </c>
      <c r="V438" s="82">
        <f ca="1">IF(Tabel3[[#This Row],[Type]]="j0",0,--(TRUNC(Tabel3[[#This Row],[debut]])-TRUNC(Tabel3[[#This Row],[fin precedent]])&lt;Tabel3[[#This Row],[delai]]))</f>
        <v>0</v>
      </c>
      <c r="X438"/>
      <c r="Y438" s="75"/>
    </row>
    <row r="439" spans="12:25" ht="18" customHeight="1" x14ac:dyDescent="0.2">
      <c r="L439" s="78" t="s">
        <v>64</v>
      </c>
      <c r="M439" s="78" t="s">
        <v>73</v>
      </c>
      <c r="N439" s="78" t="s">
        <v>39</v>
      </c>
      <c r="O439" s="84">
        <v>45941</v>
      </c>
      <c r="P439" s="78">
        <v>53.4</v>
      </c>
      <c r="Q439" s="78">
        <f>INDEX($C$1:$I$1,MATCH(Tabel3[[#This Row],[Type]],Devoirs[[#Headers],[J0]:[J60]],0))</f>
        <v>4</v>
      </c>
      <c r="R439" s="85" cm="1">
        <f t="array" aca="1" ref="R43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45919.41250000002</v>
      </c>
      <c r="S43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45954.7084375001</v>
      </c>
      <c r="T43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45954.745520833436</v>
      </c>
      <c r="U439" s="82">
        <f ca="1">--(Tabel3[[#This Row],[jour]]&lt;&gt;TRUNC(Tabel3[[#This Row],[fin]]))</f>
        <v>1</v>
      </c>
      <c r="V439" s="82">
        <f ca="1">IF(Tabel3[[#This Row],[Type]]="j0",0,--(TRUNC(Tabel3[[#This Row],[debut]])-TRUNC(Tabel3[[#This Row],[fin precedent]])&lt;Tabel3[[#This Row],[delai]]))</f>
        <v>0</v>
      </c>
      <c r="X439"/>
      <c r="Y439" s="75"/>
    </row>
    <row r="440" spans="12:25" ht="18" customHeight="1" x14ac:dyDescent="0.2">
      <c r="L440" s="78" t="s">
        <v>104</v>
      </c>
      <c r="M440" s="78" t="s">
        <v>120</v>
      </c>
      <c r="N440" s="78" t="s">
        <v>39</v>
      </c>
      <c r="O440" s="84">
        <v>45941</v>
      </c>
      <c r="P440" s="78">
        <v>61.199999999999996</v>
      </c>
      <c r="Q440" s="78">
        <f>INDEX($C$1:$I$1,MATCH(Tabel3[[#This Row],[Type]],Devoirs[[#Headers],[J0]:[J60]],0))</f>
        <v>4</v>
      </c>
      <c r="R440" s="85" cm="1">
        <f t="array" aca="1" ref="R44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45908.505000000012</v>
      </c>
      <c r="S44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45954.745520833436</v>
      </c>
      <c r="T44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45955.371354166775</v>
      </c>
      <c r="U440" s="82">
        <f ca="1">--(Tabel3[[#This Row],[jour]]&lt;&gt;TRUNC(Tabel3[[#This Row],[fin]]))</f>
        <v>1</v>
      </c>
      <c r="V440" s="82">
        <f ca="1">IF(Tabel3[[#This Row],[Type]]="j0",0,--(TRUNC(Tabel3[[#This Row],[debut]])-TRUNC(Tabel3[[#This Row],[fin precedent]])&lt;Tabel3[[#This Row],[delai]]))</f>
        <v>0</v>
      </c>
      <c r="X440"/>
      <c r="Y440" s="75"/>
    </row>
    <row r="441" spans="12:25" ht="18" customHeight="1" x14ac:dyDescent="0.2">
      <c r="L441" s="78" t="s">
        <v>51</v>
      </c>
      <c r="M441" s="78" t="s">
        <v>63</v>
      </c>
      <c r="N441" s="78" t="s">
        <v>38</v>
      </c>
      <c r="O441" s="84">
        <v>45942</v>
      </c>
      <c r="P441" s="78">
        <v>53.25</v>
      </c>
      <c r="Q441" s="78">
        <f>INDEX($C$1:$I$1,MATCH(Tabel3[[#This Row],[Type]],Devoirs[[#Headers],[J0]:[J60]],0))</f>
        <v>4</v>
      </c>
      <c r="R441" s="85" cm="1">
        <f t="array" aca="1" ref="R44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45904.365208333336</v>
      </c>
      <c r="S44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45955.371354166775</v>
      </c>
      <c r="T44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45955.408333333442</v>
      </c>
      <c r="U441" s="82">
        <f ca="1">--(Tabel3[[#This Row],[jour]]&lt;&gt;TRUNC(Tabel3[[#This Row],[fin]]))</f>
        <v>1</v>
      </c>
      <c r="V441" s="82">
        <f ca="1">IF(Tabel3[[#This Row],[Type]]="j0",0,--(TRUNC(Tabel3[[#This Row],[debut]])-TRUNC(Tabel3[[#This Row],[fin precedent]])&lt;Tabel3[[#This Row],[delai]]))</f>
        <v>0</v>
      </c>
      <c r="X441"/>
      <c r="Y441" s="75"/>
    </row>
    <row r="442" spans="12:25" ht="18" customHeight="1" x14ac:dyDescent="0.2">
      <c r="L442" s="78" t="s">
        <v>85</v>
      </c>
      <c r="M442" s="78" t="s">
        <v>91</v>
      </c>
      <c r="N442" s="78" t="s">
        <v>38</v>
      </c>
      <c r="O442" s="84">
        <v>45942</v>
      </c>
      <c r="P442" s="78">
        <v>53.25</v>
      </c>
      <c r="Q442" s="78">
        <f>INDEX($C$1:$I$1,MATCH(Tabel3[[#This Row],[Type]],Devoirs[[#Headers],[J0]:[J60]],0))</f>
        <v>4</v>
      </c>
      <c r="R442" s="85" cm="1">
        <f t="array" aca="1" ref="R44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45904.542708333342</v>
      </c>
      <c r="S44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45955.408333333442</v>
      </c>
      <c r="T44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45955.445312500109</v>
      </c>
      <c r="U442" s="82">
        <f ca="1">--(Tabel3[[#This Row],[jour]]&lt;&gt;TRUNC(Tabel3[[#This Row],[fin]]))</f>
        <v>1</v>
      </c>
      <c r="V442" s="82">
        <f ca="1">IF(Tabel3[[#This Row],[Type]]="j0",0,--(TRUNC(Tabel3[[#This Row],[debut]])-TRUNC(Tabel3[[#This Row],[fin precedent]])&lt;Tabel3[[#This Row],[delai]]))</f>
        <v>0</v>
      </c>
      <c r="X442"/>
      <c r="Y442" s="75"/>
    </row>
    <row r="443" spans="12:25" ht="18" customHeight="1" x14ac:dyDescent="0.2">
      <c r="L443" s="78" t="s">
        <v>104</v>
      </c>
      <c r="M443" s="78" t="s">
        <v>118</v>
      </c>
      <c r="N443" s="78" t="s">
        <v>41</v>
      </c>
      <c r="O443" s="84">
        <v>45942</v>
      </c>
      <c r="P443" s="78">
        <v>13.5</v>
      </c>
      <c r="Q443" s="78">
        <f>INDEX($C$1:$I$1,MATCH(Tabel3[[#This Row],[Type]],Devoirs[[#Headers],[J0]:[J60]],0))</f>
        <v>15</v>
      </c>
      <c r="R443" s="85" cm="1">
        <f t="array" aca="1" ref="R44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45918.341770833351</v>
      </c>
      <c r="S44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45955.445312500109</v>
      </c>
      <c r="T44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45955.454687500111</v>
      </c>
      <c r="U443" s="82">
        <f ca="1">--(Tabel3[[#This Row],[jour]]&lt;&gt;TRUNC(Tabel3[[#This Row],[fin]]))</f>
        <v>1</v>
      </c>
      <c r="V443" s="82">
        <f ca="1">IF(Tabel3[[#This Row],[Type]]="j0",0,--(TRUNC(Tabel3[[#This Row],[debut]])-TRUNC(Tabel3[[#This Row],[fin precedent]])&lt;Tabel3[[#This Row],[delai]]))</f>
        <v>0</v>
      </c>
      <c r="X443"/>
      <c r="Y443" s="75"/>
    </row>
    <row r="444" spans="12:25" ht="18" customHeight="1" x14ac:dyDescent="0.2">
      <c r="L444" s="78" t="s">
        <v>95</v>
      </c>
      <c r="M444" s="78" t="s">
        <v>96</v>
      </c>
      <c r="N444" s="78" t="s">
        <v>41</v>
      </c>
      <c r="O444" s="84">
        <v>45942</v>
      </c>
      <c r="P444" s="78">
        <v>19.2</v>
      </c>
      <c r="Q444" s="78">
        <f>INDEX($C$1:$I$1,MATCH(Tabel3[[#This Row],[Type]],Devoirs[[#Headers],[J0]:[J60]],0))</f>
        <v>15</v>
      </c>
      <c r="R444" s="85" cm="1">
        <f t="array" aca="1" ref="R44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45934.724861111143</v>
      </c>
      <c r="S44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45955.454687500111</v>
      </c>
      <c r="T44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45955.468020833447</v>
      </c>
      <c r="U444" s="82">
        <f ca="1">--(Tabel3[[#This Row],[jour]]&lt;&gt;TRUNC(Tabel3[[#This Row],[fin]]))</f>
        <v>1</v>
      </c>
      <c r="V444" s="82">
        <f ca="1">IF(Tabel3[[#This Row],[Type]]="j0",0,--(TRUNC(Tabel3[[#This Row],[debut]])-TRUNC(Tabel3[[#This Row],[fin precedent]])&lt;Tabel3[[#This Row],[delai]]))</f>
        <v>0</v>
      </c>
      <c r="X444"/>
      <c r="Y444" s="75"/>
    </row>
    <row r="445" spans="12:25" ht="18" customHeight="1" x14ac:dyDescent="0.2">
      <c r="L445" s="78" t="s">
        <v>74</v>
      </c>
      <c r="M445" s="78" t="s">
        <v>78</v>
      </c>
      <c r="N445" s="78" t="s">
        <v>41</v>
      </c>
      <c r="O445" s="84">
        <v>45942</v>
      </c>
      <c r="P445" s="78">
        <v>26.099999999999998</v>
      </c>
      <c r="Q445" s="78">
        <f>INDEX($C$1:$I$1,MATCH(Tabel3[[#This Row],[Type]],Devoirs[[#Headers],[J0]:[J60]],0))</f>
        <v>15</v>
      </c>
      <c r="R445" s="85" cm="1">
        <f t="array" aca="1" ref="R44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45930.603125000031</v>
      </c>
      <c r="S44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45955.468020833447</v>
      </c>
      <c r="T44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45955.486145833449</v>
      </c>
      <c r="U445" s="82">
        <f ca="1">--(Tabel3[[#This Row],[jour]]&lt;&gt;TRUNC(Tabel3[[#This Row],[fin]]))</f>
        <v>1</v>
      </c>
      <c r="V445" s="82">
        <f ca="1">IF(Tabel3[[#This Row],[Type]]="j0",0,--(TRUNC(Tabel3[[#This Row],[debut]])-TRUNC(Tabel3[[#This Row],[fin precedent]])&lt;Tabel3[[#This Row],[delai]]))</f>
        <v>0</v>
      </c>
      <c r="X445"/>
      <c r="Y445" s="75"/>
    </row>
    <row r="446" spans="12:25" ht="18" customHeight="1" x14ac:dyDescent="0.2">
      <c r="L446" s="78" t="s">
        <v>64</v>
      </c>
      <c r="M446" s="78" t="s">
        <v>66</v>
      </c>
      <c r="N446" s="78" t="s">
        <v>41</v>
      </c>
      <c r="O446" s="84">
        <v>45942</v>
      </c>
      <c r="P446" s="78">
        <v>27.599999999999998</v>
      </c>
      <c r="Q446" s="78">
        <f>INDEX($C$1:$I$1,MATCH(Tabel3[[#This Row],[Type]],Devoirs[[#Headers],[J0]:[J60]],0))</f>
        <v>15</v>
      </c>
      <c r="R446" s="85" cm="1">
        <f t="array" aca="1" ref="R44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45936.36413194448</v>
      </c>
      <c r="S44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45955.486145833449</v>
      </c>
      <c r="T44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45955.505312500114</v>
      </c>
      <c r="U446" s="82">
        <f ca="1">--(Tabel3[[#This Row],[jour]]&lt;&gt;TRUNC(Tabel3[[#This Row],[fin]]))</f>
        <v>1</v>
      </c>
      <c r="V446" s="82">
        <f ca="1">IF(Tabel3[[#This Row],[Type]]="j0",0,--(TRUNC(Tabel3[[#This Row],[debut]])-TRUNC(Tabel3[[#This Row],[fin precedent]])&lt;Tabel3[[#This Row],[delai]]))</f>
        <v>0</v>
      </c>
      <c r="X446"/>
      <c r="Y446" s="75"/>
    </row>
    <row r="447" spans="12:25" ht="18" customHeight="1" x14ac:dyDescent="0.2">
      <c r="L447" s="78" t="s">
        <v>125</v>
      </c>
      <c r="M447" s="78" t="s">
        <v>132</v>
      </c>
      <c r="N447" s="78" t="s">
        <v>37</v>
      </c>
      <c r="O447" s="84">
        <v>45942</v>
      </c>
      <c r="P447" s="78">
        <v>72.900000000000006</v>
      </c>
      <c r="Q447" s="78">
        <f>INDEX($C$1:$I$1,MATCH(Tabel3[[#This Row],[Type]],Devoirs[[#Headers],[J0]:[J60]],0))</f>
        <v>2</v>
      </c>
      <c r="R447" s="85" cm="1">
        <f t="array" aca="1" ref="R44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45908.665937500016</v>
      </c>
      <c r="S44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45955.505312500114</v>
      </c>
      <c r="T44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45955.555937500118</v>
      </c>
      <c r="U447" s="82">
        <f ca="1">--(Tabel3[[#This Row],[jour]]&lt;&gt;TRUNC(Tabel3[[#This Row],[fin]]))</f>
        <v>1</v>
      </c>
      <c r="V447" s="82">
        <f ca="1">IF(Tabel3[[#This Row],[Type]]="j0",0,--(TRUNC(Tabel3[[#This Row],[debut]])-TRUNC(Tabel3[[#This Row],[fin precedent]])&lt;Tabel3[[#This Row],[delai]]))</f>
        <v>0</v>
      </c>
      <c r="X447"/>
      <c r="Y447" s="75"/>
    </row>
    <row r="448" spans="12:25" ht="18" customHeight="1" x14ac:dyDescent="0.2">
      <c r="L448" s="78" t="s">
        <v>135</v>
      </c>
      <c r="M448" s="78" t="s">
        <v>139</v>
      </c>
      <c r="N448" s="78" t="s">
        <v>37</v>
      </c>
      <c r="O448" s="84">
        <v>45942</v>
      </c>
      <c r="P448" s="78">
        <v>97.2</v>
      </c>
      <c r="Q448" s="78">
        <f>INDEX($C$1:$I$1,MATCH(Tabel3[[#This Row],[Type]],Devoirs[[#Headers],[J0]:[J60]],0))</f>
        <v>2</v>
      </c>
      <c r="R448" s="85" cm="1">
        <f t="array" aca="1" ref="R44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45901.355555555558</v>
      </c>
      <c r="S44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45955.555937500118</v>
      </c>
      <c r="T44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45955.623437500115</v>
      </c>
      <c r="U448" s="82">
        <f ca="1">--(Tabel3[[#This Row],[jour]]&lt;&gt;TRUNC(Tabel3[[#This Row],[fin]]))</f>
        <v>1</v>
      </c>
      <c r="V448" s="82">
        <f ca="1">IF(Tabel3[[#This Row],[Type]]="j0",0,--(TRUNC(Tabel3[[#This Row],[debut]])-TRUNC(Tabel3[[#This Row],[fin precedent]])&lt;Tabel3[[#This Row],[delai]]))</f>
        <v>0</v>
      </c>
      <c r="X448"/>
      <c r="Y448" s="75"/>
    </row>
    <row r="449" spans="12:25" ht="18" customHeight="1" x14ac:dyDescent="0.2">
      <c r="L449" s="78" t="s">
        <v>104</v>
      </c>
      <c r="M449" s="78" t="s">
        <v>123</v>
      </c>
      <c r="N449" s="78" t="s">
        <v>39</v>
      </c>
      <c r="O449" s="84">
        <v>45942</v>
      </c>
      <c r="P449" s="78">
        <v>45.6</v>
      </c>
      <c r="Q449" s="78">
        <f>INDEX($C$1:$I$1,MATCH(Tabel3[[#This Row],[Type]],Devoirs[[#Headers],[J0]:[J60]],0))</f>
        <v>4</v>
      </c>
      <c r="R449" s="85" cm="1">
        <f t="array" aca="1" ref="R44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45908.505000000012</v>
      </c>
      <c r="S44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45955.623437500115</v>
      </c>
      <c r="T44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45955.655104166784</v>
      </c>
      <c r="U449" s="82">
        <f ca="1">--(Tabel3[[#This Row],[jour]]&lt;&gt;TRUNC(Tabel3[[#This Row],[fin]]))</f>
        <v>1</v>
      </c>
      <c r="V449" s="82">
        <f ca="1">IF(Tabel3[[#This Row],[Type]]="j0",0,--(TRUNC(Tabel3[[#This Row],[debut]])-TRUNC(Tabel3[[#This Row],[fin precedent]])&lt;Tabel3[[#This Row],[delai]]))</f>
        <v>0</v>
      </c>
      <c r="X449"/>
      <c r="Y449" s="75"/>
    </row>
    <row r="450" spans="12:25" ht="18" customHeight="1" x14ac:dyDescent="0.2">
      <c r="L450" s="78" t="s">
        <v>43</v>
      </c>
      <c r="M450" s="78" t="s">
        <v>50</v>
      </c>
      <c r="N450" s="78" t="s">
        <v>39</v>
      </c>
      <c r="O450" s="84">
        <v>45942</v>
      </c>
      <c r="P450" s="78">
        <v>71.399999999999991</v>
      </c>
      <c r="Q450" s="78">
        <f>INDEX($C$1:$I$1,MATCH(Tabel3[[#This Row],[Type]],Devoirs[[#Headers],[J0]:[J60]],0))</f>
        <v>4</v>
      </c>
      <c r="R450" s="85" cm="1">
        <f t="array" aca="1" ref="R45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45924.734861111123</v>
      </c>
      <c r="S45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45955.655104166784</v>
      </c>
      <c r="T45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45955.704687500118</v>
      </c>
      <c r="U450" s="82">
        <f ca="1">--(Tabel3[[#This Row],[jour]]&lt;&gt;TRUNC(Tabel3[[#This Row],[fin]]))</f>
        <v>1</v>
      </c>
      <c r="V450" s="82">
        <f ca="1">IF(Tabel3[[#This Row],[Type]]="j0",0,--(TRUNC(Tabel3[[#This Row],[debut]])-TRUNC(Tabel3[[#This Row],[fin precedent]])&lt;Tabel3[[#This Row],[delai]]))</f>
        <v>0</v>
      </c>
      <c r="X450"/>
      <c r="Y450" s="75"/>
    </row>
    <row r="451" spans="12:25" ht="18" customHeight="1" x14ac:dyDescent="0.2">
      <c r="L451" s="78" t="s">
        <v>95</v>
      </c>
      <c r="M451" s="78" t="s">
        <v>103</v>
      </c>
      <c r="N451" s="78" t="s">
        <v>38</v>
      </c>
      <c r="O451" s="84">
        <v>45943</v>
      </c>
      <c r="P451" s="78">
        <v>27</v>
      </c>
      <c r="Q451" s="78">
        <f>INDEX($C$1:$I$1,MATCH(Tabel3[[#This Row],[Type]],Devoirs[[#Headers],[J0]:[J60]],0))</f>
        <v>4</v>
      </c>
      <c r="R451" s="85" cm="1">
        <f t="array" aca="1" ref="R45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45915.721770833334</v>
      </c>
      <c r="S45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45955.704687500118</v>
      </c>
      <c r="T45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45955.723437500121</v>
      </c>
      <c r="U451" s="82">
        <f ca="1">--(Tabel3[[#This Row],[jour]]&lt;&gt;TRUNC(Tabel3[[#This Row],[fin]]))</f>
        <v>1</v>
      </c>
      <c r="V451" s="82">
        <f ca="1">IF(Tabel3[[#This Row],[Type]]="j0",0,--(TRUNC(Tabel3[[#This Row],[debut]])-TRUNC(Tabel3[[#This Row],[fin precedent]])&lt;Tabel3[[#This Row],[delai]]))</f>
        <v>0</v>
      </c>
      <c r="X451"/>
      <c r="Y451" s="75"/>
    </row>
    <row r="452" spans="12:25" ht="18" customHeight="1" x14ac:dyDescent="0.2">
      <c r="L452" s="78" t="s">
        <v>125</v>
      </c>
      <c r="M452" s="78" t="s">
        <v>126</v>
      </c>
      <c r="N452" s="78" t="s">
        <v>38</v>
      </c>
      <c r="O452" s="84">
        <v>45943</v>
      </c>
      <c r="P452" s="78">
        <v>49.5</v>
      </c>
      <c r="Q452" s="78">
        <f>INDEX($C$1:$I$1,MATCH(Tabel3[[#This Row],[Type]],Devoirs[[#Headers],[J0]:[J60]],0))</f>
        <v>4</v>
      </c>
      <c r="R452" s="85" cm="1">
        <f t="array" aca="1" ref="R45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45910.591319444466</v>
      </c>
      <c r="S45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45955.723437500121</v>
      </c>
      <c r="T45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45957.341145833459</v>
      </c>
      <c r="U452" s="82">
        <f ca="1">--(Tabel3[[#This Row],[jour]]&lt;&gt;TRUNC(Tabel3[[#This Row],[fin]]))</f>
        <v>1</v>
      </c>
      <c r="V452" s="82">
        <f ca="1">IF(Tabel3[[#This Row],[Type]]="j0",0,--(TRUNC(Tabel3[[#This Row],[debut]])-TRUNC(Tabel3[[#This Row],[fin precedent]])&lt;Tabel3[[#This Row],[delai]]))</f>
        <v>0</v>
      </c>
      <c r="X452"/>
      <c r="Y452" s="75"/>
    </row>
    <row r="453" spans="12:25" ht="18" customHeight="1" x14ac:dyDescent="0.2">
      <c r="L453" s="78" t="s">
        <v>64</v>
      </c>
      <c r="M453" s="78" t="s">
        <v>70</v>
      </c>
      <c r="N453" s="78" t="s">
        <v>38</v>
      </c>
      <c r="O453" s="84">
        <v>45943</v>
      </c>
      <c r="P453" s="78">
        <v>63</v>
      </c>
      <c r="Q453" s="78">
        <f>INDEX($C$1:$I$1,MATCH(Tabel3[[#This Row],[Type]],Devoirs[[#Headers],[J0]:[J60]],0))</f>
        <v>4</v>
      </c>
      <c r="R453" s="85" cm="1">
        <f t="array" aca="1" ref="R45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45916.416979166672</v>
      </c>
      <c r="S45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45957.341145833459</v>
      </c>
      <c r="T45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45957.384895833457</v>
      </c>
      <c r="U453" s="82">
        <f ca="1">--(Tabel3[[#This Row],[jour]]&lt;&gt;TRUNC(Tabel3[[#This Row],[fin]]))</f>
        <v>1</v>
      </c>
      <c r="V453" s="82">
        <f ca="1">IF(Tabel3[[#This Row],[Type]]="j0",0,--(TRUNC(Tabel3[[#This Row],[debut]])-TRUNC(Tabel3[[#This Row],[fin precedent]])&lt;Tabel3[[#This Row],[delai]]))</f>
        <v>0</v>
      </c>
      <c r="X453"/>
      <c r="Y453" s="75"/>
    </row>
    <row r="454" spans="12:25" ht="18" customHeight="1" x14ac:dyDescent="0.2">
      <c r="L454" s="78" t="s">
        <v>64</v>
      </c>
      <c r="M454" s="78" t="s">
        <v>71</v>
      </c>
      <c r="N454" s="78" t="s">
        <v>38</v>
      </c>
      <c r="O454" s="84">
        <v>45943</v>
      </c>
      <c r="P454" s="78">
        <v>75.75</v>
      </c>
      <c r="Q454" s="78">
        <f>INDEX($C$1:$I$1,MATCH(Tabel3[[#This Row],[Type]],Devoirs[[#Headers],[J0]:[J60]],0))</f>
        <v>4</v>
      </c>
      <c r="R454" s="85" cm="1">
        <f t="array" aca="1" ref="R45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45916.416979166672</v>
      </c>
      <c r="S45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45957.384895833457</v>
      </c>
      <c r="T45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45957.437500000124</v>
      </c>
      <c r="U454" s="82">
        <f ca="1">--(Tabel3[[#This Row],[jour]]&lt;&gt;TRUNC(Tabel3[[#This Row],[fin]]))</f>
        <v>1</v>
      </c>
      <c r="V454" s="82">
        <f ca="1">IF(Tabel3[[#This Row],[Type]]="j0",0,--(TRUNC(Tabel3[[#This Row],[debut]])-TRUNC(Tabel3[[#This Row],[fin precedent]])&lt;Tabel3[[#This Row],[delai]]))</f>
        <v>0</v>
      </c>
      <c r="X454"/>
      <c r="Y454" s="75"/>
    </row>
    <row r="455" spans="12:25" ht="18" customHeight="1" x14ac:dyDescent="0.2">
      <c r="L455" s="78" t="s">
        <v>64</v>
      </c>
      <c r="M455" s="78" t="s">
        <v>65</v>
      </c>
      <c r="N455" s="78" t="s">
        <v>38</v>
      </c>
      <c r="O455" s="84">
        <v>45943</v>
      </c>
      <c r="P455" s="78">
        <v>81.75</v>
      </c>
      <c r="Q455" s="78">
        <f>INDEX($C$1:$I$1,MATCH(Tabel3[[#This Row],[Type]],Devoirs[[#Headers],[J0]:[J60]],0))</f>
        <v>4</v>
      </c>
      <c r="R455" s="85" cm="1">
        <f t="array" aca="1" ref="R45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45916.416979166672</v>
      </c>
      <c r="S45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45957.437500000124</v>
      </c>
      <c r="T45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45957.494270833457</v>
      </c>
      <c r="U455" s="82">
        <f ca="1">--(Tabel3[[#This Row],[jour]]&lt;&gt;TRUNC(Tabel3[[#This Row],[fin]]))</f>
        <v>1</v>
      </c>
      <c r="V455" s="82">
        <f ca="1">IF(Tabel3[[#This Row],[Type]]="j0",0,--(TRUNC(Tabel3[[#This Row],[debut]])-TRUNC(Tabel3[[#This Row],[fin precedent]])&lt;Tabel3[[#This Row],[delai]]))</f>
        <v>0</v>
      </c>
      <c r="X455"/>
      <c r="Y455" s="75"/>
    </row>
    <row r="456" spans="12:25" ht="18" customHeight="1" x14ac:dyDescent="0.2">
      <c r="L456" s="78" t="s">
        <v>51</v>
      </c>
      <c r="M456" s="78" t="s">
        <v>53</v>
      </c>
      <c r="N456" s="78" t="s">
        <v>39</v>
      </c>
      <c r="O456" s="84">
        <v>45943</v>
      </c>
      <c r="P456" s="78">
        <v>37.199999999999996</v>
      </c>
      <c r="Q456" s="78">
        <f>INDEX($C$1:$I$1,MATCH(Tabel3[[#This Row],[Type]],Devoirs[[#Headers],[J0]:[J60]],0))</f>
        <v>4</v>
      </c>
      <c r="R456" s="85" cm="1">
        <f t="array" aca="1" ref="R45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45908.415937500009</v>
      </c>
      <c r="S45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45957.494270833457</v>
      </c>
      <c r="T45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45957.52010416679</v>
      </c>
      <c r="U456" s="82">
        <f ca="1">--(Tabel3[[#This Row],[jour]]&lt;&gt;TRUNC(Tabel3[[#This Row],[fin]]))</f>
        <v>1</v>
      </c>
      <c r="V456" s="82">
        <f ca="1">IF(Tabel3[[#This Row],[Type]]="j0",0,--(TRUNC(Tabel3[[#This Row],[debut]])-TRUNC(Tabel3[[#This Row],[fin precedent]])&lt;Tabel3[[#This Row],[delai]]))</f>
        <v>0</v>
      </c>
      <c r="X456"/>
      <c r="Y456" s="75"/>
    </row>
    <row r="457" spans="12:25" ht="18" customHeight="1" x14ac:dyDescent="0.2">
      <c r="L457" s="78" t="s">
        <v>104</v>
      </c>
      <c r="M457" s="78" t="s">
        <v>111</v>
      </c>
      <c r="N457" s="78" t="s">
        <v>39</v>
      </c>
      <c r="O457" s="84">
        <v>45943</v>
      </c>
      <c r="P457" s="78">
        <v>37.199999999999996</v>
      </c>
      <c r="Q457" s="78">
        <f>INDEX($C$1:$I$1,MATCH(Tabel3[[#This Row],[Type]],Devoirs[[#Headers],[J0]:[J60]],0))</f>
        <v>4</v>
      </c>
      <c r="R457" s="85" cm="1">
        <f t="array" aca="1" ref="R45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45908.505000000012</v>
      </c>
      <c r="S45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45957.52010416679</v>
      </c>
      <c r="T45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45957.545937500123</v>
      </c>
      <c r="U457" s="82">
        <f ca="1">--(Tabel3[[#This Row],[jour]]&lt;&gt;TRUNC(Tabel3[[#This Row],[fin]]))</f>
        <v>1</v>
      </c>
      <c r="V457" s="82">
        <f ca="1">IF(Tabel3[[#This Row],[Type]]="j0",0,--(TRUNC(Tabel3[[#This Row],[debut]])-TRUNC(Tabel3[[#This Row],[fin precedent]])&lt;Tabel3[[#This Row],[delai]]))</f>
        <v>0</v>
      </c>
      <c r="X457"/>
      <c r="Y457" s="75"/>
    </row>
    <row r="458" spans="12:25" ht="18" customHeight="1" x14ac:dyDescent="0.2">
      <c r="L458" s="78" t="s">
        <v>74</v>
      </c>
      <c r="M458" s="78" t="s">
        <v>81</v>
      </c>
      <c r="N458" s="78" t="s">
        <v>39</v>
      </c>
      <c r="O458" s="84">
        <v>45943</v>
      </c>
      <c r="P458" s="78">
        <v>63.599999999999994</v>
      </c>
      <c r="Q458" s="78">
        <f>INDEX($C$1:$I$1,MATCH(Tabel3[[#This Row],[Type]],Devoirs[[#Headers],[J0]:[J60]],0))</f>
        <v>4</v>
      </c>
      <c r="R458" s="85" cm="1">
        <f t="array" aca="1" ref="R45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45916.567500000012</v>
      </c>
      <c r="S45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45957.545937500123</v>
      </c>
      <c r="T45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45957.590104166789</v>
      </c>
      <c r="U458" s="82">
        <f ca="1">--(Tabel3[[#This Row],[jour]]&lt;&gt;TRUNC(Tabel3[[#This Row],[fin]]))</f>
        <v>1</v>
      </c>
      <c r="V458" s="82">
        <f ca="1">IF(Tabel3[[#This Row],[Type]]="j0",0,--(TRUNC(Tabel3[[#This Row],[debut]])-TRUNC(Tabel3[[#This Row],[fin precedent]])&lt;Tabel3[[#This Row],[delai]]))</f>
        <v>0</v>
      </c>
      <c r="X458"/>
      <c r="Y458" s="75"/>
    </row>
    <row r="459" spans="12:25" ht="18" customHeight="1" x14ac:dyDescent="0.2">
      <c r="L459" s="78" t="s">
        <v>51</v>
      </c>
      <c r="M459" s="78" t="s">
        <v>60</v>
      </c>
      <c r="N459" s="78" t="s">
        <v>38</v>
      </c>
      <c r="O459" s="84">
        <v>45944</v>
      </c>
      <c r="P459" s="78">
        <v>30</v>
      </c>
      <c r="Q459" s="78">
        <f>INDEX($C$1:$I$1,MATCH(Tabel3[[#This Row],[Type]],Devoirs[[#Headers],[J0]:[J60]],0))</f>
        <v>4</v>
      </c>
      <c r="R459" s="85" cm="1">
        <f t="array" aca="1" ref="R45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45904.365208333336</v>
      </c>
      <c r="S45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45957.590104166789</v>
      </c>
      <c r="T45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45957.610937500125</v>
      </c>
      <c r="U459" s="82">
        <f ca="1">--(Tabel3[[#This Row],[jour]]&lt;&gt;TRUNC(Tabel3[[#This Row],[fin]]))</f>
        <v>1</v>
      </c>
      <c r="V459" s="82">
        <f ca="1">IF(Tabel3[[#This Row],[Type]]="j0",0,--(TRUNC(Tabel3[[#This Row],[debut]])-TRUNC(Tabel3[[#This Row],[fin precedent]])&lt;Tabel3[[#This Row],[delai]]))</f>
        <v>0</v>
      </c>
      <c r="X459"/>
      <c r="Y459" s="75"/>
    </row>
    <row r="460" spans="12:25" ht="18" customHeight="1" x14ac:dyDescent="0.2">
      <c r="L460" s="78" t="s">
        <v>74</v>
      </c>
      <c r="M460" s="78" t="s">
        <v>79</v>
      </c>
      <c r="N460" s="78" t="s">
        <v>38</v>
      </c>
      <c r="O460" s="84">
        <v>45944</v>
      </c>
      <c r="P460" s="78">
        <v>60.75</v>
      </c>
      <c r="Q460" s="78">
        <f>INDEX($C$1:$I$1,MATCH(Tabel3[[#This Row],[Type]],Devoirs[[#Headers],[J0]:[J60]],0))</f>
        <v>4</v>
      </c>
      <c r="R460" s="85" cm="1">
        <f t="array" aca="1" ref="R46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45911.6805902778</v>
      </c>
      <c r="S46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45957.610937500125</v>
      </c>
      <c r="T46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45957.653125000128</v>
      </c>
      <c r="U460" s="82">
        <f ca="1">--(Tabel3[[#This Row],[jour]]&lt;&gt;TRUNC(Tabel3[[#This Row],[fin]]))</f>
        <v>1</v>
      </c>
      <c r="V460" s="82">
        <f ca="1">IF(Tabel3[[#This Row],[Type]]="j0",0,--(TRUNC(Tabel3[[#This Row],[debut]])-TRUNC(Tabel3[[#This Row],[fin precedent]])&lt;Tabel3[[#This Row],[delai]]))</f>
        <v>0</v>
      </c>
      <c r="X460"/>
      <c r="Y460" s="75"/>
    </row>
    <row r="461" spans="12:25" ht="18" customHeight="1" x14ac:dyDescent="0.2">
      <c r="L461" s="78" t="s">
        <v>104</v>
      </c>
      <c r="M461" s="78" t="s">
        <v>122</v>
      </c>
      <c r="N461" s="78" t="s">
        <v>40</v>
      </c>
      <c r="O461" s="84">
        <v>45944</v>
      </c>
      <c r="P461" s="78">
        <v>35.550000000000004</v>
      </c>
      <c r="Q461" s="78">
        <f>INDEX($C$1:$I$1,MATCH(Tabel3[[#This Row],[Type]],Devoirs[[#Headers],[J0]:[J60]],0))</f>
        <v>5</v>
      </c>
      <c r="R461" s="85" cm="1">
        <f t="array" aca="1" ref="R46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45912.451006944459</v>
      </c>
      <c r="S46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45957.653125000128</v>
      </c>
      <c r="T46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45957.677812500129</v>
      </c>
      <c r="U461" s="82">
        <f ca="1">--(Tabel3[[#This Row],[jour]]&lt;&gt;TRUNC(Tabel3[[#This Row],[fin]]))</f>
        <v>1</v>
      </c>
      <c r="V461" s="82">
        <f ca="1">IF(Tabel3[[#This Row],[Type]]="j0",0,--(TRUNC(Tabel3[[#This Row],[debut]])-TRUNC(Tabel3[[#This Row],[fin precedent]])&lt;Tabel3[[#This Row],[delai]]))</f>
        <v>0</v>
      </c>
      <c r="X461"/>
      <c r="Y461" s="75"/>
    </row>
    <row r="462" spans="12:25" ht="18" customHeight="1" x14ac:dyDescent="0.2">
      <c r="L462" s="78" t="s">
        <v>74</v>
      </c>
      <c r="M462" s="78" t="s">
        <v>77</v>
      </c>
      <c r="N462" s="78" t="s">
        <v>40</v>
      </c>
      <c r="O462" s="84">
        <v>45944</v>
      </c>
      <c r="P462" s="78">
        <v>48.6</v>
      </c>
      <c r="Q462" s="78">
        <f>INDEX($C$1:$I$1,MATCH(Tabel3[[#This Row],[Type]],Devoirs[[#Headers],[J0]:[J60]],0))</f>
        <v>5</v>
      </c>
      <c r="R462" s="85" cm="1">
        <f t="array" aca="1" ref="R46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45923.462534722232</v>
      </c>
      <c r="S46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45957.677812500129</v>
      </c>
      <c r="T46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45957.711562500132</v>
      </c>
      <c r="U462" s="82">
        <f ca="1">--(Tabel3[[#This Row],[jour]]&lt;&gt;TRUNC(Tabel3[[#This Row],[fin]]))</f>
        <v>1</v>
      </c>
      <c r="V462" s="82">
        <f ca="1">IF(Tabel3[[#This Row],[Type]]="j0",0,--(TRUNC(Tabel3[[#This Row],[debut]])-TRUNC(Tabel3[[#This Row],[fin precedent]])&lt;Tabel3[[#This Row],[delai]]))</f>
        <v>0</v>
      </c>
      <c r="X462"/>
      <c r="Y462" s="75"/>
    </row>
    <row r="463" spans="12:25" ht="18" customHeight="1" x14ac:dyDescent="0.2">
      <c r="L463" s="78" t="s">
        <v>51</v>
      </c>
      <c r="M463" s="78" t="s">
        <v>54</v>
      </c>
      <c r="N463" s="78" t="s">
        <v>38</v>
      </c>
      <c r="O463" s="84">
        <v>45945</v>
      </c>
      <c r="P463" s="78">
        <v>49.5</v>
      </c>
      <c r="Q463" s="78">
        <f>INDEX($C$1:$I$1,MATCH(Tabel3[[#This Row],[Type]],Devoirs[[#Headers],[J0]:[J60]],0))</f>
        <v>4</v>
      </c>
      <c r="R463" s="85" cm="1">
        <f t="array" aca="1" ref="R46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45904.365208333336</v>
      </c>
      <c r="S46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45957.711562500132</v>
      </c>
      <c r="T46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45957.745937500134</v>
      </c>
      <c r="U463" s="82">
        <f ca="1">--(Tabel3[[#This Row],[jour]]&lt;&gt;TRUNC(Tabel3[[#This Row],[fin]]))</f>
        <v>1</v>
      </c>
      <c r="V463" s="82">
        <f ca="1">IF(Tabel3[[#This Row],[Type]]="j0",0,--(TRUNC(Tabel3[[#This Row],[debut]])-TRUNC(Tabel3[[#This Row],[fin precedent]])&lt;Tabel3[[#This Row],[delai]]))</f>
        <v>0</v>
      </c>
      <c r="X463"/>
      <c r="Y463" s="75"/>
    </row>
    <row r="464" spans="12:25" ht="18" customHeight="1" x14ac:dyDescent="0.2">
      <c r="L464" s="78" t="s">
        <v>95</v>
      </c>
      <c r="M464" s="78" t="s">
        <v>97</v>
      </c>
      <c r="N464" s="78" t="s">
        <v>38</v>
      </c>
      <c r="O464" s="84">
        <v>45945</v>
      </c>
      <c r="P464" s="78">
        <v>82.5</v>
      </c>
      <c r="Q464" s="78">
        <f>INDEX($C$1:$I$1,MATCH(Tabel3[[#This Row],[Type]],Devoirs[[#Headers],[J0]:[J60]],0))</f>
        <v>4</v>
      </c>
      <c r="R464" s="85" cm="1">
        <f t="array" aca="1" ref="R46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45915.721770833334</v>
      </c>
      <c r="S46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45957.745937500134</v>
      </c>
      <c r="T46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45958.386562500134</v>
      </c>
      <c r="U464" s="82">
        <f ca="1">--(Tabel3[[#This Row],[jour]]&lt;&gt;TRUNC(Tabel3[[#This Row],[fin]]))</f>
        <v>1</v>
      </c>
      <c r="V464" s="82">
        <f ca="1">IF(Tabel3[[#This Row],[Type]]="j0",0,--(TRUNC(Tabel3[[#This Row],[debut]])-TRUNC(Tabel3[[#This Row],[fin precedent]])&lt;Tabel3[[#This Row],[delai]]))</f>
        <v>0</v>
      </c>
      <c r="X464"/>
      <c r="Y464" s="75"/>
    </row>
    <row r="465" spans="12:25" ht="18" customHeight="1" x14ac:dyDescent="0.2">
      <c r="L465" s="78" t="s">
        <v>43</v>
      </c>
      <c r="M465" s="78" t="s">
        <v>44</v>
      </c>
      <c r="N465" s="78" t="s">
        <v>41</v>
      </c>
      <c r="O465" s="84">
        <v>45945</v>
      </c>
      <c r="P465" s="78">
        <v>28.799999999999997</v>
      </c>
      <c r="Q465" s="78">
        <f>INDEX($C$1:$I$1,MATCH(Tabel3[[#This Row],[Type]],Devoirs[[#Headers],[J0]:[J60]],0))</f>
        <v>15</v>
      </c>
      <c r="R465" s="85" cm="1">
        <f t="array" aca="1" ref="R46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45939.446701388937</v>
      </c>
      <c r="S46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45958.386562500134</v>
      </c>
      <c r="T46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45958.406562500131</v>
      </c>
      <c r="U465" s="82">
        <f ca="1">--(Tabel3[[#This Row],[jour]]&lt;&gt;TRUNC(Tabel3[[#This Row],[fin]]))</f>
        <v>1</v>
      </c>
      <c r="V465" s="82">
        <f ca="1">IF(Tabel3[[#This Row],[Type]]="j0",0,--(TRUNC(Tabel3[[#This Row],[debut]])-TRUNC(Tabel3[[#This Row],[fin precedent]])&lt;Tabel3[[#This Row],[delai]]))</f>
        <v>0</v>
      </c>
      <c r="X465"/>
      <c r="Y465" s="75"/>
    </row>
    <row r="466" spans="12:25" ht="18" customHeight="1" x14ac:dyDescent="0.2">
      <c r="L466" s="78" t="s">
        <v>104</v>
      </c>
      <c r="M466" s="78" t="s">
        <v>108</v>
      </c>
      <c r="N466" s="78" t="s">
        <v>41</v>
      </c>
      <c r="O466" s="84">
        <v>45945</v>
      </c>
      <c r="P466" s="78">
        <v>33.9</v>
      </c>
      <c r="Q466" s="78">
        <f>INDEX($C$1:$I$1,MATCH(Tabel3[[#This Row],[Type]],Devoirs[[#Headers],[J0]:[J60]],0))</f>
        <v>15</v>
      </c>
      <c r="R466" s="85" cm="1">
        <f t="array" aca="1" ref="R46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45918.341770833351</v>
      </c>
      <c r="S46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45958.406562500131</v>
      </c>
      <c r="T46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45958.4301041668</v>
      </c>
      <c r="U466" s="82">
        <f ca="1">--(Tabel3[[#This Row],[jour]]&lt;&gt;TRUNC(Tabel3[[#This Row],[fin]]))</f>
        <v>1</v>
      </c>
      <c r="V466" s="82">
        <f ca="1">IF(Tabel3[[#This Row],[Type]]="j0",0,--(TRUNC(Tabel3[[#This Row],[debut]])-TRUNC(Tabel3[[#This Row],[fin precedent]])&lt;Tabel3[[#This Row],[delai]]))</f>
        <v>0</v>
      </c>
      <c r="X466"/>
      <c r="Y466" s="75"/>
    </row>
    <row r="467" spans="12:25" ht="18" customHeight="1" x14ac:dyDescent="0.2">
      <c r="L467" s="78" t="s">
        <v>43</v>
      </c>
      <c r="M467" s="78" t="s">
        <v>47</v>
      </c>
      <c r="N467" s="78" t="s">
        <v>40</v>
      </c>
      <c r="O467" s="84">
        <v>45945</v>
      </c>
      <c r="P467" s="78">
        <v>26.55</v>
      </c>
      <c r="Q467" s="78">
        <f>INDEX($C$1:$I$1,MATCH(Tabel3[[#This Row],[Type]],Devoirs[[#Headers],[J0]:[J60]],0))</f>
        <v>5</v>
      </c>
      <c r="R467" s="85" cm="1">
        <f t="array" aca="1" ref="R46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45932.585833333382</v>
      </c>
      <c r="S46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45958.4301041668</v>
      </c>
      <c r="T46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45958.448541666803</v>
      </c>
      <c r="U467" s="82">
        <f ca="1">--(Tabel3[[#This Row],[jour]]&lt;&gt;TRUNC(Tabel3[[#This Row],[fin]]))</f>
        <v>1</v>
      </c>
      <c r="V467" s="82">
        <f ca="1">IF(Tabel3[[#This Row],[Type]]="j0",0,--(TRUNC(Tabel3[[#This Row],[debut]])-TRUNC(Tabel3[[#This Row],[fin precedent]])&lt;Tabel3[[#This Row],[delai]]))</f>
        <v>0</v>
      </c>
      <c r="X467"/>
      <c r="Y467" s="75"/>
    </row>
    <row r="468" spans="12:25" ht="18" customHeight="1" x14ac:dyDescent="0.2">
      <c r="L468" s="78" t="s">
        <v>74</v>
      </c>
      <c r="M468" s="78" t="s">
        <v>76</v>
      </c>
      <c r="N468" s="78" t="s">
        <v>40</v>
      </c>
      <c r="O468" s="84">
        <v>45945</v>
      </c>
      <c r="P468" s="78">
        <v>51.300000000000004</v>
      </c>
      <c r="Q468" s="78">
        <f>INDEX($C$1:$I$1,MATCH(Tabel3[[#This Row],[Type]],Devoirs[[#Headers],[J0]:[J60]],0))</f>
        <v>5</v>
      </c>
      <c r="R468" s="85" cm="1">
        <f t="array" aca="1" ref="R46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45923.462534722232</v>
      </c>
      <c r="S46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45958.448541666803</v>
      </c>
      <c r="T46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45958.4841666668</v>
      </c>
      <c r="U468" s="82">
        <f ca="1">--(Tabel3[[#This Row],[jour]]&lt;&gt;TRUNC(Tabel3[[#This Row],[fin]]))</f>
        <v>1</v>
      </c>
      <c r="V468" s="82">
        <f ca="1">IF(Tabel3[[#This Row],[Type]]="j0",0,--(TRUNC(Tabel3[[#This Row],[debut]])-TRUNC(Tabel3[[#This Row],[fin precedent]])&lt;Tabel3[[#This Row],[delai]]))</f>
        <v>0</v>
      </c>
      <c r="X468"/>
      <c r="Y468" s="75"/>
    </row>
    <row r="469" spans="12:25" ht="18" customHeight="1" x14ac:dyDescent="0.2">
      <c r="L469" s="78" t="s">
        <v>43</v>
      </c>
      <c r="M469" s="78" t="s">
        <v>49</v>
      </c>
      <c r="N469" s="78" t="s">
        <v>40</v>
      </c>
      <c r="O469" s="84">
        <v>45945</v>
      </c>
      <c r="P469" s="78">
        <v>53.1</v>
      </c>
      <c r="Q469" s="78">
        <f>INDEX($C$1:$I$1,MATCH(Tabel3[[#This Row],[Type]],Devoirs[[#Headers],[J0]:[J60]],0))</f>
        <v>5</v>
      </c>
      <c r="R469" s="85" cm="1">
        <f t="array" aca="1" ref="R46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45932.585833333382</v>
      </c>
      <c r="S46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45958.4841666668</v>
      </c>
      <c r="T46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45958.521041666798</v>
      </c>
      <c r="U469" s="82">
        <f ca="1">--(Tabel3[[#This Row],[jour]]&lt;&gt;TRUNC(Tabel3[[#This Row],[fin]]))</f>
        <v>1</v>
      </c>
      <c r="V469" s="82">
        <f ca="1">IF(Tabel3[[#This Row],[Type]]="j0",0,--(TRUNC(Tabel3[[#This Row],[debut]])-TRUNC(Tabel3[[#This Row],[fin precedent]])&lt;Tabel3[[#This Row],[delai]]))</f>
        <v>0</v>
      </c>
      <c r="X469"/>
      <c r="Y469" s="75"/>
    </row>
    <row r="470" spans="12:25" ht="18" customHeight="1" x14ac:dyDescent="0.2">
      <c r="L470" s="78" t="s">
        <v>125</v>
      </c>
      <c r="M470" s="78" t="s">
        <v>132</v>
      </c>
      <c r="N470" s="78" t="s">
        <v>38</v>
      </c>
      <c r="O470" s="84">
        <v>45946</v>
      </c>
      <c r="P470" s="78">
        <v>60.75</v>
      </c>
      <c r="Q470" s="78">
        <f>INDEX($C$1:$I$1,MATCH(Tabel3[[#This Row],[Type]],Devoirs[[#Headers],[J0]:[J60]],0))</f>
        <v>4</v>
      </c>
      <c r="R470" s="85" cm="1">
        <f t="array" aca="1" ref="R47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45910.591319444466</v>
      </c>
      <c r="S47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45958.521041666798</v>
      </c>
      <c r="T47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45958.563229166801</v>
      </c>
      <c r="U470" s="82">
        <f ca="1">--(Tabel3[[#This Row],[jour]]&lt;&gt;TRUNC(Tabel3[[#This Row],[fin]]))</f>
        <v>1</v>
      </c>
      <c r="V470" s="82">
        <f ca="1">IF(Tabel3[[#This Row],[Type]]="j0",0,--(TRUNC(Tabel3[[#This Row],[debut]])-TRUNC(Tabel3[[#This Row],[fin precedent]])&lt;Tabel3[[#This Row],[delai]]))</f>
        <v>0</v>
      </c>
      <c r="X470"/>
      <c r="Y470" s="75"/>
    </row>
    <row r="471" spans="12:25" ht="18" customHeight="1" x14ac:dyDescent="0.2">
      <c r="L471" s="78" t="s">
        <v>135</v>
      </c>
      <c r="M471" s="78" t="s">
        <v>139</v>
      </c>
      <c r="N471" s="78" t="s">
        <v>38</v>
      </c>
      <c r="O471" s="84">
        <v>45946</v>
      </c>
      <c r="P471" s="78">
        <v>81</v>
      </c>
      <c r="Q471" s="78">
        <f>INDEX($C$1:$I$1,MATCH(Tabel3[[#This Row],[Type]],Devoirs[[#Headers],[J0]:[J60]],0))</f>
        <v>4</v>
      </c>
      <c r="R471" s="85" cm="1">
        <f t="array" aca="1" ref="R47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45903.353333333333</v>
      </c>
      <c r="S47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45958.563229166801</v>
      </c>
      <c r="T47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45958.619479166802</v>
      </c>
      <c r="U471" s="82">
        <f ca="1">--(Tabel3[[#This Row],[jour]]&lt;&gt;TRUNC(Tabel3[[#This Row],[fin]]))</f>
        <v>1</v>
      </c>
      <c r="V471" s="82">
        <f ca="1">IF(Tabel3[[#This Row],[Type]]="j0",0,--(TRUNC(Tabel3[[#This Row],[debut]])-TRUNC(Tabel3[[#This Row],[fin precedent]])&lt;Tabel3[[#This Row],[delai]]))</f>
        <v>0</v>
      </c>
      <c r="X471"/>
      <c r="Y471" s="75"/>
    </row>
    <row r="472" spans="12:25" ht="18" customHeight="1" x14ac:dyDescent="0.2">
      <c r="L472" s="78" t="s">
        <v>135</v>
      </c>
      <c r="M472" s="78" t="s">
        <v>137</v>
      </c>
      <c r="N472" s="78" t="s">
        <v>41</v>
      </c>
      <c r="O472" s="84">
        <v>45946</v>
      </c>
      <c r="P472" s="78">
        <v>10.799999999999999</v>
      </c>
      <c r="Q472" s="78">
        <f>INDEX($C$1:$I$1,MATCH(Tabel3[[#This Row],[Type]],Devoirs[[#Headers],[J0]:[J60]],0))</f>
        <v>15</v>
      </c>
      <c r="R472" s="85" cm="1">
        <f t="array" aca="1" ref="R47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45916.748888888906</v>
      </c>
      <c r="S47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45958.619479166802</v>
      </c>
      <c r="T47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45958.626979166802</v>
      </c>
      <c r="U472" s="82">
        <f ca="1">--(Tabel3[[#This Row],[jour]]&lt;&gt;TRUNC(Tabel3[[#This Row],[fin]]))</f>
        <v>1</v>
      </c>
      <c r="V472" s="82">
        <f ca="1">IF(Tabel3[[#This Row],[Type]]="j0",0,--(TRUNC(Tabel3[[#This Row],[debut]])-TRUNC(Tabel3[[#This Row],[fin precedent]])&lt;Tabel3[[#This Row],[delai]]))</f>
        <v>0</v>
      </c>
      <c r="X472"/>
      <c r="Y472" s="75"/>
    </row>
    <row r="473" spans="12:25" ht="18" customHeight="1" x14ac:dyDescent="0.2">
      <c r="L473" s="78" t="s">
        <v>104</v>
      </c>
      <c r="M473" s="78" t="s">
        <v>105</v>
      </c>
      <c r="N473" s="78" t="s">
        <v>41</v>
      </c>
      <c r="O473" s="84">
        <v>45946</v>
      </c>
      <c r="P473" s="78">
        <v>13.5</v>
      </c>
      <c r="Q473" s="78">
        <f>INDEX($C$1:$I$1,MATCH(Tabel3[[#This Row],[Type]],Devoirs[[#Headers],[J0]:[J60]],0))</f>
        <v>15</v>
      </c>
      <c r="R473" s="85" cm="1">
        <f t="array" aca="1" ref="R47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45918.341770833351</v>
      </c>
      <c r="S47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45958.626979166802</v>
      </c>
      <c r="T47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45958.636354166803</v>
      </c>
      <c r="U473" s="82">
        <f ca="1">--(Tabel3[[#This Row],[jour]]&lt;&gt;TRUNC(Tabel3[[#This Row],[fin]]))</f>
        <v>1</v>
      </c>
      <c r="V473" s="82">
        <f ca="1">IF(Tabel3[[#This Row],[Type]]="j0",0,--(TRUNC(Tabel3[[#This Row],[debut]])-TRUNC(Tabel3[[#This Row],[fin precedent]])&lt;Tabel3[[#This Row],[delai]]))</f>
        <v>0</v>
      </c>
      <c r="X473"/>
      <c r="Y473" s="75"/>
    </row>
    <row r="474" spans="12:25" ht="18" customHeight="1" x14ac:dyDescent="0.2">
      <c r="L474" s="78" t="s">
        <v>64</v>
      </c>
      <c r="M474" s="78" t="s">
        <v>69</v>
      </c>
      <c r="N474" s="78" t="s">
        <v>41</v>
      </c>
      <c r="O474" s="84">
        <v>45946</v>
      </c>
      <c r="P474" s="78">
        <v>14.399999999999999</v>
      </c>
      <c r="Q474" s="78">
        <f>INDEX($C$1:$I$1,MATCH(Tabel3[[#This Row],[Type]],Devoirs[[#Headers],[J0]:[J60]],0))</f>
        <v>15</v>
      </c>
      <c r="R474" s="85" cm="1">
        <f t="array" aca="1" ref="R47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45936.36413194448</v>
      </c>
      <c r="S47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45958.636354166803</v>
      </c>
      <c r="T47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45958.646354166805</v>
      </c>
      <c r="U474" s="82">
        <f ca="1">--(Tabel3[[#This Row],[jour]]&lt;&gt;TRUNC(Tabel3[[#This Row],[fin]]))</f>
        <v>1</v>
      </c>
      <c r="V474" s="82">
        <f ca="1">IF(Tabel3[[#This Row],[Type]]="j0",0,--(TRUNC(Tabel3[[#This Row],[debut]])-TRUNC(Tabel3[[#This Row],[fin precedent]])&lt;Tabel3[[#This Row],[delai]]))</f>
        <v>0</v>
      </c>
      <c r="X474"/>
      <c r="Y474" s="75"/>
    </row>
    <row r="475" spans="12:25" ht="18" customHeight="1" x14ac:dyDescent="0.2">
      <c r="L475" s="78" t="s">
        <v>74</v>
      </c>
      <c r="M475" s="78" t="s">
        <v>80</v>
      </c>
      <c r="N475" s="78" t="s">
        <v>41</v>
      </c>
      <c r="O475" s="84">
        <v>45946</v>
      </c>
      <c r="P475" s="78">
        <v>14.7</v>
      </c>
      <c r="Q475" s="78">
        <f>INDEX($C$1:$I$1,MATCH(Tabel3[[#This Row],[Type]],Devoirs[[#Headers],[J0]:[J60]],0))</f>
        <v>15</v>
      </c>
      <c r="R475" s="85" cm="1">
        <f t="array" aca="1" ref="R47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45930.603125000031</v>
      </c>
      <c r="S47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45958.646354166805</v>
      </c>
      <c r="T47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45958.656562500139</v>
      </c>
      <c r="U475" s="82">
        <f ca="1">--(Tabel3[[#This Row],[jour]]&lt;&gt;TRUNC(Tabel3[[#This Row],[fin]]))</f>
        <v>1</v>
      </c>
      <c r="V475" s="82">
        <f ca="1">IF(Tabel3[[#This Row],[Type]]="j0",0,--(TRUNC(Tabel3[[#This Row],[debut]])-TRUNC(Tabel3[[#This Row],[fin precedent]])&lt;Tabel3[[#This Row],[delai]]))</f>
        <v>0</v>
      </c>
      <c r="X475"/>
      <c r="Y475" s="75"/>
    </row>
    <row r="476" spans="12:25" ht="18" customHeight="1" x14ac:dyDescent="0.2">
      <c r="L476" s="78" t="s">
        <v>104</v>
      </c>
      <c r="M476" s="78" t="s">
        <v>117</v>
      </c>
      <c r="N476" s="78" t="s">
        <v>41</v>
      </c>
      <c r="O476" s="84">
        <v>45946</v>
      </c>
      <c r="P476" s="78">
        <v>18</v>
      </c>
      <c r="Q476" s="78">
        <f>INDEX($C$1:$I$1,MATCH(Tabel3[[#This Row],[Type]],Devoirs[[#Headers],[J0]:[J60]],0))</f>
        <v>15</v>
      </c>
      <c r="R476" s="85" cm="1">
        <f t="array" aca="1" ref="R47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45918.341770833351</v>
      </c>
      <c r="S47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45958.656562500139</v>
      </c>
      <c r="T47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45958.669062500136</v>
      </c>
      <c r="U476" s="82">
        <f ca="1">--(Tabel3[[#This Row],[jour]]&lt;&gt;TRUNC(Tabel3[[#This Row],[fin]]))</f>
        <v>1</v>
      </c>
      <c r="V476" s="82">
        <f ca="1">IF(Tabel3[[#This Row],[Type]]="j0",0,--(TRUNC(Tabel3[[#This Row],[debut]])-TRUNC(Tabel3[[#This Row],[fin precedent]])&lt;Tabel3[[#This Row],[delai]]))</f>
        <v>0</v>
      </c>
      <c r="X476"/>
      <c r="Y476" s="75"/>
    </row>
    <row r="477" spans="12:25" ht="18" customHeight="1" x14ac:dyDescent="0.2">
      <c r="L477" s="78" t="s">
        <v>104</v>
      </c>
      <c r="M477" s="78" t="s">
        <v>124</v>
      </c>
      <c r="N477" s="78" t="s">
        <v>40</v>
      </c>
      <c r="O477" s="84">
        <v>45946</v>
      </c>
      <c r="P477" s="78">
        <v>22.5</v>
      </c>
      <c r="Q477" s="78">
        <f>INDEX($C$1:$I$1,MATCH(Tabel3[[#This Row],[Type]],Devoirs[[#Headers],[J0]:[J60]],0))</f>
        <v>5</v>
      </c>
      <c r="R477" s="85" cm="1">
        <f t="array" aca="1" ref="R47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45912.451006944459</v>
      </c>
      <c r="S47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45958.669062500136</v>
      </c>
      <c r="T47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45958.684687500136</v>
      </c>
      <c r="U477" s="82">
        <f ca="1">--(Tabel3[[#This Row],[jour]]&lt;&gt;TRUNC(Tabel3[[#This Row],[fin]]))</f>
        <v>1</v>
      </c>
      <c r="V477" s="82">
        <f ca="1">IF(Tabel3[[#This Row],[Type]]="j0",0,--(TRUNC(Tabel3[[#This Row],[debut]])-TRUNC(Tabel3[[#This Row],[fin precedent]])&lt;Tabel3[[#This Row],[delai]]))</f>
        <v>0</v>
      </c>
      <c r="X477"/>
      <c r="Y477" s="75"/>
    </row>
    <row r="478" spans="12:25" ht="18" customHeight="1" x14ac:dyDescent="0.2">
      <c r="L478" s="78" t="s">
        <v>51</v>
      </c>
      <c r="M478" s="78" t="s">
        <v>56</v>
      </c>
      <c r="N478" s="78" t="s">
        <v>40</v>
      </c>
      <c r="O478" s="84">
        <v>45946</v>
      </c>
      <c r="P478" s="78">
        <v>27</v>
      </c>
      <c r="Q478" s="78">
        <f>INDEX($C$1:$I$1,MATCH(Tabel3[[#This Row],[Type]],Devoirs[[#Headers],[J0]:[J60]],0))</f>
        <v>5</v>
      </c>
      <c r="R478" s="85" cm="1">
        <f t="array" aca="1" ref="R47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45912.379756944465</v>
      </c>
      <c r="S47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45958.684687500136</v>
      </c>
      <c r="T47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45958.703437500139</v>
      </c>
      <c r="U478" s="82">
        <f ca="1">--(Tabel3[[#This Row],[jour]]&lt;&gt;TRUNC(Tabel3[[#This Row],[fin]]))</f>
        <v>1</v>
      </c>
      <c r="V478" s="82">
        <f ca="1">IF(Tabel3[[#This Row],[Type]]="j0",0,--(TRUNC(Tabel3[[#This Row],[debut]])-TRUNC(Tabel3[[#This Row],[fin precedent]])&lt;Tabel3[[#This Row],[delai]]))</f>
        <v>0</v>
      </c>
      <c r="X478"/>
      <c r="Y478" s="75"/>
    </row>
    <row r="479" spans="12:25" ht="18" customHeight="1" x14ac:dyDescent="0.2">
      <c r="L479" s="78" t="s">
        <v>64</v>
      </c>
      <c r="M479" s="78" t="s">
        <v>73</v>
      </c>
      <c r="N479" s="78" t="s">
        <v>40</v>
      </c>
      <c r="O479" s="84">
        <v>45946</v>
      </c>
      <c r="P479" s="78">
        <v>40.050000000000004</v>
      </c>
      <c r="Q479" s="78">
        <f>INDEX($C$1:$I$1,MATCH(Tabel3[[#This Row],[Type]],Devoirs[[#Headers],[J0]:[J60]],0))</f>
        <v>5</v>
      </c>
      <c r="R479" s="85" cm="1">
        <f t="array" aca="1" ref="R47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45926.471840277802</v>
      </c>
      <c r="S47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45958.703437500139</v>
      </c>
      <c r="T47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45958.731250000135</v>
      </c>
      <c r="U479" s="82">
        <f ca="1">--(Tabel3[[#This Row],[jour]]&lt;&gt;TRUNC(Tabel3[[#This Row],[fin]]))</f>
        <v>1</v>
      </c>
      <c r="V479" s="82">
        <f ca="1">IF(Tabel3[[#This Row],[Type]]="j0",0,--(TRUNC(Tabel3[[#This Row],[debut]])-TRUNC(Tabel3[[#This Row],[fin precedent]])&lt;Tabel3[[#This Row],[delai]]))</f>
        <v>0</v>
      </c>
      <c r="X479"/>
      <c r="Y479" s="75"/>
    </row>
    <row r="480" spans="12:25" ht="18" customHeight="1" x14ac:dyDescent="0.2">
      <c r="L480" s="78" t="s">
        <v>104</v>
      </c>
      <c r="M480" s="78" t="s">
        <v>120</v>
      </c>
      <c r="N480" s="78" t="s">
        <v>40</v>
      </c>
      <c r="O480" s="84">
        <v>45946</v>
      </c>
      <c r="P480" s="78">
        <v>45.9</v>
      </c>
      <c r="Q480" s="78">
        <f>INDEX($C$1:$I$1,MATCH(Tabel3[[#This Row],[Type]],Devoirs[[#Headers],[J0]:[J60]],0))</f>
        <v>5</v>
      </c>
      <c r="R480" s="85" cm="1">
        <f t="array" aca="1" ref="R48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45912.451006944459</v>
      </c>
      <c r="S48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45958.731250000135</v>
      </c>
      <c r="T48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45959.346458333472</v>
      </c>
      <c r="U480" s="82">
        <f ca="1">--(Tabel3[[#This Row],[jour]]&lt;&gt;TRUNC(Tabel3[[#This Row],[fin]]))</f>
        <v>1</v>
      </c>
      <c r="V480" s="82">
        <f ca="1">IF(Tabel3[[#This Row],[Type]]="j0",0,--(TRUNC(Tabel3[[#This Row],[debut]])-TRUNC(Tabel3[[#This Row],[fin precedent]])&lt;Tabel3[[#This Row],[delai]]))</f>
        <v>0</v>
      </c>
      <c r="X480"/>
      <c r="Y480" s="75"/>
    </row>
    <row r="481" spans="12:25" ht="18" customHeight="1" x14ac:dyDescent="0.2">
      <c r="L481" s="78" t="s">
        <v>51</v>
      </c>
      <c r="M481" s="78" t="s">
        <v>63</v>
      </c>
      <c r="N481" s="78" t="s">
        <v>39</v>
      </c>
      <c r="O481" s="84">
        <v>45946</v>
      </c>
      <c r="P481" s="78">
        <v>42.6</v>
      </c>
      <c r="Q481" s="78">
        <f>INDEX($C$1:$I$1,MATCH(Tabel3[[#This Row],[Type]],Devoirs[[#Headers],[J0]:[J60]],0))</f>
        <v>4</v>
      </c>
      <c r="R481" s="85" cm="1">
        <f t="array" aca="1" ref="R48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45908.415937500009</v>
      </c>
      <c r="S48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45959.346458333472</v>
      </c>
      <c r="T48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45959.376041666808</v>
      </c>
      <c r="U481" s="82">
        <f ca="1">--(Tabel3[[#This Row],[jour]]&lt;&gt;TRUNC(Tabel3[[#This Row],[fin]]))</f>
        <v>1</v>
      </c>
      <c r="V481" s="82">
        <f ca="1">IF(Tabel3[[#This Row],[Type]]="j0",0,--(TRUNC(Tabel3[[#This Row],[debut]])-TRUNC(Tabel3[[#This Row],[fin precedent]])&lt;Tabel3[[#This Row],[delai]]))</f>
        <v>0</v>
      </c>
      <c r="X481"/>
      <c r="Y481" s="75"/>
    </row>
    <row r="482" spans="12:25" ht="18" customHeight="1" x14ac:dyDescent="0.2">
      <c r="L482" s="78" t="s">
        <v>85</v>
      </c>
      <c r="M482" s="78" t="s">
        <v>91</v>
      </c>
      <c r="N482" s="78" t="s">
        <v>39</v>
      </c>
      <c r="O482" s="84">
        <v>45946</v>
      </c>
      <c r="P482" s="78">
        <v>42.6</v>
      </c>
      <c r="Q482" s="78">
        <f>INDEX($C$1:$I$1,MATCH(Tabel3[[#This Row],[Type]],Devoirs[[#Headers],[J0]:[J60]],0))</f>
        <v>4</v>
      </c>
      <c r="R482" s="85" cm="1">
        <f t="array" aca="1" ref="R48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45908.563854166678</v>
      </c>
      <c r="S48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45959.376041666808</v>
      </c>
      <c r="T48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45959.405625000145</v>
      </c>
      <c r="U482" s="82">
        <f ca="1">--(Tabel3[[#This Row],[jour]]&lt;&gt;TRUNC(Tabel3[[#This Row],[fin]]))</f>
        <v>1</v>
      </c>
      <c r="V482" s="82">
        <f ca="1">IF(Tabel3[[#This Row],[Type]]="j0",0,--(TRUNC(Tabel3[[#This Row],[debut]])-TRUNC(Tabel3[[#This Row],[fin precedent]])&lt;Tabel3[[#This Row],[delai]]))</f>
        <v>0</v>
      </c>
      <c r="X482"/>
      <c r="Y482" s="75"/>
    </row>
    <row r="483" spans="12:25" ht="18" customHeight="1" x14ac:dyDescent="0.2">
      <c r="L483" s="78" t="s">
        <v>95</v>
      </c>
      <c r="M483" s="78" t="s">
        <v>98</v>
      </c>
      <c r="N483" s="78" t="s">
        <v>41</v>
      </c>
      <c r="O483" s="84">
        <v>45947</v>
      </c>
      <c r="P483" s="78">
        <v>27</v>
      </c>
      <c r="Q483" s="78">
        <f>INDEX($C$1:$I$1,MATCH(Tabel3[[#This Row],[Type]],Devoirs[[#Headers],[J0]:[J60]],0))</f>
        <v>15</v>
      </c>
      <c r="R483" s="85" cm="1">
        <f t="array" aca="1" ref="R48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45934.724861111143</v>
      </c>
      <c r="S48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45959.405625000145</v>
      </c>
      <c r="T48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45959.424375000148</v>
      </c>
      <c r="U483" s="82">
        <f ca="1">--(Tabel3[[#This Row],[jour]]&lt;&gt;TRUNC(Tabel3[[#This Row],[fin]]))</f>
        <v>1</v>
      </c>
      <c r="V483" s="82">
        <f ca="1">IF(Tabel3[[#This Row],[Type]]="j0",0,--(TRUNC(Tabel3[[#This Row],[debut]])-TRUNC(Tabel3[[#This Row],[fin precedent]])&lt;Tabel3[[#This Row],[delai]]))</f>
        <v>0</v>
      </c>
      <c r="X483"/>
      <c r="Y483" s="75"/>
    </row>
    <row r="484" spans="12:25" ht="18" customHeight="1" x14ac:dyDescent="0.2">
      <c r="L484" s="78" t="s">
        <v>95</v>
      </c>
      <c r="M484" s="78" t="s">
        <v>102</v>
      </c>
      <c r="N484" s="78" t="s">
        <v>41</v>
      </c>
      <c r="O484" s="84">
        <v>45947</v>
      </c>
      <c r="P484" s="78">
        <v>33.6</v>
      </c>
      <c r="Q484" s="78">
        <f>INDEX($C$1:$I$1,MATCH(Tabel3[[#This Row],[Type]],Devoirs[[#Headers],[J0]:[J60]],0))</f>
        <v>15</v>
      </c>
      <c r="R484" s="85" cm="1">
        <f t="array" aca="1" ref="R48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45934.724861111143</v>
      </c>
      <c r="S48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45959.424375000148</v>
      </c>
      <c r="T48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45959.447708333479</v>
      </c>
      <c r="U484" s="82">
        <f ca="1">--(Tabel3[[#This Row],[jour]]&lt;&gt;TRUNC(Tabel3[[#This Row],[fin]]))</f>
        <v>1</v>
      </c>
      <c r="V484" s="82">
        <f ca="1">IF(Tabel3[[#This Row],[Type]]="j0",0,--(TRUNC(Tabel3[[#This Row],[debut]])-TRUNC(Tabel3[[#This Row],[fin precedent]])&lt;Tabel3[[#This Row],[delai]]))</f>
        <v>0</v>
      </c>
      <c r="X484"/>
      <c r="Y484" s="75"/>
    </row>
    <row r="485" spans="12:25" ht="18" customHeight="1" x14ac:dyDescent="0.2">
      <c r="L485" s="78" t="s">
        <v>51</v>
      </c>
      <c r="M485" s="78" t="s">
        <v>59</v>
      </c>
      <c r="N485" s="78" t="s">
        <v>41</v>
      </c>
      <c r="O485" s="84">
        <v>45947</v>
      </c>
      <c r="P485" s="78">
        <v>33.9</v>
      </c>
      <c r="Q485" s="78">
        <f>INDEX($C$1:$I$1,MATCH(Tabel3[[#This Row],[Type]],Devoirs[[#Headers],[J0]:[J60]],0))</f>
        <v>15</v>
      </c>
      <c r="R485" s="85" cm="1">
        <f t="array" aca="1" ref="R48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45917.705000000016</v>
      </c>
      <c r="S48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45959.447708333479</v>
      </c>
      <c r="T48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45959.471250000148</v>
      </c>
      <c r="U485" s="82">
        <f ca="1">--(Tabel3[[#This Row],[jour]]&lt;&gt;TRUNC(Tabel3[[#This Row],[fin]]))</f>
        <v>1</v>
      </c>
      <c r="V485" s="82">
        <f ca="1">IF(Tabel3[[#This Row],[Type]]="j0",0,--(TRUNC(Tabel3[[#This Row],[debut]])-TRUNC(Tabel3[[#This Row],[fin precedent]])&lt;Tabel3[[#This Row],[delai]]))</f>
        <v>0</v>
      </c>
      <c r="X485"/>
      <c r="Y485" s="75"/>
    </row>
    <row r="486" spans="12:25" ht="18" customHeight="1" x14ac:dyDescent="0.2">
      <c r="L486" s="78" t="s">
        <v>95</v>
      </c>
      <c r="M486" s="78" t="s">
        <v>99</v>
      </c>
      <c r="N486" s="78" t="s">
        <v>41</v>
      </c>
      <c r="O486" s="84">
        <v>45947</v>
      </c>
      <c r="P486" s="78">
        <v>36</v>
      </c>
      <c r="Q486" s="78">
        <f>INDEX($C$1:$I$1,MATCH(Tabel3[[#This Row],[Type]],Devoirs[[#Headers],[J0]:[J60]],0))</f>
        <v>15</v>
      </c>
      <c r="R486" s="85" cm="1">
        <f t="array" aca="1" ref="R48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45934.724861111143</v>
      </c>
      <c r="S48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45959.471250000148</v>
      </c>
      <c r="T48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45959.496250000149</v>
      </c>
      <c r="U486" s="82">
        <f ca="1">--(Tabel3[[#This Row],[jour]]&lt;&gt;TRUNC(Tabel3[[#This Row],[fin]]))</f>
        <v>1</v>
      </c>
      <c r="V486" s="82">
        <f ca="1">IF(Tabel3[[#This Row],[Type]]="j0",0,--(TRUNC(Tabel3[[#This Row],[debut]])-TRUNC(Tabel3[[#This Row],[fin precedent]])&lt;Tabel3[[#This Row],[delai]]))</f>
        <v>0</v>
      </c>
      <c r="X486"/>
      <c r="Y486" s="75"/>
    </row>
    <row r="487" spans="12:25" ht="18" customHeight="1" x14ac:dyDescent="0.2">
      <c r="L487" s="78" t="s">
        <v>104</v>
      </c>
      <c r="M487" s="78" t="s">
        <v>123</v>
      </c>
      <c r="N487" s="78" t="s">
        <v>40</v>
      </c>
      <c r="O487" s="84">
        <v>45947</v>
      </c>
      <c r="P487" s="78">
        <v>34.200000000000003</v>
      </c>
      <c r="Q487" s="78">
        <f>INDEX($C$1:$I$1,MATCH(Tabel3[[#This Row],[Type]],Devoirs[[#Headers],[J0]:[J60]],0))</f>
        <v>5</v>
      </c>
      <c r="R487" s="85" cm="1">
        <f t="array" aca="1" ref="R48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45912.451006944459</v>
      </c>
      <c r="S48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45959.496250000149</v>
      </c>
      <c r="T48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45959.52000000015</v>
      </c>
      <c r="U487" s="82">
        <f ca="1">--(Tabel3[[#This Row],[jour]]&lt;&gt;TRUNC(Tabel3[[#This Row],[fin]]))</f>
        <v>1</v>
      </c>
      <c r="V487" s="82">
        <f ca="1">IF(Tabel3[[#This Row],[Type]]="j0",0,--(TRUNC(Tabel3[[#This Row],[debut]])-TRUNC(Tabel3[[#This Row],[fin precedent]])&lt;Tabel3[[#This Row],[delai]]))</f>
        <v>0</v>
      </c>
      <c r="X487"/>
      <c r="Y487" s="75"/>
    </row>
    <row r="488" spans="12:25" ht="18" customHeight="1" x14ac:dyDescent="0.2">
      <c r="L488" s="78" t="s">
        <v>43</v>
      </c>
      <c r="M488" s="78" t="s">
        <v>50</v>
      </c>
      <c r="N488" s="78" t="s">
        <v>40</v>
      </c>
      <c r="O488" s="84">
        <v>45947</v>
      </c>
      <c r="P488" s="78">
        <v>53.550000000000004</v>
      </c>
      <c r="Q488" s="78">
        <f>INDEX($C$1:$I$1,MATCH(Tabel3[[#This Row],[Type]],Devoirs[[#Headers],[J0]:[J60]],0))</f>
        <v>5</v>
      </c>
      <c r="R488" s="85" cm="1">
        <f t="array" aca="1" ref="R48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45932.585833333382</v>
      </c>
      <c r="S48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45959.52000000015</v>
      </c>
      <c r="T48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45959.557187500148</v>
      </c>
      <c r="U488" s="82">
        <f ca="1">--(Tabel3[[#This Row],[jour]]&lt;&gt;TRUNC(Tabel3[[#This Row],[fin]]))</f>
        <v>1</v>
      </c>
      <c r="V488" s="82">
        <f ca="1">IF(Tabel3[[#This Row],[Type]]="j0",0,--(TRUNC(Tabel3[[#This Row],[debut]])-TRUNC(Tabel3[[#This Row],[fin precedent]])&lt;Tabel3[[#This Row],[delai]]))</f>
        <v>0</v>
      </c>
      <c r="X488"/>
      <c r="Y488" s="75"/>
    </row>
    <row r="489" spans="12:25" ht="18" customHeight="1" x14ac:dyDescent="0.2">
      <c r="L489" s="78" t="s">
        <v>95</v>
      </c>
      <c r="M489" s="78" t="s">
        <v>103</v>
      </c>
      <c r="N489" s="78" t="s">
        <v>39</v>
      </c>
      <c r="O489" s="84">
        <v>45947</v>
      </c>
      <c r="P489" s="78">
        <v>21.599999999999998</v>
      </c>
      <c r="Q489" s="78">
        <f>INDEX($C$1:$I$1,MATCH(Tabel3[[#This Row],[Type]],Devoirs[[#Headers],[J0]:[J60]],0))</f>
        <v>4</v>
      </c>
      <c r="R489" s="85" cm="1">
        <f t="array" aca="1" ref="R48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45918.735937500016</v>
      </c>
      <c r="S48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45959.557187500148</v>
      </c>
      <c r="T48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45959.572187500147</v>
      </c>
      <c r="U489" s="82">
        <f ca="1">--(Tabel3[[#This Row],[jour]]&lt;&gt;TRUNC(Tabel3[[#This Row],[fin]]))</f>
        <v>1</v>
      </c>
      <c r="V489" s="82">
        <f ca="1">IF(Tabel3[[#This Row],[Type]]="j0",0,--(TRUNC(Tabel3[[#This Row],[debut]])-TRUNC(Tabel3[[#This Row],[fin precedent]])&lt;Tabel3[[#This Row],[delai]]))</f>
        <v>0</v>
      </c>
      <c r="X489"/>
      <c r="Y489" s="75"/>
    </row>
    <row r="490" spans="12:25" ht="18" customHeight="1" x14ac:dyDescent="0.2">
      <c r="L490" s="78" t="s">
        <v>125</v>
      </c>
      <c r="M490" s="78" t="s">
        <v>126</v>
      </c>
      <c r="N490" s="78" t="s">
        <v>39</v>
      </c>
      <c r="O490" s="84">
        <v>45947</v>
      </c>
      <c r="P490" s="78">
        <v>39.6</v>
      </c>
      <c r="Q490" s="78">
        <f>INDEX($C$1:$I$1,MATCH(Tabel3[[#This Row],[Type]],Devoirs[[#Headers],[J0]:[J60]],0))</f>
        <v>4</v>
      </c>
      <c r="R490" s="85" cm="1">
        <f t="array" aca="1" ref="R49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45915.409895833334</v>
      </c>
      <c r="S49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45959.572187500147</v>
      </c>
      <c r="T49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45959.599687500144</v>
      </c>
      <c r="U490" s="82">
        <f ca="1">--(Tabel3[[#This Row],[jour]]&lt;&gt;TRUNC(Tabel3[[#This Row],[fin]]))</f>
        <v>1</v>
      </c>
      <c r="V490" s="82">
        <f ca="1">IF(Tabel3[[#This Row],[Type]]="j0",0,--(TRUNC(Tabel3[[#This Row],[debut]])-TRUNC(Tabel3[[#This Row],[fin precedent]])&lt;Tabel3[[#This Row],[delai]]))</f>
        <v>0</v>
      </c>
      <c r="X490"/>
      <c r="Y490" s="75"/>
    </row>
    <row r="491" spans="12:25" ht="18" customHeight="1" x14ac:dyDescent="0.2">
      <c r="L491" s="78" t="s">
        <v>64</v>
      </c>
      <c r="M491" s="78" t="s">
        <v>70</v>
      </c>
      <c r="N491" s="78" t="s">
        <v>39</v>
      </c>
      <c r="O491" s="84">
        <v>45947</v>
      </c>
      <c r="P491" s="78">
        <v>50.4</v>
      </c>
      <c r="Q491" s="78">
        <f>INDEX($C$1:$I$1,MATCH(Tabel3[[#This Row],[Type]],Devoirs[[#Headers],[J0]:[J60]],0))</f>
        <v>4</v>
      </c>
      <c r="R491" s="85" cm="1">
        <f t="array" aca="1" ref="R49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45919.41250000002</v>
      </c>
      <c r="S49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45959.599687500144</v>
      </c>
      <c r="T49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45959.634687500147</v>
      </c>
      <c r="U491" s="82">
        <f ca="1">--(Tabel3[[#This Row],[jour]]&lt;&gt;TRUNC(Tabel3[[#This Row],[fin]]))</f>
        <v>1</v>
      </c>
      <c r="V491" s="82">
        <f ca="1">IF(Tabel3[[#This Row],[Type]]="j0",0,--(TRUNC(Tabel3[[#This Row],[debut]])-TRUNC(Tabel3[[#This Row],[fin precedent]])&lt;Tabel3[[#This Row],[delai]]))</f>
        <v>0</v>
      </c>
      <c r="X491"/>
      <c r="Y491" s="75"/>
    </row>
    <row r="492" spans="12:25" ht="18" customHeight="1" x14ac:dyDescent="0.2">
      <c r="L492" s="78" t="s">
        <v>64</v>
      </c>
      <c r="M492" s="78" t="s">
        <v>71</v>
      </c>
      <c r="N492" s="78" t="s">
        <v>39</v>
      </c>
      <c r="O492" s="84">
        <v>45947</v>
      </c>
      <c r="P492" s="78">
        <v>60.599999999999994</v>
      </c>
      <c r="Q492" s="78">
        <f>INDEX($C$1:$I$1,MATCH(Tabel3[[#This Row],[Type]],Devoirs[[#Headers],[J0]:[J60]],0))</f>
        <v>4</v>
      </c>
      <c r="R492" s="85" cm="1">
        <f t="array" aca="1" ref="R49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45919.41250000002</v>
      </c>
      <c r="S49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45959.634687500147</v>
      </c>
      <c r="T49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45959.676770833481</v>
      </c>
      <c r="U492" s="82">
        <f ca="1">--(Tabel3[[#This Row],[jour]]&lt;&gt;TRUNC(Tabel3[[#This Row],[fin]]))</f>
        <v>1</v>
      </c>
      <c r="V492" s="82">
        <f ca="1">IF(Tabel3[[#This Row],[Type]]="j0",0,--(TRUNC(Tabel3[[#This Row],[debut]])-TRUNC(Tabel3[[#This Row],[fin precedent]])&lt;Tabel3[[#This Row],[delai]]))</f>
        <v>0</v>
      </c>
      <c r="X492"/>
      <c r="Y492" s="75"/>
    </row>
    <row r="493" spans="12:25" ht="18" customHeight="1" x14ac:dyDescent="0.2">
      <c r="L493" s="78" t="s">
        <v>64</v>
      </c>
      <c r="M493" s="78" t="s">
        <v>65</v>
      </c>
      <c r="N493" s="78" t="s">
        <v>39</v>
      </c>
      <c r="O493" s="84">
        <v>45947</v>
      </c>
      <c r="P493" s="78">
        <v>65.399999999999991</v>
      </c>
      <c r="Q493" s="78">
        <f>INDEX($C$1:$I$1,MATCH(Tabel3[[#This Row],[Type]],Devoirs[[#Headers],[J0]:[J60]],0))</f>
        <v>4</v>
      </c>
      <c r="R493" s="85" cm="1">
        <f t="array" aca="1" ref="R49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45919.41250000002</v>
      </c>
      <c r="S49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45959.676770833481</v>
      </c>
      <c r="T49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45959.722187500149</v>
      </c>
      <c r="U493" s="82">
        <f ca="1">--(Tabel3[[#This Row],[jour]]&lt;&gt;TRUNC(Tabel3[[#This Row],[fin]]))</f>
        <v>1</v>
      </c>
      <c r="V493" s="82">
        <f ca="1">IF(Tabel3[[#This Row],[Type]]="j0",0,--(TRUNC(Tabel3[[#This Row],[debut]])-TRUNC(Tabel3[[#This Row],[fin precedent]])&lt;Tabel3[[#This Row],[delai]]))</f>
        <v>0</v>
      </c>
      <c r="X493"/>
      <c r="Y493" s="75"/>
    </row>
    <row r="494" spans="12:25" ht="18" customHeight="1" x14ac:dyDescent="0.2">
      <c r="L494" s="78" t="s">
        <v>74</v>
      </c>
      <c r="M494" s="78" t="s">
        <v>82</v>
      </c>
      <c r="N494" s="78" t="s">
        <v>41</v>
      </c>
      <c r="O494" s="84">
        <v>45948</v>
      </c>
      <c r="P494" s="78">
        <v>9.2999999999999989</v>
      </c>
      <c r="Q494" s="78">
        <f>INDEX($C$1:$I$1,MATCH(Tabel3[[#This Row],[Type]],Devoirs[[#Headers],[J0]:[J60]],0))</f>
        <v>15</v>
      </c>
      <c r="R494" s="85" cm="1">
        <f t="array" aca="1" ref="R49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45930.603125000031</v>
      </c>
      <c r="S49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45959.722187500149</v>
      </c>
      <c r="T49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45959.728645833486</v>
      </c>
      <c r="U494" s="82">
        <f ca="1">--(Tabel3[[#This Row],[jour]]&lt;&gt;TRUNC(Tabel3[[#This Row],[fin]]))</f>
        <v>1</v>
      </c>
      <c r="V494" s="82">
        <f ca="1">IF(Tabel3[[#This Row],[Type]]="j0",0,--(TRUNC(Tabel3[[#This Row],[debut]])-TRUNC(Tabel3[[#This Row],[fin precedent]])&lt;Tabel3[[#This Row],[delai]]))</f>
        <v>0</v>
      </c>
      <c r="X494"/>
      <c r="Y494" s="75"/>
    </row>
    <row r="495" spans="12:25" ht="18" customHeight="1" x14ac:dyDescent="0.2">
      <c r="L495" s="78" t="s">
        <v>135</v>
      </c>
      <c r="M495" s="78" t="s">
        <v>142</v>
      </c>
      <c r="N495" s="78" t="s">
        <v>41</v>
      </c>
      <c r="O495" s="84">
        <v>45948</v>
      </c>
      <c r="P495" s="78">
        <v>12</v>
      </c>
      <c r="Q495" s="78">
        <f>INDEX($C$1:$I$1,MATCH(Tabel3[[#This Row],[Type]],Devoirs[[#Headers],[J0]:[J60]],0))</f>
        <v>15</v>
      </c>
      <c r="R495" s="85" cm="1">
        <f t="array" aca="1" ref="R49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45916.748888888906</v>
      </c>
      <c r="S49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45959.728645833486</v>
      </c>
      <c r="T49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45959.736979166817</v>
      </c>
      <c r="U495" s="82">
        <f ca="1">--(Tabel3[[#This Row],[jour]]&lt;&gt;TRUNC(Tabel3[[#This Row],[fin]]))</f>
        <v>1</v>
      </c>
      <c r="V495" s="82">
        <f ca="1">IF(Tabel3[[#This Row],[Type]]="j0",0,--(TRUNC(Tabel3[[#This Row],[debut]])-TRUNC(Tabel3[[#This Row],[fin precedent]])&lt;Tabel3[[#This Row],[delai]]))</f>
        <v>0</v>
      </c>
      <c r="X495"/>
      <c r="Y495" s="75"/>
    </row>
    <row r="496" spans="12:25" ht="18" customHeight="1" x14ac:dyDescent="0.2">
      <c r="L496" s="78" t="s">
        <v>74</v>
      </c>
      <c r="M496" s="78" t="s">
        <v>75</v>
      </c>
      <c r="N496" s="78" t="s">
        <v>41</v>
      </c>
      <c r="O496" s="84">
        <v>45948</v>
      </c>
      <c r="P496" s="78">
        <v>18</v>
      </c>
      <c r="Q496" s="78">
        <f>INDEX($C$1:$I$1,MATCH(Tabel3[[#This Row],[Type]],Devoirs[[#Headers],[J0]:[J60]],0))</f>
        <v>15</v>
      </c>
      <c r="R496" s="85" cm="1">
        <f t="array" aca="1" ref="R49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45930.603125000031</v>
      </c>
      <c r="S49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45959.736979166817</v>
      </c>
      <c r="T49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45959.749479166814</v>
      </c>
      <c r="U496" s="82">
        <f ca="1">--(Tabel3[[#This Row],[jour]]&lt;&gt;TRUNC(Tabel3[[#This Row],[fin]]))</f>
        <v>1</v>
      </c>
      <c r="V496" s="82">
        <f ca="1">IF(Tabel3[[#This Row],[Type]]="j0",0,--(TRUNC(Tabel3[[#This Row],[debut]])-TRUNC(Tabel3[[#This Row],[fin precedent]])&lt;Tabel3[[#This Row],[delai]]))</f>
        <v>0</v>
      </c>
      <c r="X496"/>
      <c r="Y496" s="75"/>
    </row>
    <row r="497" spans="12:25" ht="18" customHeight="1" x14ac:dyDescent="0.2">
      <c r="L497" s="78" t="s">
        <v>51</v>
      </c>
      <c r="M497" s="78" t="s">
        <v>57</v>
      </c>
      <c r="N497" s="78" t="s">
        <v>41</v>
      </c>
      <c r="O497" s="84">
        <v>45948</v>
      </c>
      <c r="P497" s="78">
        <v>21.9</v>
      </c>
      <c r="Q497" s="78">
        <f>INDEX($C$1:$I$1,MATCH(Tabel3[[#This Row],[Type]],Devoirs[[#Headers],[J0]:[J60]],0))</f>
        <v>15</v>
      </c>
      <c r="R497" s="85" cm="1">
        <f t="array" aca="1" ref="R49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45917.705000000016</v>
      </c>
      <c r="S49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45959.749479166814</v>
      </c>
      <c r="T49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45960.34802083348</v>
      </c>
      <c r="U497" s="82">
        <f ca="1">--(Tabel3[[#This Row],[jour]]&lt;&gt;TRUNC(Tabel3[[#This Row],[fin]]))</f>
        <v>1</v>
      </c>
      <c r="V497" s="82">
        <f ca="1">IF(Tabel3[[#This Row],[Type]]="j0",0,--(TRUNC(Tabel3[[#This Row],[debut]])-TRUNC(Tabel3[[#This Row],[fin precedent]])&lt;Tabel3[[#This Row],[delai]]))</f>
        <v>0</v>
      </c>
      <c r="X497"/>
      <c r="Y497" s="75"/>
    </row>
    <row r="498" spans="12:25" ht="18" customHeight="1" x14ac:dyDescent="0.2">
      <c r="L498" s="78" t="s">
        <v>64</v>
      </c>
      <c r="M498" s="78" t="s">
        <v>72</v>
      </c>
      <c r="N498" s="78" t="s">
        <v>41</v>
      </c>
      <c r="O498" s="84">
        <v>45948</v>
      </c>
      <c r="P498" s="78">
        <v>24.599999999999998</v>
      </c>
      <c r="Q498" s="78">
        <f>INDEX($C$1:$I$1,MATCH(Tabel3[[#This Row],[Type]],Devoirs[[#Headers],[J0]:[J60]],0))</f>
        <v>15</v>
      </c>
      <c r="R498" s="85" cm="1">
        <f t="array" aca="1" ref="R49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45936.36413194448</v>
      </c>
      <c r="S49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45960.34802083348</v>
      </c>
      <c r="T49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45960.365104166813</v>
      </c>
      <c r="U498" s="82">
        <f ca="1">--(Tabel3[[#This Row],[jour]]&lt;&gt;TRUNC(Tabel3[[#This Row],[fin]]))</f>
        <v>1</v>
      </c>
      <c r="V498" s="82">
        <f ca="1">IF(Tabel3[[#This Row],[Type]]="j0",0,--(TRUNC(Tabel3[[#This Row],[debut]])-TRUNC(Tabel3[[#This Row],[fin precedent]])&lt;Tabel3[[#This Row],[delai]]))</f>
        <v>0</v>
      </c>
      <c r="X498"/>
      <c r="Y498" s="75"/>
    </row>
    <row r="499" spans="12:25" ht="18" customHeight="1" x14ac:dyDescent="0.2">
      <c r="L499" s="78" t="s">
        <v>85</v>
      </c>
      <c r="M499" s="78" t="s">
        <v>92</v>
      </c>
      <c r="N499" s="78" t="s">
        <v>41</v>
      </c>
      <c r="O499" s="84">
        <v>45948</v>
      </c>
      <c r="P499" s="78">
        <v>29.7</v>
      </c>
      <c r="Q499" s="78">
        <f>INDEX($C$1:$I$1,MATCH(Tabel3[[#This Row],[Type]],Devoirs[[#Headers],[J0]:[J60]],0))</f>
        <v>15</v>
      </c>
      <c r="R499" s="85" cm="1">
        <f t="array" aca="1" ref="R49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45918.377083333347</v>
      </c>
      <c r="S49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45960.365104166813</v>
      </c>
      <c r="T49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45960.38572916681</v>
      </c>
      <c r="U499" s="82">
        <f ca="1">--(Tabel3[[#This Row],[jour]]&lt;&gt;TRUNC(Tabel3[[#This Row],[fin]]))</f>
        <v>1</v>
      </c>
      <c r="V499" s="82">
        <f ca="1">IF(Tabel3[[#This Row],[Type]]="j0",0,--(TRUNC(Tabel3[[#This Row],[debut]])-TRUNC(Tabel3[[#This Row],[fin precedent]])&lt;Tabel3[[#This Row],[delai]]))</f>
        <v>0</v>
      </c>
      <c r="X499"/>
      <c r="Y499" s="75"/>
    </row>
    <row r="500" spans="12:25" ht="18" customHeight="1" x14ac:dyDescent="0.2">
      <c r="L500" s="78" t="s">
        <v>125</v>
      </c>
      <c r="M500" s="78" t="s">
        <v>127</v>
      </c>
      <c r="N500" s="78" t="s">
        <v>41</v>
      </c>
      <c r="O500" s="84">
        <v>45948</v>
      </c>
      <c r="P500" s="78">
        <v>32.1</v>
      </c>
      <c r="Q500" s="78">
        <f>INDEX($C$1:$I$1,MATCH(Tabel3[[#This Row],[Type]],Devoirs[[#Headers],[J0]:[J60]],0))</f>
        <v>15</v>
      </c>
      <c r="R500" s="85" cm="1">
        <f t="array" aca="1" ref="R50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45927.504756944472</v>
      </c>
      <c r="S50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45960.38572916681</v>
      </c>
      <c r="T50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45960.408020833478</v>
      </c>
      <c r="U500" s="82">
        <f ca="1">--(Tabel3[[#This Row],[jour]]&lt;&gt;TRUNC(Tabel3[[#This Row],[fin]]))</f>
        <v>1</v>
      </c>
      <c r="V500" s="82">
        <f ca="1">IF(Tabel3[[#This Row],[Type]]="j0",0,--(TRUNC(Tabel3[[#This Row],[debut]])-TRUNC(Tabel3[[#This Row],[fin precedent]])&lt;Tabel3[[#This Row],[delai]]))</f>
        <v>0</v>
      </c>
      <c r="X500"/>
      <c r="Y500" s="75"/>
    </row>
    <row r="501" spans="12:25" ht="18" customHeight="1" x14ac:dyDescent="0.2">
      <c r="L501" s="78" t="s">
        <v>85</v>
      </c>
      <c r="M501" s="78" t="s">
        <v>86</v>
      </c>
      <c r="N501" s="78" t="s">
        <v>41</v>
      </c>
      <c r="O501" s="84">
        <v>45948</v>
      </c>
      <c r="P501" s="78">
        <v>33</v>
      </c>
      <c r="Q501" s="78">
        <f>INDEX($C$1:$I$1,MATCH(Tabel3[[#This Row],[Type]],Devoirs[[#Headers],[J0]:[J60]],0))</f>
        <v>15</v>
      </c>
      <c r="R501" s="85" cm="1">
        <f t="array" aca="1" ref="R50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45918.377083333347</v>
      </c>
      <c r="S50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45960.408020833478</v>
      </c>
      <c r="T50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45960.430937500147</v>
      </c>
      <c r="U501" s="82">
        <f ca="1">--(Tabel3[[#This Row],[jour]]&lt;&gt;TRUNC(Tabel3[[#This Row],[fin]]))</f>
        <v>1</v>
      </c>
      <c r="V501" s="82">
        <f ca="1">IF(Tabel3[[#This Row],[Type]]="j0",0,--(TRUNC(Tabel3[[#This Row],[debut]])-TRUNC(Tabel3[[#This Row],[fin precedent]])&lt;Tabel3[[#This Row],[delai]]))</f>
        <v>0</v>
      </c>
      <c r="X501"/>
      <c r="Y501" s="75"/>
    </row>
    <row r="502" spans="12:25" ht="18" customHeight="1" x14ac:dyDescent="0.2">
      <c r="L502" s="78" t="s">
        <v>51</v>
      </c>
      <c r="M502" s="78" t="s">
        <v>53</v>
      </c>
      <c r="N502" s="78" t="s">
        <v>40</v>
      </c>
      <c r="O502" s="84">
        <v>45948</v>
      </c>
      <c r="P502" s="78">
        <v>27.900000000000002</v>
      </c>
      <c r="Q502" s="78">
        <f>INDEX($C$1:$I$1,MATCH(Tabel3[[#This Row],[Type]],Devoirs[[#Headers],[J0]:[J60]],0))</f>
        <v>5</v>
      </c>
      <c r="R502" s="85" cm="1">
        <f t="array" aca="1" ref="R50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45912.379756944465</v>
      </c>
      <c r="S50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45960.430937500147</v>
      </c>
      <c r="T50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45960.45031250015</v>
      </c>
      <c r="U502" s="82">
        <f ca="1">--(Tabel3[[#This Row],[jour]]&lt;&gt;TRUNC(Tabel3[[#This Row],[fin]]))</f>
        <v>1</v>
      </c>
      <c r="V502" s="82">
        <f ca="1">IF(Tabel3[[#This Row],[Type]]="j0",0,--(TRUNC(Tabel3[[#This Row],[debut]])-TRUNC(Tabel3[[#This Row],[fin precedent]])&lt;Tabel3[[#This Row],[delai]]))</f>
        <v>0</v>
      </c>
      <c r="X502"/>
      <c r="Y502" s="75"/>
    </row>
    <row r="503" spans="12:25" ht="18" customHeight="1" x14ac:dyDescent="0.2">
      <c r="L503" s="78" t="s">
        <v>104</v>
      </c>
      <c r="M503" s="78" t="s">
        <v>111</v>
      </c>
      <c r="N503" s="78" t="s">
        <v>40</v>
      </c>
      <c r="O503" s="84">
        <v>45948</v>
      </c>
      <c r="P503" s="78">
        <v>27.900000000000002</v>
      </c>
      <c r="Q503" s="78">
        <f>INDEX($C$1:$I$1,MATCH(Tabel3[[#This Row],[Type]],Devoirs[[#Headers],[J0]:[J60]],0))</f>
        <v>5</v>
      </c>
      <c r="R503" s="85" cm="1">
        <f t="array" aca="1" ref="R50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45912.451006944459</v>
      </c>
      <c r="S50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45960.45031250015</v>
      </c>
      <c r="T50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45960.469687500154</v>
      </c>
      <c r="U503" s="82">
        <f ca="1">--(Tabel3[[#This Row],[jour]]&lt;&gt;TRUNC(Tabel3[[#This Row],[fin]]))</f>
        <v>1</v>
      </c>
      <c r="V503" s="82">
        <f ca="1">IF(Tabel3[[#This Row],[Type]]="j0",0,--(TRUNC(Tabel3[[#This Row],[debut]])-TRUNC(Tabel3[[#This Row],[fin precedent]])&lt;Tabel3[[#This Row],[delai]]))</f>
        <v>0</v>
      </c>
      <c r="X503"/>
      <c r="Y503" s="75"/>
    </row>
    <row r="504" spans="12:25" ht="18" customHeight="1" x14ac:dyDescent="0.2">
      <c r="L504" s="78" t="s">
        <v>74</v>
      </c>
      <c r="M504" s="78" t="s">
        <v>81</v>
      </c>
      <c r="N504" s="78" t="s">
        <v>40</v>
      </c>
      <c r="O504" s="84">
        <v>45948</v>
      </c>
      <c r="P504" s="78">
        <v>47.7</v>
      </c>
      <c r="Q504" s="78">
        <f>INDEX($C$1:$I$1,MATCH(Tabel3[[#This Row],[Type]],Devoirs[[#Headers],[J0]:[J60]],0))</f>
        <v>5</v>
      </c>
      <c r="R504" s="85" cm="1">
        <f t="array" aca="1" ref="R50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45923.462534722232</v>
      </c>
      <c r="S50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45960.469687500154</v>
      </c>
      <c r="T50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45960.502812500155</v>
      </c>
      <c r="U504" s="82">
        <f ca="1">--(Tabel3[[#This Row],[jour]]&lt;&gt;TRUNC(Tabel3[[#This Row],[fin]]))</f>
        <v>1</v>
      </c>
      <c r="V504" s="82">
        <f ca="1">IF(Tabel3[[#This Row],[Type]]="j0",0,--(TRUNC(Tabel3[[#This Row],[debut]])-TRUNC(Tabel3[[#This Row],[fin precedent]])&lt;Tabel3[[#This Row],[delai]]))</f>
        <v>0</v>
      </c>
      <c r="X504"/>
      <c r="Y504" s="75"/>
    </row>
    <row r="505" spans="12:25" ht="18" customHeight="1" x14ac:dyDescent="0.2">
      <c r="L505" s="78" t="s">
        <v>51</v>
      </c>
      <c r="M505" s="78" t="s">
        <v>60</v>
      </c>
      <c r="N505" s="78" t="s">
        <v>39</v>
      </c>
      <c r="O505" s="84">
        <v>45948</v>
      </c>
      <c r="P505" s="78">
        <v>24</v>
      </c>
      <c r="Q505" s="78">
        <f>INDEX($C$1:$I$1,MATCH(Tabel3[[#This Row],[Type]],Devoirs[[#Headers],[J0]:[J60]],0))</f>
        <v>4</v>
      </c>
      <c r="R505" s="85" cm="1">
        <f t="array" aca="1" ref="R50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45908.415937500009</v>
      </c>
      <c r="S50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45960.502812500155</v>
      </c>
      <c r="T50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45960.519479166825</v>
      </c>
      <c r="U505" s="82">
        <f ca="1">--(Tabel3[[#This Row],[jour]]&lt;&gt;TRUNC(Tabel3[[#This Row],[fin]]))</f>
        <v>1</v>
      </c>
      <c r="V505" s="82">
        <f ca="1">IF(Tabel3[[#This Row],[Type]]="j0",0,--(TRUNC(Tabel3[[#This Row],[debut]])-TRUNC(Tabel3[[#This Row],[fin precedent]])&lt;Tabel3[[#This Row],[delai]]))</f>
        <v>0</v>
      </c>
      <c r="X505"/>
      <c r="Y505" s="75"/>
    </row>
    <row r="506" spans="12:25" ht="18" customHeight="1" x14ac:dyDescent="0.2">
      <c r="L506" s="78" t="s">
        <v>74</v>
      </c>
      <c r="M506" s="78" t="s">
        <v>79</v>
      </c>
      <c r="N506" s="78" t="s">
        <v>39</v>
      </c>
      <c r="O506" s="84">
        <v>45948</v>
      </c>
      <c r="P506" s="78">
        <v>48.6</v>
      </c>
      <c r="Q506" s="78">
        <f>INDEX($C$1:$I$1,MATCH(Tabel3[[#This Row],[Type]],Devoirs[[#Headers],[J0]:[J60]],0))</f>
        <v>4</v>
      </c>
      <c r="R506" s="85" cm="1">
        <f t="array" aca="1" ref="R50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45916.567500000012</v>
      </c>
      <c r="S50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45960.519479166825</v>
      </c>
      <c r="T50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45960.553229166828</v>
      </c>
      <c r="U506" s="82">
        <f ca="1">--(Tabel3[[#This Row],[jour]]&lt;&gt;TRUNC(Tabel3[[#This Row],[fin]]))</f>
        <v>1</v>
      </c>
      <c r="V506" s="82">
        <f ca="1">IF(Tabel3[[#This Row],[Type]]="j0",0,--(TRUNC(Tabel3[[#This Row],[debut]])-TRUNC(Tabel3[[#This Row],[fin precedent]])&lt;Tabel3[[#This Row],[delai]]))</f>
        <v>0</v>
      </c>
      <c r="X506"/>
      <c r="Y506" s="75"/>
    </row>
    <row r="507" spans="12:25" ht="18" customHeight="1" x14ac:dyDescent="0.2">
      <c r="L507" s="78" t="s">
        <v>43</v>
      </c>
      <c r="M507" s="78" t="s">
        <v>48</v>
      </c>
      <c r="N507" s="78" t="s">
        <v>41</v>
      </c>
      <c r="O507" s="84">
        <v>45949</v>
      </c>
      <c r="P507" s="78">
        <v>9.6</v>
      </c>
      <c r="Q507" s="78">
        <f>INDEX($C$1:$I$1,MATCH(Tabel3[[#This Row],[Type]],Devoirs[[#Headers],[J0]:[J60]],0))</f>
        <v>15</v>
      </c>
      <c r="R507" s="85" cm="1">
        <f t="array" aca="1" ref="R50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45939.446701388937</v>
      </c>
      <c r="S50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45960.553229166828</v>
      </c>
      <c r="T50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45960.559895833496</v>
      </c>
      <c r="U507" s="82">
        <f ca="1">--(Tabel3[[#This Row],[jour]]&lt;&gt;TRUNC(Tabel3[[#This Row],[fin]]))</f>
        <v>1</v>
      </c>
      <c r="V507" s="82">
        <f ca="1">IF(Tabel3[[#This Row],[Type]]="j0",0,--(TRUNC(Tabel3[[#This Row],[debut]])-TRUNC(Tabel3[[#This Row],[fin precedent]])&lt;Tabel3[[#This Row],[delai]]))</f>
        <v>0</v>
      </c>
      <c r="X507"/>
      <c r="Y507" s="75"/>
    </row>
    <row r="508" spans="12:25" ht="18" customHeight="1" x14ac:dyDescent="0.2">
      <c r="L508" s="78" t="s">
        <v>51</v>
      </c>
      <c r="M508" s="78" t="s">
        <v>58</v>
      </c>
      <c r="N508" s="78" t="s">
        <v>41</v>
      </c>
      <c r="O508" s="84">
        <v>45949</v>
      </c>
      <c r="P508" s="78">
        <v>16.8</v>
      </c>
      <c r="Q508" s="78">
        <f>INDEX($C$1:$I$1,MATCH(Tabel3[[#This Row],[Type]],Devoirs[[#Headers],[J0]:[J60]],0))</f>
        <v>15</v>
      </c>
      <c r="R508" s="85" cm="1">
        <f t="array" aca="1" ref="R50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45917.705000000016</v>
      </c>
      <c r="S50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45960.559895833496</v>
      </c>
      <c r="T50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45960.571562500161</v>
      </c>
      <c r="U508" s="82">
        <f ca="1">--(Tabel3[[#This Row],[jour]]&lt;&gt;TRUNC(Tabel3[[#This Row],[fin]]))</f>
        <v>1</v>
      </c>
      <c r="V508" s="82">
        <f ca="1">IF(Tabel3[[#This Row],[Type]]="j0",0,--(TRUNC(Tabel3[[#This Row],[debut]])-TRUNC(Tabel3[[#This Row],[fin precedent]])&lt;Tabel3[[#This Row],[delai]]))</f>
        <v>0</v>
      </c>
      <c r="X508"/>
      <c r="Y508" s="75"/>
    </row>
    <row r="509" spans="12:25" ht="18" customHeight="1" x14ac:dyDescent="0.2">
      <c r="L509" s="78" t="s">
        <v>125</v>
      </c>
      <c r="M509" s="78" t="s">
        <v>131</v>
      </c>
      <c r="N509" s="78" t="s">
        <v>41</v>
      </c>
      <c r="O509" s="84">
        <v>45949</v>
      </c>
      <c r="P509" s="78">
        <v>16.8</v>
      </c>
      <c r="Q509" s="78">
        <f>INDEX($C$1:$I$1,MATCH(Tabel3[[#This Row],[Type]],Devoirs[[#Headers],[J0]:[J60]],0))</f>
        <v>15</v>
      </c>
      <c r="R509" s="85" cm="1">
        <f t="array" aca="1" ref="R50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45927.504756944472</v>
      </c>
      <c r="S50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45960.571562500161</v>
      </c>
      <c r="T50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45960.583229166827</v>
      </c>
      <c r="U509" s="82">
        <f ca="1">--(Tabel3[[#This Row],[jour]]&lt;&gt;TRUNC(Tabel3[[#This Row],[fin]]))</f>
        <v>1</v>
      </c>
      <c r="V509" s="82">
        <f ca="1">IF(Tabel3[[#This Row],[Type]]="j0",0,--(TRUNC(Tabel3[[#This Row],[debut]])-TRUNC(Tabel3[[#This Row],[fin precedent]])&lt;Tabel3[[#This Row],[delai]]))</f>
        <v>0</v>
      </c>
      <c r="X509"/>
      <c r="Y509" s="75"/>
    </row>
    <row r="510" spans="12:25" ht="18" customHeight="1" x14ac:dyDescent="0.2">
      <c r="L510" s="78" t="s">
        <v>51</v>
      </c>
      <c r="M510" s="78" t="s">
        <v>52</v>
      </c>
      <c r="N510" s="78" t="s">
        <v>41</v>
      </c>
      <c r="O510" s="84">
        <v>45949</v>
      </c>
      <c r="P510" s="78">
        <v>30.599999999999998</v>
      </c>
      <c r="Q510" s="78">
        <f>INDEX($C$1:$I$1,MATCH(Tabel3[[#This Row],[Type]],Devoirs[[#Headers],[J0]:[J60]],0))</f>
        <v>15</v>
      </c>
      <c r="R510" s="85" cm="1">
        <f t="array" aca="1" ref="R51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45917.705000000016</v>
      </c>
      <c r="S51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45960.583229166827</v>
      </c>
      <c r="T51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45960.604479166825</v>
      </c>
      <c r="U510" s="82">
        <f ca="1">--(Tabel3[[#This Row],[jour]]&lt;&gt;TRUNC(Tabel3[[#This Row],[fin]]))</f>
        <v>1</v>
      </c>
      <c r="V510" s="82">
        <f ca="1">IF(Tabel3[[#This Row],[Type]]="j0",0,--(TRUNC(Tabel3[[#This Row],[debut]])-TRUNC(Tabel3[[#This Row],[fin precedent]])&lt;Tabel3[[#This Row],[delai]]))</f>
        <v>0</v>
      </c>
      <c r="X510"/>
      <c r="Y510" s="75"/>
    </row>
    <row r="511" spans="12:25" ht="18" customHeight="1" x14ac:dyDescent="0.2">
      <c r="L511" s="78" t="s">
        <v>135</v>
      </c>
      <c r="M511" s="78" t="s">
        <v>158</v>
      </c>
      <c r="N511" s="78" t="s">
        <v>41</v>
      </c>
      <c r="O511" s="84">
        <v>45949</v>
      </c>
      <c r="P511" s="78">
        <v>31.2</v>
      </c>
      <c r="Q511" s="78">
        <f>INDEX($C$1:$I$1,MATCH(Tabel3[[#This Row],[Type]],Devoirs[[#Headers],[J0]:[J60]],0))</f>
        <v>15</v>
      </c>
      <c r="R511" s="85" cm="1">
        <f t="array" aca="1" ref="R51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45916.748888888906</v>
      </c>
      <c r="S51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45960.604479166825</v>
      </c>
      <c r="T51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45960.626145833492</v>
      </c>
      <c r="U511" s="82">
        <f ca="1">--(Tabel3[[#This Row],[jour]]&lt;&gt;TRUNC(Tabel3[[#This Row],[fin]]))</f>
        <v>1</v>
      </c>
      <c r="V511" s="82">
        <f ca="1">IF(Tabel3[[#This Row],[Type]]="j0",0,--(TRUNC(Tabel3[[#This Row],[debut]])-TRUNC(Tabel3[[#This Row],[fin precedent]])&lt;Tabel3[[#This Row],[delai]]))</f>
        <v>0</v>
      </c>
      <c r="X511"/>
      <c r="Y511" s="75"/>
    </row>
    <row r="512" spans="12:25" ht="18" customHeight="1" x14ac:dyDescent="0.2">
      <c r="L512" s="78" t="s">
        <v>51</v>
      </c>
      <c r="M512" s="78" t="s">
        <v>54</v>
      </c>
      <c r="N512" s="78" t="s">
        <v>39</v>
      </c>
      <c r="O512" s="84">
        <v>45949</v>
      </c>
      <c r="P512" s="78">
        <v>39.6</v>
      </c>
      <c r="Q512" s="78">
        <f>INDEX($C$1:$I$1,MATCH(Tabel3[[#This Row],[Type]],Devoirs[[#Headers],[J0]:[J60]],0))</f>
        <v>4</v>
      </c>
      <c r="R512" s="85" cm="1">
        <f t="array" aca="1" ref="R51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45908.415937500009</v>
      </c>
      <c r="S51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45960.626145833492</v>
      </c>
      <c r="T51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45960.653645833489</v>
      </c>
      <c r="U512" s="82">
        <f ca="1">--(Tabel3[[#This Row],[jour]]&lt;&gt;TRUNC(Tabel3[[#This Row],[fin]]))</f>
        <v>1</v>
      </c>
      <c r="V512" s="82">
        <f ca="1">IF(Tabel3[[#This Row],[Type]]="j0",0,--(TRUNC(Tabel3[[#This Row],[debut]])-TRUNC(Tabel3[[#This Row],[fin precedent]])&lt;Tabel3[[#This Row],[delai]]))</f>
        <v>0</v>
      </c>
      <c r="X512"/>
      <c r="Y512" s="75"/>
    </row>
    <row r="513" spans="12:25" ht="18" customHeight="1" x14ac:dyDescent="0.2">
      <c r="L513" s="78" t="s">
        <v>95</v>
      </c>
      <c r="M513" s="78" t="s">
        <v>97</v>
      </c>
      <c r="N513" s="78" t="s">
        <v>39</v>
      </c>
      <c r="O513" s="84">
        <v>45949</v>
      </c>
      <c r="P513" s="78">
        <v>66</v>
      </c>
      <c r="Q513" s="78">
        <f>INDEX($C$1:$I$1,MATCH(Tabel3[[#This Row],[Type]],Devoirs[[#Headers],[J0]:[J60]],0))</f>
        <v>4</v>
      </c>
      <c r="R513" s="85" cm="1">
        <f t="array" aca="1" ref="R51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45918.735937500016</v>
      </c>
      <c r="S51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45960.653645833489</v>
      </c>
      <c r="T51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45960.699479166818</v>
      </c>
      <c r="U513" s="82">
        <f ca="1">--(Tabel3[[#This Row],[jour]]&lt;&gt;TRUNC(Tabel3[[#This Row],[fin]]))</f>
        <v>1</v>
      </c>
      <c r="V513" s="82">
        <f ca="1">IF(Tabel3[[#This Row],[Type]]="j0",0,--(TRUNC(Tabel3[[#This Row],[debut]])-TRUNC(Tabel3[[#This Row],[fin precedent]])&lt;Tabel3[[#This Row],[delai]]))</f>
        <v>0</v>
      </c>
      <c r="X513"/>
      <c r="Y513" s="75"/>
    </row>
    <row r="514" spans="12:25" ht="18" customHeight="1" x14ac:dyDescent="0.2">
      <c r="L514" s="78" t="s">
        <v>125</v>
      </c>
      <c r="M514" s="78" t="s">
        <v>132</v>
      </c>
      <c r="N514" s="78" t="s">
        <v>39</v>
      </c>
      <c r="O514" s="84">
        <v>45950</v>
      </c>
      <c r="P514" s="78">
        <v>48.6</v>
      </c>
      <c r="Q514" s="78">
        <f>INDEX($C$1:$I$1,MATCH(Tabel3[[#This Row],[Type]],Devoirs[[#Headers],[J0]:[J60]],0))</f>
        <v>4</v>
      </c>
      <c r="R514" s="85" cm="1">
        <f t="array" aca="1" ref="R51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45915.409895833334</v>
      </c>
      <c r="S51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45960.699479166818</v>
      </c>
      <c r="T51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45960.733229166821</v>
      </c>
      <c r="U514" s="82">
        <f ca="1">--(Tabel3[[#This Row],[jour]]&lt;&gt;TRUNC(Tabel3[[#This Row],[fin]]))</f>
        <v>1</v>
      </c>
      <c r="V514" s="82">
        <f ca="1">IF(Tabel3[[#This Row],[Type]]="j0",0,--(TRUNC(Tabel3[[#This Row],[debut]])-TRUNC(Tabel3[[#This Row],[fin precedent]])&lt;Tabel3[[#This Row],[delai]]))</f>
        <v>0</v>
      </c>
      <c r="X514"/>
      <c r="Y514" s="75"/>
    </row>
    <row r="515" spans="12:25" ht="18" customHeight="1" x14ac:dyDescent="0.2">
      <c r="L515" s="78" t="s">
        <v>135</v>
      </c>
      <c r="M515" s="78" t="s">
        <v>139</v>
      </c>
      <c r="N515" s="78" t="s">
        <v>39</v>
      </c>
      <c r="O515" s="84">
        <v>45950</v>
      </c>
      <c r="P515" s="78">
        <v>64.8</v>
      </c>
      <c r="Q515" s="78">
        <f>INDEX($C$1:$I$1,MATCH(Tabel3[[#This Row],[Type]],Devoirs[[#Headers],[J0]:[J60]],0))</f>
        <v>4</v>
      </c>
      <c r="R515" s="85" cm="1">
        <f t="array" aca="1" ref="R51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45908.350000000006</v>
      </c>
      <c r="S51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45960.733229166821</v>
      </c>
      <c r="T51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45961.361562500155</v>
      </c>
      <c r="U515" s="82">
        <f ca="1">--(Tabel3[[#This Row],[jour]]&lt;&gt;TRUNC(Tabel3[[#This Row],[fin]]))</f>
        <v>1</v>
      </c>
      <c r="V515" s="82">
        <f ca="1">IF(Tabel3[[#This Row],[Type]]="j0",0,--(TRUNC(Tabel3[[#This Row],[debut]])-TRUNC(Tabel3[[#This Row],[fin precedent]])&lt;Tabel3[[#This Row],[delai]]))</f>
        <v>0</v>
      </c>
      <c r="X515"/>
      <c r="Y515" s="75"/>
    </row>
    <row r="516" spans="12:25" ht="18" customHeight="1" x14ac:dyDescent="0.2">
      <c r="L516" s="78" t="s">
        <v>51</v>
      </c>
      <c r="M516" s="78" t="s">
        <v>63</v>
      </c>
      <c r="N516" s="78" t="s">
        <v>40</v>
      </c>
      <c r="O516" s="84">
        <v>45951</v>
      </c>
      <c r="P516" s="78">
        <v>31.95</v>
      </c>
      <c r="Q516" s="78">
        <f>INDEX($C$1:$I$1,MATCH(Tabel3[[#This Row],[Type]],Devoirs[[#Headers],[J0]:[J60]],0))</f>
        <v>5</v>
      </c>
      <c r="R516" s="85" cm="1">
        <f t="array" aca="1" ref="R51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45912.379756944465</v>
      </c>
      <c r="S51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45961.361562500155</v>
      </c>
      <c r="T51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45961.383750000154</v>
      </c>
      <c r="U516" s="82">
        <f ca="1">--(Tabel3[[#This Row],[jour]]&lt;&gt;TRUNC(Tabel3[[#This Row],[fin]]))</f>
        <v>1</v>
      </c>
      <c r="V516" s="82">
        <f ca="1">IF(Tabel3[[#This Row],[Type]]="j0",0,--(TRUNC(Tabel3[[#This Row],[debut]])-TRUNC(Tabel3[[#This Row],[fin precedent]])&lt;Tabel3[[#This Row],[delai]]))</f>
        <v>0</v>
      </c>
      <c r="X516"/>
      <c r="Y516" s="75"/>
    </row>
    <row r="517" spans="12:25" ht="18" customHeight="1" x14ac:dyDescent="0.2">
      <c r="L517" s="78" t="s">
        <v>85</v>
      </c>
      <c r="M517" s="78" t="s">
        <v>91</v>
      </c>
      <c r="N517" s="78" t="s">
        <v>40</v>
      </c>
      <c r="O517" s="84">
        <v>45951</v>
      </c>
      <c r="P517" s="78">
        <v>31.95</v>
      </c>
      <c r="Q517" s="78">
        <f>INDEX($C$1:$I$1,MATCH(Tabel3[[#This Row],[Type]],Devoirs[[#Headers],[J0]:[J60]],0))</f>
        <v>5</v>
      </c>
      <c r="R517" s="85" cm="1">
        <f t="array" aca="1" ref="R51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45912.49809027779</v>
      </c>
      <c r="S51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45961.383750000154</v>
      </c>
      <c r="T51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45961.405937500153</v>
      </c>
      <c r="U517" s="82">
        <f ca="1">--(Tabel3[[#This Row],[jour]]&lt;&gt;TRUNC(Tabel3[[#This Row],[fin]]))</f>
        <v>1</v>
      </c>
      <c r="V517" s="82">
        <f ca="1">IF(Tabel3[[#This Row],[Type]]="j0",0,--(TRUNC(Tabel3[[#This Row],[debut]])-TRUNC(Tabel3[[#This Row],[fin precedent]])&lt;Tabel3[[#This Row],[delai]]))</f>
        <v>0</v>
      </c>
      <c r="X517"/>
      <c r="Y517" s="75"/>
    </row>
    <row r="518" spans="12:25" ht="18" customHeight="1" x14ac:dyDescent="0.2">
      <c r="L518" s="78" t="s">
        <v>64</v>
      </c>
      <c r="M518" s="78" t="s">
        <v>67</v>
      </c>
      <c r="N518" s="78" t="s">
        <v>41</v>
      </c>
      <c r="O518" s="84">
        <v>45952</v>
      </c>
      <c r="P518" s="78">
        <v>9.9</v>
      </c>
      <c r="Q518" s="78">
        <f>INDEX($C$1:$I$1,MATCH(Tabel3[[#This Row],[Type]],Devoirs[[#Headers],[J0]:[J60]],0))</f>
        <v>15</v>
      </c>
      <c r="R518" s="85" cm="1">
        <f t="array" aca="1" ref="R51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45936.36413194448</v>
      </c>
      <c r="S51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45961.405937500153</v>
      </c>
      <c r="T51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45961.412812500152</v>
      </c>
      <c r="U518" s="82">
        <f ca="1">--(Tabel3[[#This Row],[jour]]&lt;&gt;TRUNC(Tabel3[[#This Row],[fin]]))</f>
        <v>1</v>
      </c>
      <c r="V518" s="82">
        <f ca="1">IF(Tabel3[[#This Row],[Type]]="j0",0,--(TRUNC(Tabel3[[#This Row],[debut]])-TRUNC(Tabel3[[#This Row],[fin precedent]])&lt;Tabel3[[#This Row],[delai]]))</f>
        <v>0</v>
      </c>
      <c r="X518"/>
      <c r="Y518" s="75"/>
    </row>
    <row r="519" spans="12:25" ht="18" customHeight="1" x14ac:dyDescent="0.2">
      <c r="L519" s="78" t="s">
        <v>104</v>
      </c>
      <c r="M519" s="78" t="s">
        <v>116</v>
      </c>
      <c r="N519" s="78" t="s">
        <v>41</v>
      </c>
      <c r="O519" s="84">
        <v>45952</v>
      </c>
      <c r="P519" s="78">
        <v>33</v>
      </c>
      <c r="Q519" s="78">
        <f>INDEX($C$1:$I$1,MATCH(Tabel3[[#This Row],[Type]],Devoirs[[#Headers],[J0]:[J60]],0))</f>
        <v>15</v>
      </c>
      <c r="R519" s="85" cm="1">
        <f t="array" aca="1" ref="R51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45918.341770833351</v>
      </c>
      <c r="S51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45961.412812500152</v>
      </c>
      <c r="T51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45961.43572916682</v>
      </c>
      <c r="U519" s="82">
        <f ca="1">--(Tabel3[[#This Row],[jour]]&lt;&gt;TRUNC(Tabel3[[#This Row],[fin]]))</f>
        <v>1</v>
      </c>
      <c r="V519" s="82">
        <f ca="1">IF(Tabel3[[#This Row],[Type]]="j0",0,--(TRUNC(Tabel3[[#This Row],[debut]])-TRUNC(Tabel3[[#This Row],[fin precedent]])&lt;Tabel3[[#This Row],[delai]]))</f>
        <v>0</v>
      </c>
      <c r="X519"/>
      <c r="Y519" s="75"/>
    </row>
    <row r="520" spans="12:25" ht="18" customHeight="1" x14ac:dyDescent="0.2">
      <c r="L520" s="78" t="s">
        <v>104</v>
      </c>
      <c r="M520" s="78" t="s">
        <v>109</v>
      </c>
      <c r="N520" s="78" t="s">
        <v>41</v>
      </c>
      <c r="O520" s="84">
        <v>45952</v>
      </c>
      <c r="P520" s="78">
        <v>33.6</v>
      </c>
      <c r="Q520" s="78">
        <f>INDEX($C$1:$I$1,MATCH(Tabel3[[#This Row],[Type]],Devoirs[[#Headers],[J0]:[J60]],0))</f>
        <v>15</v>
      </c>
      <c r="R520" s="85" cm="1">
        <f t="array" aca="1" ref="R52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45918.341770833351</v>
      </c>
      <c r="S52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45961.43572916682</v>
      </c>
      <c r="T52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45961.459062500151</v>
      </c>
      <c r="U520" s="82">
        <f ca="1">--(Tabel3[[#This Row],[jour]]&lt;&gt;TRUNC(Tabel3[[#This Row],[fin]]))</f>
        <v>1</v>
      </c>
      <c r="V520" s="82">
        <f ca="1">IF(Tabel3[[#This Row],[Type]]="j0",0,--(TRUNC(Tabel3[[#This Row],[debut]])-TRUNC(Tabel3[[#This Row],[fin precedent]])&lt;Tabel3[[#This Row],[delai]]))</f>
        <v>0</v>
      </c>
      <c r="X520"/>
      <c r="Y520" s="75"/>
    </row>
    <row r="521" spans="12:25" ht="18" customHeight="1" x14ac:dyDescent="0.2">
      <c r="L521" s="78" t="s">
        <v>95</v>
      </c>
      <c r="M521" s="78" t="s">
        <v>103</v>
      </c>
      <c r="N521" s="78" t="s">
        <v>40</v>
      </c>
      <c r="O521" s="84">
        <v>45952</v>
      </c>
      <c r="P521" s="78">
        <v>16.2</v>
      </c>
      <c r="Q521" s="78">
        <f>INDEX($C$1:$I$1,MATCH(Tabel3[[#This Row],[Type]],Devoirs[[#Headers],[J0]:[J60]],0))</f>
        <v>5</v>
      </c>
      <c r="R521" s="85" cm="1">
        <f t="array" aca="1" ref="R52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45926.397256944474</v>
      </c>
      <c r="S52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45961.459062500151</v>
      </c>
      <c r="T52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45961.470312500154</v>
      </c>
      <c r="U521" s="82">
        <f ca="1">--(Tabel3[[#This Row],[jour]]&lt;&gt;TRUNC(Tabel3[[#This Row],[fin]]))</f>
        <v>1</v>
      </c>
      <c r="V521" s="82">
        <f ca="1">IF(Tabel3[[#This Row],[Type]]="j0",0,--(TRUNC(Tabel3[[#This Row],[debut]])-TRUNC(Tabel3[[#This Row],[fin precedent]])&lt;Tabel3[[#This Row],[delai]]))</f>
        <v>0</v>
      </c>
      <c r="X521"/>
      <c r="Y521" s="75"/>
    </row>
    <row r="522" spans="12:25" ht="18" customHeight="1" x14ac:dyDescent="0.2">
      <c r="L522" s="78" t="s">
        <v>125</v>
      </c>
      <c r="M522" s="78" t="s">
        <v>126</v>
      </c>
      <c r="N522" s="78" t="s">
        <v>40</v>
      </c>
      <c r="O522" s="84">
        <v>45952</v>
      </c>
      <c r="P522" s="78">
        <v>29.7</v>
      </c>
      <c r="Q522" s="78">
        <f>INDEX($C$1:$I$1,MATCH(Tabel3[[#This Row],[Type]],Devoirs[[#Headers],[J0]:[J60]],0))</f>
        <v>5</v>
      </c>
      <c r="R522" s="85" cm="1">
        <f t="array" aca="1" ref="R52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45919.707187500011</v>
      </c>
      <c r="S52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45961.470312500154</v>
      </c>
      <c r="T52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45961.490937500152</v>
      </c>
      <c r="U522" s="82">
        <f ca="1">--(Tabel3[[#This Row],[jour]]&lt;&gt;TRUNC(Tabel3[[#This Row],[fin]]))</f>
        <v>1</v>
      </c>
      <c r="V522" s="82">
        <f ca="1">IF(Tabel3[[#This Row],[Type]]="j0",0,--(TRUNC(Tabel3[[#This Row],[debut]])-TRUNC(Tabel3[[#This Row],[fin precedent]])&lt;Tabel3[[#This Row],[delai]]))</f>
        <v>0</v>
      </c>
      <c r="X522"/>
      <c r="Y522" s="75"/>
    </row>
    <row r="523" spans="12:25" ht="18" customHeight="1" x14ac:dyDescent="0.2">
      <c r="L523" s="78" t="s">
        <v>64</v>
      </c>
      <c r="M523" s="78" t="s">
        <v>70</v>
      </c>
      <c r="N523" s="78" t="s">
        <v>40</v>
      </c>
      <c r="O523" s="84">
        <v>45952</v>
      </c>
      <c r="P523" s="78">
        <v>37.800000000000004</v>
      </c>
      <c r="Q523" s="78">
        <f>INDEX($C$1:$I$1,MATCH(Tabel3[[#This Row],[Type]],Devoirs[[#Headers],[J0]:[J60]],0))</f>
        <v>5</v>
      </c>
      <c r="R523" s="85" cm="1">
        <f t="array" aca="1" ref="R52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45926.471840277802</v>
      </c>
      <c r="S52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45961.490937500152</v>
      </c>
      <c r="T52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45961.517187500154</v>
      </c>
      <c r="U523" s="82">
        <f ca="1">--(Tabel3[[#This Row],[jour]]&lt;&gt;TRUNC(Tabel3[[#This Row],[fin]]))</f>
        <v>1</v>
      </c>
      <c r="V523" s="82">
        <f ca="1">IF(Tabel3[[#This Row],[Type]]="j0",0,--(TRUNC(Tabel3[[#This Row],[debut]])-TRUNC(Tabel3[[#This Row],[fin precedent]])&lt;Tabel3[[#This Row],[delai]]))</f>
        <v>0</v>
      </c>
      <c r="X523"/>
      <c r="Y523" s="75"/>
    </row>
    <row r="524" spans="12:25" ht="18" customHeight="1" x14ac:dyDescent="0.2">
      <c r="L524" s="78" t="s">
        <v>64</v>
      </c>
      <c r="M524" s="78" t="s">
        <v>71</v>
      </c>
      <c r="N524" s="78" t="s">
        <v>40</v>
      </c>
      <c r="O524" s="84">
        <v>45952</v>
      </c>
      <c r="P524" s="78">
        <v>45.45</v>
      </c>
      <c r="Q524" s="78">
        <f>INDEX($C$1:$I$1,MATCH(Tabel3[[#This Row],[Type]],Devoirs[[#Headers],[J0]:[J60]],0))</f>
        <v>5</v>
      </c>
      <c r="R524" s="85" cm="1">
        <f t="array" aca="1" ref="R52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45926.471840277802</v>
      </c>
      <c r="S52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45961.517187500154</v>
      </c>
      <c r="T52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45961.548750000155</v>
      </c>
      <c r="U524" s="82">
        <f ca="1">--(Tabel3[[#This Row],[jour]]&lt;&gt;TRUNC(Tabel3[[#This Row],[fin]]))</f>
        <v>1</v>
      </c>
      <c r="V524" s="82">
        <f ca="1">IF(Tabel3[[#This Row],[Type]]="j0",0,--(TRUNC(Tabel3[[#This Row],[debut]])-TRUNC(Tabel3[[#This Row],[fin precedent]])&lt;Tabel3[[#This Row],[delai]]))</f>
        <v>0</v>
      </c>
      <c r="X524"/>
      <c r="Y524" s="75"/>
    </row>
    <row r="525" spans="12:25" ht="18" customHeight="1" x14ac:dyDescent="0.2">
      <c r="L525" s="78" t="s">
        <v>64</v>
      </c>
      <c r="M525" s="78" t="s">
        <v>65</v>
      </c>
      <c r="N525" s="78" t="s">
        <v>40</v>
      </c>
      <c r="O525" s="84">
        <v>45952</v>
      </c>
      <c r="P525" s="78">
        <v>49.050000000000004</v>
      </c>
      <c r="Q525" s="78">
        <f>INDEX($C$1:$I$1,MATCH(Tabel3[[#This Row],[Type]],Devoirs[[#Headers],[J0]:[J60]],0))</f>
        <v>5</v>
      </c>
      <c r="R525" s="85" cm="1">
        <f t="array" aca="1" ref="R52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45926.471840277802</v>
      </c>
      <c r="S52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45961.548750000155</v>
      </c>
      <c r="T52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45961.582812500157</v>
      </c>
      <c r="U525" s="82">
        <f ca="1">--(Tabel3[[#This Row],[jour]]&lt;&gt;TRUNC(Tabel3[[#This Row],[fin]]))</f>
        <v>1</v>
      </c>
      <c r="V525" s="82">
        <f ca="1">IF(Tabel3[[#This Row],[Type]]="j0",0,--(TRUNC(Tabel3[[#This Row],[debut]])-TRUNC(Tabel3[[#This Row],[fin precedent]])&lt;Tabel3[[#This Row],[delai]]))</f>
        <v>0</v>
      </c>
      <c r="X525"/>
      <c r="Y525" s="75"/>
    </row>
    <row r="526" spans="12:25" ht="18" customHeight="1" x14ac:dyDescent="0.2">
      <c r="L526" s="78" t="s">
        <v>135</v>
      </c>
      <c r="M526" s="78" t="s">
        <v>136</v>
      </c>
      <c r="N526" s="78" t="s">
        <v>41</v>
      </c>
      <c r="O526" s="84">
        <v>45953</v>
      </c>
      <c r="P526" s="78">
        <v>17.399999999999999</v>
      </c>
      <c r="Q526" s="78">
        <f>INDEX($C$1:$I$1,MATCH(Tabel3[[#This Row],[Type]],Devoirs[[#Headers],[J0]:[J60]],0))</f>
        <v>15</v>
      </c>
      <c r="R526" s="85" cm="1">
        <f t="array" aca="1" ref="R52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45916.748888888906</v>
      </c>
      <c r="S52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45961.582812500157</v>
      </c>
      <c r="T52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45961.594895833492</v>
      </c>
      <c r="U526" s="82">
        <f ca="1">--(Tabel3[[#This Row],[jour]]&lt;&gt;TRUNC(Tabel3[[#This Row],[fin]]))</f>
        <v>1</v>
      </c>
      <c r="V526" s="82">
        <f ca="1">IF(Tabel3[[#This Row],[Type]]="j0",0,--(TRUNC(Tabel3[[#This Row],[debut]])-TRUNC(Tabel3[[#This Row],[fin precedent]])&lt;Tabel3[[#This Row],[delai]]))</f>
        <v>0</v>
      </c>
      <c r="X526"/>
      <c r="Y526" s="75"/>
    </row>
    <row r="527" spans="12:25" ht="18" customHeight="1" x14ac:dyDescent="0.2">
      <c r="L527" s="78" t="s">
        <v>85</v>
      </c>
      <c r="M527" s="78" t="s">
        <v>93</v>
      </c>
      <c r="N527" s="78" t="s">
        <v>41</v>
      </c>
      <c r="O527" s="84">
        <v>45953</v>
      </c>
      <c r="P527" s="78">
        <v>23.4</v>
      </c>
      <c r="Q527" s="78">
        <f>INDEX($C$1:$I$1,MATCH(Tabel3[[#This Row],[Type]],Devoirs[[#Headers],[J0]:[J60]],0))</f>
        <v>15</v>
      </c>
      <c r="R527" s="85" cm="1">
        <f t="array" aca="1" ref="R52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45918.377083333347</v>
      </c>
      <c r="S52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45961.594895833492</v>
      </c>
      <c r="T52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45961.611145833493</v>
      </c>
      <c r="U527" s="82">
        <f ca="1">--(Tabel3[[#This Row],[jour]]&lt;&gt;TRUNC(Tabel3[[#This Row],[fin]]))</f>
        <v>1</v>
      </c>
      <c r="V527" s="82">
        <f ca="1">IF(Tabel3[[#This Row],[Type]]="j0",0,--(TRUNC(Tabel3[[#This Row],[debut]])-TRUNC(Tabel3[[#This Row],[fin precedent]])&lt;Tabel3[[#This Row],[delai]]))</f>
        <v>0</v>
      </c>
      <c r="X527"/>
      <c r="Y527" s="75"/>
    </row>
    <row r="528" spans="12:25" ht="18" customHeight="1" x14ac:dyDescent="0.2">
      <c r="L528" s="78" t="s">
        <v>43</v>
      </c>
      <c r="M528" s="78" t="s">
        <v>45</v>
      </c>
      <c r="N528" s="78" t="s">
        <v>41</v>
      </c>
      <c r="O528" s="84">
        <v>45953</v>
      </c>
      <c r="P528" s="78">
        <v>24.599999999999998</v>
      </c>
      <c r="Q528" s="78">
        <f>INDEX($C$1:$I$1,MATCH(Tabel3[[#This Row],[Type]],Devoirs[[#Headers],[J0]:[J60]],0))</f>
        <v>15</v>
      </c>
      <c r="R528" s="85" cm="1">
        <f t="array" aca="1" ref="R52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45939.446701388937</v>
      </c>
      <c r="S52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45961.611145833493</v>
      </c>
      <c r="T52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45961.628229166825</v>
      </c>
      <c r="U528" s="82">
        <f ca="1">--(Tabel3[[#This Row],[jour]]&lt;&gt;TRUNC(Tabel3[[#This Row],[fin]]))</f>
        <v>1</v>
      </c>
      <c r="V528" s="82">
        <f ca="1">IF(Tabel3[[#This Row],[Type]]="j0",0,--(TRUNC(Tabel3[[#This Row],[debut]])-TRUNC(Tabel3[[#This Row],[fin precedent]])&lt;Tabel3[[#This Row],[delai]]))</f>
        <v>0</v>
      </c>
      <c r="X528"/>
      <c r="Y528" s="75"/>
    </row>
    <row r="529" spans="12:25" ht="18" customHeight="1" x14ac:dyDescent="0.2">
      <c r="L529" s="78" t="s">
        <v>125</v>
      </c>
      <c r="M529" s="78" t="s">
        <v>134</v>
      </c>
      <c r="N529" s="78" t="s">
        <v>41</v>
      </c>
      <c r="O529" s="84">
        <v>45953</v>
      </c>
      <c r="P529" s="78">
        <v>30.599999999999998</v>
      </c>
      <c r="Q529" s="78">
        <f>INDEX($C$1:$I$1,MATCH(Tabel3[[#This Row],[Type]],Devoirs[[#Headers],[J0]:[J60]],0))</f>
        <v>15</v>
      </c>
      <c r="R529" s="85" cm="1">
        <f t="array" aca="1" ref="R52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45927.504756944472</v>
      </c>
      <c r="S52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45961.628229166825</v>
      </c>
      <c r="T52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45961.649479166823</v>
      </c>
      <c r="U529" s="82">
        <f ca="1">--(Tabel3[[#This Row],[jour]]&lt;&gt;TRUNC(Tabel3[[#This Row],[fin]]))</f>
        <v>1</v>
      </c>
      <c r="V529" s="82">
        <f ca="1">IF(Tabel3[[#This Row],[Type]]="j0",0,--(TRUNC(Tabel3[[#This Row],[debut]])-TRUNC(Tabel3[[#This Row],[fin precedent]])&lt;Tabel3[[#This Row],[delai]]))</f>
        <v>0</v>
      </c>
      <c r="X529"/>
      <c r="Y529" s="75"/>
    </row>
    <row r="530" spans="12:25" ht="18" customHeight="1" x14ac:dyDescent="0.2">
      <c r="L530" s="78" t="s">
        <v>51</v>
      </c>
      <c r="M530" s="78" t="s">
        <v>60</v>
      </c>
      <c r="N530" s="78" t="s">
        <v>40</v>
      </c>
      <c r="O530" s="84">
        <v>45953</v>
      </c>
      <c r="P530" s="78">
        <v>18</v>
      </c>
      <c r="Q530" s="78">
        <f>INDEX($C$1:$I$1,MATCH(Tabel3[[#This Row],[Type]],Devoirs[[#Headers],[J0]:[J60]],0))</f>
        <v>5</v>
      </c>
      <c r="R530" s="85" cm="1">
        <f t="array" aca="1" ref="R53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45912.379756944465</v>
      </c>
      <c r="S53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45961.649479166823</v>
      </c>
      <c r="T53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45961.66197916682</v>
      </c>
      <c r="U530" s="82">
        <f ca="1">--(Tabel3[[#This Row],[jour]]&lt;&gt;TRUNC(Tabel3[[#This Row],[fin]]))</f>
        <v>1</v>
      </c>
      <c r="V530" s="82">
        <f ca="1">IF(Tabel3[[#This Row],[Type]]="j0",0,--(TRUNC(Tabel3[[#This Row],[debut]])-TRUNC(Tabel3[[#This Row],[fin precedent]])&lt;Tabel3[[#This Row],[delai]]))</f>
        <v>0</v>
      </c>
      <c r="X530"/>
      <c r="Y530" s="75"/>
    </row>
    <row r="531" spans="12:25" ht="18" customHeight="1" x14ac:dyDescent="0.2">
      <c r="L531" s="78" t="s">
        <v>74</v>
      </c>
      <c r="M531" s="78" t="s">
        <v>79</v>
      </c>
      <c r="N531" s="78" t="s">
        <v>40</v>
      </c>
      <c r="O531" s="84">
        <v>45953</v>
      </c>
      <c r="P531" s="78">
        <v>36.450000000000003</v>
      </c>
      <c r="Q531" s="78">
        <f>INDEX($C$1:$I$1,MATCH(Tabel3[[#This Row],[Type]],Devoirs[[#Headers],[J0]:[J60]],0))</f>
        <v>5</v>
      </c>
      <c r="R531" s="85" cm="1">
        <f t="array" aca="1" ref="R53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45923.462534722232</v>
      </c>
      <c r="S53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45961.66197916682</v>
      </c>
      <c r="T53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45961.687291666822</v>
      </c>
      <c r="U531" s="82">
        <f ca="1">--(Tabel3[[#This Row],[jour]]&lt;&gt;TRUNC(Tabel3[[#This Row],[fin]]))</f>
        <v>1</v>
      </c>
      <c r="V531" s="82">
        <f ca="1">IF(Tabel3[[#This Row],[Type]]="j0",0,--(TRUNC(Tabel3[[#This Row],[debut]])-TRUNC(Tabel3[[#This Row],[fin precedent]])&lt;Tabel3[[#This Row],[delai]]))</f>
        <v>0</v>
      </c>
      <c r="X531"/>
      <c r="Y531" s="75"/>
    </row>
    <row r="532" spans="12:25" ht="18" customHeight="1" x14ac:dyDescent="0.2">
      <c r="L532" s="78" t="s">
        <v>74</v>
      </c>
      <c r="M532" s="78" t="s">
        <v>84</v>
      </c>
      <c r="N532" s="78" t="s">
        <v>41</v>
      </c>
      <c r="O532" s="84">
        <v>45954</v>
      </c>
      <c r="P532" s="78">
        <v>12</v>
      </c>
      <c r="Q532" s="78">
        <f>INDEX($C$1:$I$1,MATCH(Tabel3[[#This Row],[Type]],Devoirs[[#Headers],[J0]:[J60]],0))</f>
        <v>15</v>
      </c>
      <c r="R532" s="85" cm="1">
        <f t="array" aca="1" ref="R53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45930.603125000031</v>
      </c>
      <c r="S53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45961.687291666822</v>
      </c>
      <c r="T53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45961.695625000153</v>
      </c>
      <c r="U532" s="82">
        <f ca="1">--(Tabel3[[#This Row],[jour]]&lt;&gt;TRUNC(Tabel3[[#This Row],[fin]]))</f>
        <v>1</v>
      </c>
      <c r="V532" s="82">
        <f ca="1">IF(Tabel3[[#This Row],[Type]]="j0",0,--(TRUNC(Tabel3[[#This Row],[debut]])-TRUNC(Tabel3[[#This Row],[fin precedent]])&lt;Tabel3[[#This Row],[delai]]))</f>
        <v>0</v>
      </c>
      <c r="X532"/>
      <c r="Y532" s="75"/>
    </row>
    <row r="533" spans="12:25" ht="18" customHeight="1" x14ac:dyDescent="0.2">
      <c r="L533" s="78" t="s">
        <v>64</v>
      </c>
      <c r="M533" s="78" t="s">
        <v>68</v>
      </c>
      <c r="N533" s="78" t="s">
        <v>41</v>
      </c>
      <c r="O533" s="84">
        <v>45954</v>
      </c>
      <c r="P533" s="78">
        <v>18</v>
      </c>
      <c r="Q533" s="78">
        <f>INDEX($C$1:$I$1,MATCH(Tabel3[[#This Row],[Type]],Devoirs[[#Headers],[J0]:[J60]],0))</f>
        <v>15</v>
      </c>
      <c r="R533" s="85" cm="1">
        <f t="array" aca="1" ref="R53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45936.36413194448</v>
      </c>
      <c r="S53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45961.695625000153</v>
      </c>
      <c r="T53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45961.70812500015</v>
      </c>
      <c r="U533" s="82">
        <f ca="1">--(Tabel3[[#This Row],[jour]]&lt;&gt;TRUNC(Tabel3[[#This Row],[fin]]))</f>
        <v>1</v>
      </c>
      <c r="V533" s="82">
        <f ca="1">IF(Tabel3[[#This Row],[Type]]="j0",0,--(TRUNC(Tabel3[[#This Row],[debut]])-TRUNC(Tabel3[[#This Row],[fin precedent]])&lt;Tabel3[[#This Row],[delai]]))</f>
        <v>0</v>
      </c>
      <c r="X533"/>
      <c r="Y533" s="75"/>
    </row>
    <row r="534" spans="12:25" ht="18" customHeight="1" x14ac:dyDescent="0.2">
      <c r="L534" s="78" t="s">
        <v>104</v>
      </c>
      <c r="M534" s="78" t="s">
        <v>121</v>
      </c>
      <c r="N534" s="78" t="s">
        <v>41</v>
      </c>
      <c r="O534" s="84">
        <v>45954</v>
      </c>
      <c r="P534" s="78">
        <v>20.7</v>
      </c>
      <c r="Q534" s="78">
        <f>INDEX($C$1:$I$1,MATCH(Tabel3[[#This Row],[Type]],Devoirs[[#Headers],[J0]:[J60]],0))</f>
        <v>15</v>
      </c>
      <c r="R534" s="85" cm="1">
        <f t="array" aca="1" ref="R53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45918.341770833351</v>
      </c>
      <c r="S53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45961.70812500015</v>
      </c>
      <c r="T53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45961.722500000149</v>
      </c>
      <c r="U534" s="82">
        <f ca="1">--(Tabel3[[#This Row],[jour]]&lt;&gt;TRUNC(Tabel3[[#This Row],[fin]]))</f>
        <v>1</v>
      </c>
      <c r="V534" s="82">
        <f ca="1">IF(Tabel3[[#This Row],[Type]]="j0",0,--(TRUNC(Tabel3[[#This Row],[debut]])-TRUNC(Tabel3[[#This Row],[fin precedent]])&lt;Tabel3[[#This Row],[delai]]))</f>
        <v>0</v>
      </c>
      <c r="X534"/>
      <c r="Y534" s="75"/>
    </row>
    <row r="535" spans="12:25" ht="18" customHeight="1" x14ac:dyDescent="0.2">
      <c r="L535" s="78" t="s">
        <v>104</v>
      </c>
      <c r="M535" s="78" t="s">
        <v>112</v>
      </c>
      <c r="N535" s="78" t="s">
        <v>41</v>
      </c>
      <c r="O535" s="84">
        <v>45954</v>
      </c>
      <c r="P535" s="78">
        <v>29.4</v>
      </c>
      <c r="Q535" s="78">
        <f>INDEX($C$1:$I$1,MATCH(Tabel3[[#This Row],[Type]],Devoirs[[#Headers],[J0]:[J60]],0))</f>
        <v>15</v>
      </c>
      <c r="R535" s="85" cm="1">
        <f t="array" aca="1" ref="R53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45918.341770833351</v>
      </c>
      <c r="S53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45961.722500000149</v>
      </c>
      <c r="T53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45961.742916666815</v>
      </c>
      <c r="U535" s="82">
        <f ca="1">--(Tabel3[[#This Row],[jour]]&lt;&gt;TRUNC(Tabel3[[#This Row],[fin]]))</f>
        <v>1</v>
      </c>
      <c r="V535" s="82">
        <f ca="1">IF(Tabel3[[#This Row],[Type]]="j0",0,--(TRUNC(Tabel3[[#This Row],[debut]])-TRUNC(Tabel3[[#This Row],[fin precedent]])&lt;Tabel3[[#This Row],[delai]]))</f>
        <v>0</v>
      </c>
      <c r="X535"/>
      <c r="Y535" s="75"/>
    </row>
    <row r="536" spans="12:25" ht="18" customHeight="1" x14ac:dyDescent="0.2">
      <c r="L536" s="78" t="s">
        <v>95</v>
      </c>
      <c r="M536" s="78" t="s">
        <v>100</v>
      </c>
      <c r="N536" s="78" t="s">
        <v>41</v>
      </c>
      <c r="O536" s="84">
        <v>45954</v>
      </c>
      <c r="P536" s="78">
        <v>30</v>
      </c>
      <c r="Q536" s="78">
        <f>INDEX($C$1:$I$1,MATCH(Tabel3[[#This Row],[Type]],Devoirs[[#Headers],[J0]:[J60]],0))</f>
        <v>15</v>
      </c>
      <c r="R536" s="85" cm="1">
        <f t="array" aca="1" ref="R53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45934.724861111143</v>
      </c>
      <c r="S53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45961.742916666815</v>
      </c>
      <c r="T53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45962.347083333487</v>
      </c>
      <c r="U536" s="82">
        <f ca="1">--(Tabel3[[#This Row],[jour]]&lt;&gt;TRUNC(Tabel3[[#This Row],[fin]]))</f>
        <v>1</v>
      </c>
      <c r="V536" s="82">
        <f ca="1">IF(Tabel3[[#This Row],[Type]]="j0",0,--(TRUNC(Tabel3[[#This Row],[debut]])-TRUNC(Tabel3[[#This Row],[fin precedent]])&lt;Tabel3[[#This Row],[delai]]))</f>
        <v>0</v>
      </c>
      <c r="X536"/>
      <c r="Y536" s="75"/>
    </row>
    <row r="537" spans="12:25" ht="18" customHeight="1" x14ac:dyDescent="0.2">
      <c r="L537" s="78" t="s">
        <v>95</v>
      </c>
      <c r="M537" s="78" t="s">
        <v>101</v>
      </c>
      <c r="N537" s="78" t="s">
        <v>41</v>
      </c>
      <c r="O537" s="84">
        <v>45954</v>
      </c>
      <c r="P537" s="78">
        <v>30</v>
      </c>
      <c r="Q537" s="78">
        <f>INDEX($C$1:$I$1,MATCH(Tabel3[[#This Row],[Type]],Devoirs[[#Headers],[J0]:[J60]],0))</f>
        <v>15</v>
      </c>
      <c r="R537" s="85" cm="1">
        <f t="array" aca="1" ref="R53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45934.724861111143</v>
      </c>
      <c r="S53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45962.347083333487</v>
      </c>
      <c r="T53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45962.367916666823</v>
      </c>
      <c r="U537" s="82">
        <f ca="1">--(Tabel3[[#This Row],[jour]]&lt;&gt;TRUNC(Tabel3[[#This Row],[fin]]))</f>
        <v>1</v>
      </c>
      <c r="V537" s="82">
        <f ca="1">IF(Tabel3[[#This Row],[Type]]="j0",0,--(TRUNC(Tabel3[[#This Row],[debut]])-TRUNC(Tabel3[[#This Row],[fin precedent]])&lt;Tabel3[[#This Row],[delai]]))</f>
        <v>0</v>
      </c>
      <c r="X537"/>
      <c r="Y537" s="75"/>
    </row>
    <row r="538" spans="12:25" ht="18" customHeight="1" x14ac:dyDescent="0.2">
      <c r="L538" s="78" t="s">
        <v>104</v>
      </c>
      <c r="M538" s="78" t="s">
        <v>110</v>
      </c>
      <c r="N538" s="78" t="s">
        <v>41</v>
      </c>
      <c r="O538" s="84">
        <v>45954</v>
      </c>
      <c r="P538" s="78">
        <v>30</v>
      </c>
      <c r="Q538" s="78">
        <f>INDEX($C$1:$I$1,MATCH(Tabel3[[#This Row],[Type]],Devoirs[[#Headers],[J0]:[J60]],0))</f>
        <v>15</v>
      </c>
      <c r="R538" s="85" cm="1">
        <f t="array" aca="1" ref="R53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45918.341770833351</v>
      </c>
      <c r="S53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45962.367916666823</v>
      </c>
      <c r="T53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45962.388750000158</v>
      </c>
      <c r="U538" s="82">
        <f ca="1">--(Tabel3[[#This Row],[jour]]&lt;&gt;TRUNC(Tabel3[[#This Row],[fin]]))</f>
        <v>1</v>
      </c>
      <c r="V538" s="82">
        <f ca="1">IF(Tabel3[[#This Row],[Type]]="j0",0,--(TRUNC(Tabel3[[#This Row],[debut]])-TRUNC(Tabel3[[#This Row],[fin precedent]])&lt;Tabel3[[#This Row],[delai]]))</f>
        <v>0</v>
      </c>
      <c r="X538"/>
      <c r="Y538" s="75"/>
    </row>
    <row r="539" spans="12:25" ht="18" customHeight="1" x14ac:dyDescent="0.2">
      <c r="L539" s="78" t="s">
        <v>51</v>
      </c>
      <c r="M539" s="78" t="s">
        <v>54</v>
      </c>
      <c r="N539" s="78" t="s">
        <v>40</v>
      </c>
      <c r="O539" s="84">
        <v>45954</v>
      </c>
      <c r="P539" s="78">
        <v>29.7</v>
      </c>
      <c r="Q539" s="78">
        <f>INDEX($C$1:$I$1,MATCH(Tabel3[[#This Row],[Type]],Devoirs[[#Headers],[J0]:[J60]],0))</f>
        <v>5</v>
      </c>
      <c r="R539" s="85" cm="1">
        <f t="array" aca="1" ref="R53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45912.379756944465</v>
      </c>
      <c r="S53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45962.388750000158</v>
      </c>
      <c r="T53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45962.409375000156</v>
      </c>
      <c r="U539" s="82">
        <f ca="1">--(Tabel3[[#This Row],[jour]]&lt;&gt;TRUNC(Tabel3[[#This Row],[fin]]))</f>
        <v>1</v>
      </c>
      <c r="V539" s="82">
        <f ca="1">IF(Tabel3[[#This Row],[Type]]="j0",0,--(TRUNC(Tabel3[[#This Row],[debut]])-TRUNC(Tabel3[[#This Row],[fin precedent]])&lt;Tabel3[[#This Row],[delai]]))</f>
        <v>0</v>
      </c>
      <c r="X539"/>
      <c r="Y539" s="75"/>
    </row>
    <row r="540" spans="12:25" ht="18" customHeight="1" x14ac:dyDescent="0.2">
      <c r="L540" s="78" t="s">
        <v>95</v>
      </c>
      <c r="M540" s="78" t="s">
        <v>97</v>
      </c>
      <c r="N540" s="78" t="s">
        <v>40</v>
      </c>
      <c r="O540" s="84">
        <v>45954</v>
      </c>
      <c r="P540" s="78">
        <v>49.5</v>
      </c>
      <c r="Q540" s="78">
        <f>INDEX($C$1:$I$1,MATCH(Tabel3[[#This Row],[Type]],Devoirs[[#Headers],[J0]:[J60]],0))</f>
        <v>5</v>
      </c>
      <c r="R540" s="85" cm="1">
        <f t="array" aca="1" ref="R54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45926.397256944474</v>
      </c>
      <c r="S54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45962.409375000156</v>
      </c>
      <c r="T54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45962.443750000159</v>
      </c>
      <c r="U540" s="82">
        <f ca="1">--(Tabel3[[#This Row],[jour]]&lt;&gt;TRUNC(Tabel3[[#This Row],[fin]]))</f>
        <v>1</v>
      </c>
      <c r="V540" s="82">
        <f ca="1">IF(Tabel3[[#This Row],[Type]]="j0",0,--(TRUNC(Tabel3[[#This Row],[debut]])-TRUNC(Tabel3[[#This Row],[fin precedent]])&lt;Tabel3[[#This Row],[delai]]))</f>
        <v>0</v>
      </c>
      <c r="X540"/>
      <c r="Y540" s="75"/>
    </row>
    <row r="541" spans="12:25" ht="18" customHeight="1" x14ac:dyDescent="0.2">
      <c r="L541" s="78" t="s">
        <v>104</v>
      </c>
      <c r="M541" s="78" t="s">
        <v>119</v>
      </c>
      <c r="N541" s="78" t="s">
        <v>41</v>
      </c>
      <c r="O541" s="84">
        <v>45955</v>
      </c>
      <c r="P541" s="78">
        <v>10.199999999999999</v>
      </c>
      <c r="Q541" s="78">
        <f>INDEX($C$1:$I$1,MATCH(Tabel3[[#This Row],[Type]],Devoirs[[#Headers],[J0]:[J60]],0))</f>
        <v>15</v>
      </c>
      <c r="R541" s="85" cm="1">
        <f t="array" aca="1" ref="R54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45918.341770833351</v>
      </c>
      <c r="S54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45962.443750000159</v>
      </c>
      <c r="T54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45962.450833333489</v>
      </c>
      <c r="U541" s="82">
        <f ca="1">--(Tabel3[[#This Row],[jour]]&lt;&gt;TRUNC(Tabel3[[#This Row],[fin]]))</f>
        <v>1</v>
      </c>
      <c r="V541" s="82">
        <f ca="1">IF(Tabel3[[#This Row],[Type]]="j0",0,--(TRUNC(Tabel3[[#This Row],[debut]])-TRUNC(Tabel3[[#This Row],[fin precedent]])&lt;Tabel3[[#This Row],[delai]]))</f>
        <v>0</v>
      </c>
      <c r="X541"/>
      <c r="Y541" s="75"/>
    </row>
    <row r="542" spans="12:25" ht="18" customHeight="1" x14ac:dyDescent="0.2">
      <c r="L542" s="78" t="s">
        <v>85</v>
      </c>
      <c r="M542" s="78" t="s">
        <v>87</v>
      </c>
      <c r="N542" s="78" t="s">
        <v>41</v>
      </c>
      <c r="O542" s="84">
        <v>45955</v>
      </c>
      <c r="P542" s="78">
        <v>10.799999999999999</v>
      </c>
      <c r="Q542" s="78">
        <f>INDEX($C$1:$I$1,MATCH(Tabel3[[#This Row],[Type]],Devoirs[[#Headers],[J0]:[J60]],0))</f>
        <v>15</v>
      </c>
      <c r="R542" s="85" cm="1">
        <f t="array" aca="1" ref="R54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45918.377083333347</v>
      </c>
      <c r="S54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45962.450833333489</v>
      </c>
      <c r="T54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45962.458333333489</v>
      </c>
      <c r="U542" s="82">
        <f ca="1">--(Tabel3[[#This Row],[jour]]&lt;&gt;TRUNC(Tabel3[[#This Row],[fin]]))</f>
        <v>1</v>
      </c>
      <c r="V542" s="82">
        <f ca="1">IF(Tabel3[[#This Row],[Type]]="j0",0,--(TRUNC(Tabel3[[#This Row],[debut]])-TRUNC(Tabel3[[#This Row],[fin precedent]])&lt;Tabel3[[#This Row],[delai]]))</f>
        <v>0</v>
      </c>
      <c r="X542"/>
      <c r="Y542" s="75"/>
    </row>
    <row r="543" spans="12:25" ht="18" customHeight="1" x14ac:dyDescent="0.2">
      <c r="L543" s="78" t="s">
        <v>85</v>
      </c>
      <c r="M543" s="78" t="s">
        <v>94</v>
      </c>
      <c r="N543" s="78" t="s">
        <v>41</v>
      </c>
      <c r="O543" s="84">
        <v>45955</v>
      </c>
      <c r="P543" s="78">
        <v>21</v>
      </c>
      <c r="Q543" s="78">
        <f>INDEX($C$1:$I$1,MATCH(Tabel3[[#This Row],[Type]],Devoirs[[#Headers],[J0]:[J60]],0))</f>
        <v>15</v>
      </c>
      <c r="R543" s="85" cm="1">
        <f t="array" aca="1" ref="R54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45918.377083333347</v>
      </c>
      <c r="S54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45962.458333333489</v>
      </c>
      <c r="T54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45962.472916666818</v>
      </c>
      <c r="U543" s="82">
        <f ca="1">--(Tabel3[[#This Row],[jour]]&lt;&gt;TRUNC(Tabel3[[#This Row],[fin]]))</f>
        <v>1</v>
      </c>
      <c r="V543" s="82">
        <f ca="1">IF(Tabel3[[#This Row],[Type]]="j0",0,--(TRUNC(Tabel3[[#This Row],[debut]])-TRUNC(Tabel3[[#This Row],[fin precedent]])&lt;Tabel3[[#This Row],[delai]]))</f>
        <v>0</v>
      </c>
      <c r="X543"/>
      <c r="Y543" s="75"/>
    </row>
    <row r="544" spans="12:25" ht="18" customHeight="1" x14ac:dyDescent="0.2">
      <c r="L544" s="78" t="s">
        <v>43</v>
      </c>
      <c r="M544" s="78" t="s">
        <v>46</v>
      </c>
      <c r="N544" s="78" t="s">
        <v>41</v>
      </c>
      <c r="O544" s="84">
        <v>45955</v>
      </c>
      <c r="P544" s="78">
        <v>22.8</v>
      </c>
      <c r="Q544" s="78">
        <f>INDEX($C$1:$I$1,MATCH(Tabel3[[#This Row],[Type]],Devoirs[[#Headers],[J0]:[J60]],0))</f>
        <v>15</v>
      </c>
      <c r="R544" s="85" cm="1">
        <f t="array" aca="1" ref="R54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45939.446701388937</v>
      </c>
      <c r="S54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45962.472916666818</v>
      </c>
      <c r="T54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45962.48875000015</v>
      </c>
      <c r="U544" s="82">
        <f ca="1">--(Tabel3[[#This Row],[jour]]&lt;&gt;TRUNC(Tabel3[[#This Row],[fin]]))</f>
        <v>1</v>
      </c>
      <c r="V544" s="82">
        <f ca="1">IF(Tabel3[[#This Row],[Type]]="j0",0,--(TRUNC(Tabel3[[#This Row],[debut]])-TRUNC(Tabel3[[#This Row],[fin precedent]])&lt;Tabel3[[#This Row],[delai]]))</f>
        <v>0</v>
      </c>
      <c r="X544"/>
      <c r="Y544" s="75"/>
    </row>
    <row r="545" spans="12:25" ht="18" customHeight="1" x14ac:dyDescent="0.2">
      <c r="L545" s="78" t="s">
        <v>125</v>
      </c>
      <c r="M545" s="78" t="s">
        <v>129</v>
      </c>
      <c r="N545" s="78" t="s">
        <v>41</v>
      </c>
      <c r="O545" s="84">
        <v>45955</v>
      </c>
      <c r="P545" s="78">
        <v>26.4</v>
      </c>
      <c r="Q545" s="78">
        <f>INDEX($C$1:$I$1,MATCH(Tabel3[[#This Row],[Type]],Devoirs[[#Headers],[J0]:[J60]],0))</f>
        <v>15</v>
      </c>
      <c r="R545" s="85" cm="1">
        <f t="array" aca="1" ref="R54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45927.504756944472</v>
      </c>
      <c r="S54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45962.48875000015</v>
      </c>
      <c r="T54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45962.507083333483</v>
      </c>
      <c r="U545" s="82">
        <f ca="1">--(Tabel3[[#This Row],[jour]]&lt;&gt;TRUNC(Tabel3[[#This Row],[fin]]))</f>
        <v>1</v>
      </c>
      <c r="V545" s="82">
        <f ca="1">IF(Tabel3[[#This Row],[Type]]="j0",0,--(TRUNC(Tabel3[[#This Row],[debut]])-TRUNC(Tabel3[[#This Row],[fin precedent]])&lt;Tabel3[[#This Row],[delai]]))</f>
        <v>0</v>
      </c>
      <c r="X545"/>
      <c r="Y545" s="75"/>
    </row>
    <row r="546" spans="12:25" ht="18" customHeight="1" x14ac:dyDescent="0.2">
      <c r="L546" s="78" t="s">
        <v>125</v>
      </c>
      <c r="M546" s="78" t="s">
        <v>132</v>
      </c>
      <c r="N546" s="78" t="s">
        <v>40</v>
      </c>
      <c r="O546" s="84">
        <v>45955</v>
      </c>
      <c r="P546" s="78">
        <v>36.450000000000003</v>
      </c>
      <c r="Q546" s="78">
        <f>INDEX($C$1:$I$1,MATCH(Tabel3[[#This Row],[Type]],Devoirs[[#Headers],[J0]:[J60]],0))</f>
        <v>5</v>
      </c>
      <c r="R546" s="85" cm="1">
        <f t="array" aca="1" ref="R54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45919.707187500011</v>
      </c>
      <c r="S54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45962.507083333483</v>
      </c>
      <c r="T54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45962.532395833485</v>
      </c>
      <c r="U546" s="82">
        <f ca="1">--(Tabel3[[#This Row],[jour]]&lt;&gt;TRUNC(Tabel3[[#This Row],[fin]]))</f>
        <v>1</v>
      </c>
      <c r="V546" s="82">
        <f ca="1">IF(Tabel3[[#This Row],[Type]]="j0",0,--(TRUNC(Tabel3[[#This Row],[debut]])-TRUNC(Tabel3[[#This Row],[fin precedent]])&lt;Tabel3[[#This Row],[delai]]))</f>
        <v>0</v>
      </c>
      <c r="X546"/>
      <c r="Y546" s="75"/>
    </row>
    <row r="547" spans="12:25" ht="18" customHeight="1" x14ac:dyDescent="0.2">
      <c r="L547" s="78" t="s">
        <v>135</v>
      </c>
      <c r="M547" s="78" t="s">
        <v>139</v>
      </c>
      <c r="N547" s="78" t="s">
        <v>40</v>
      </c>
      <c r="O547" s="84">
        <v>45955</v>
      </c>
      <c r="P547" s="78">
        <v>48.6</v>
      </c>
      <c r="Q547" s="78">
        <f>INDEX($C$1:$I$1,MATCH(Tabel3[[#This Row],[Type]],Devoirs[[#Headers],[J0]:[J60]],0))</f>
        <v>5</v>
      </c>
      <c r="R547" s="85" cm="1">
        <f t="array" aca="1" ref="R54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45911.693923611136</v>
      </c>
      <c r="S54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45962.532395833485</v>
      </c>
      <c r="T54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45962.566145833487</v>
      </c>
      <c r="U547" s="82">
        <f ca="1">--(Tabel3[[#This Row],[jour]]&lt;&gt;TRUNC(Tabel3[[#This Row],[fin]]))</f>
        <v>1</v>
      </c>
      <c r="V547" s="82">
        <f ca="1">IF(Tabel3[[#This Row],[Type]]="j0",0,--(TRUNC(Tabel3[[#This Row],[debut]])-TRUNC(Tabel3[[#This Row],[fin precedent]])&lt;Tabel3[[#This Row],[delai]]))</f>
        <v>0</v>
      </c>
      <c r="X547"/>
      <c r="Y547" s="75"/>
    </row>
    <row r="548" spans="12:25" ht="18" customHeight="1" x14ac:dyDescent="0.2">
      <c r="L548" s="78" t="s">
        <v>104</v>
      </c>
      <c r="M548" s="78" t="s">
        <v>122</v>
      </c>
      <c r="N548" s="78" t="s">
        <v>41</v>
      </c>
      <c r="O548" s="84">
        <v>45959</v>
      </c>
      <c r="P548" s="78">
        <v>23.7</v>
      </c>
      <c r="Q548" s="78">
        <f>INDEX($C$1:$I$1,MATCH(Tabel3[[#This Row],[Type]],Devoirs[[#Headers],[J0]:[J60]],0))</f>
        <v>15</v>
      </c>
      <c r="R548" s="85" cm="1">
        <f t="array" aca="1" ref="R54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45918.341770833351</v>
      </c>
      <c r="S54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45962.566145833487</v>
      </c>
      <c r="T54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45962.582604166819</v>
      </c>
      <c r="U548" s="82">
        <f ca="1">--(Tabel3[[#This Row],[jour]]&lt;&gt;TRUNC(Tabel3[[#This Row],[fin]]))</f>
        <v>1</v>
      </c>
      <c r="V548" s="82">
        <f ca="1">IF(Tabel3[[#This Row],[Type]]="j0",0,--(TRUNC(Tabel3[[#This Row],[debut]])-TRUNC(Tabel3[[#This Row],[fin precedent]])&lt;Tabel3[[#This Row],[delai]]))</f>
        <v>0</v>
      </c>
      <c r="X548"/>
      <c r="Y548" s="75"/>
    </row>
    <row r="549" spans="12:25" ht="18" customHeight="1" x14ac:dyDescent="0.2">
      <c r="L549" s="78" t="s">
        <v>74</v>
      </c>
      <c r="M549" s="78" t="s">
        <v>77</v>
      </c>
      <c r="N549" s="78" t="s">
        <v>41</v>
      </c>
      <c r="O549" s="84">
        <v>45959</v>
      </c>
      <c r="P549" s="78">
        <v>32.4</v>
      </c>
      <c r="Q549" s="78">
        <f>INDEX($C$1:$I$1,MATCH(Tabel3[[#This Row],[Type]],Devoirs[[#Headers],[J0]:[J60]],0))</f>
        <v>15</v>
      </c>
      <c r="R549" s="85" cm="1">
        <f t="array" aca="1" ref="R54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45930.603125000031</v>
      </c>
      <c r="S54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45962.582604166819</v>
      </c>
      <c r="T54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45962.605104166818</v>
      </c>
      <c r="U549" s="82">
        <f ca="1">--(Tabel3[[#This Row],[jour]]&lt;&gt;TRUNC(Tabel3[[#This Row],[fin]]))</f>
        <v>1</v>
      </c>
      <c r="V549" s="82">
        <f ca="1">IF(Tabel3[[#This Row],[Type]]="j0",0,--(TRUNC(Tabel3[[#This Row],[debut]])-TRUNC(Tabel3[[#This Row],[fin precedent]])&lt;Tabel3[[#This Row],[delai]]))</f>
        <v>0</v>
      </c>
      <c r="X549"/>
      <c r="Y549" s="75"/>
    </row>
    <row r="550" spans="12:25" ht="18" customHeight="1" x14ac:dyDescent="0.2">
      <c r="L550" s="78" t="s">
        <v>43</v>
      </c>
      <c r="M550" s="78" t="s">
        <v>47</v>
      </c>
      <c r="N550" s="78" t="s">
        <v>41</v>
      </c>
      <c r="O550" s="84">
        <v>45960</v>
      </c>
      <c r="P550" s="78">
        <v>17.7</v>
      </c>
      <c r="Q550" s="78">
        <f>INDEX($C$1:$I$1,MATCH(Tabel3[[#This Row],[Type]],Devoirs[[#Headers],[J0]:[J60]],0))</f>
        <v>15</v>
      </c>
      <c r="R550" s="85" cm="1">
        <f t="array" aca="1" ref="R55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45939.446701388937</v>
      </c>
      <c r="S55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45962.605104166818</v>
      </c>
      <c r="T55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45962.617395833484</v>
      </c>
      <c r="U550" s="82">
        <f ca="1">--(Tabel3[[#This Row],[jour]]&lt;&gt;TRUNC(Tabel3[[#This Row],[fin]]))</f>
        <v>1</v>
      </c>
      <c r="V550" s="82">
        <f ca="1">IF(Tabel3[[#This Row],[Type]]="j0",0,--(TRUNC(Tabel3[[#This Row],[debut]])-TRUNC(Tabel3[[#This Row],[fin precedent]])&lt;Tabel3[[#This Row],[delai]]))</f>
        <v>0</v>
      </c>
      <c r="X550"/>
      <c r="Y550" s="75"/>
    </row>
    <row r="551" spans="12:25" ht="18" customHeight="1" x14ac:dyDescent="0.2">
      <c r="L551" s="78" t="s">
        <v>74</v>
      </c>
      <c r="M551" s="78" t="s">
        <v>76</v>
      </c>
      <c r="N551" s="78" t="s">
        <v>41</v>
      </c>
      <c r="O551" s="84">
        <v>45960</v>
      </c>
      <c r="P551" s="78">
        <v>34.199999999999996</v>
      </c>
      <c r="Q551" s="78">
        <f>INDEX($C$1:$I$1,MATCH(Tabel3[[#This Row],[Type]],Devoirs[[#Headers],[J0]:[J60]],0))</f>
        <v>15</v>
      </c>
      <c r="R551" s="85" cm="1">
        <f t="array" aca="1" ref="R55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45930.603125000031</v>
      </c>
      <c r="S55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45962.617395833484</v>
      </c>
      <c r="T55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45962.641145833484</v>
      </c>
      <c r="U551" s="82">
        <f ca="1">--(Tabel3[[#This Row],[jour]]&lt;&gt;TRUNC(Tabel3[[#This Row],[fin]]))</f>
        <v>1</v>
      </c>
      <c r="V551" s="82">
        <f ca="1">IF(Tabel3[[#This Row],[Type]]="j0",0,--(TRUNC(Tabel3[[#This Row],[debut]])-TRUNC(Tabel3[[#This Row],[fin precedent]])&lt;Tabel3[[#This Row],[delai]]))</f>
        <v>0</v>
      </c>
      <c r="X551"/>
      <c r="Y551" s="75"/>
    </row>
    <row r="552" spans="12:25" ht="18" customHeight="1" x14ac:dyDescent="0.2">
      <c r="L552" s="78" t="s">
        <v>43</v>
      </c>
      <c r="M552" s="78" t="s">
        <v>49</v>
      </c>
      <c r="N552" s="78" t="s">
        <v>41</v>
      </c>
      <c r="O552" s="84">
        <v>45960</v>
      </c>
      <c r="P552" s="78">
        <v>35.4</v>
      </c>
      <c r="Q552" s="78">
        <f>INDEX($C$1:$I$1,MATCH(Tabel3[[#This Row],[Type]],Devoirs[[#Headers],[J0]:[J60]],0))</f>
        <v>15</v>
      </c>
      <c r="R552" s="85" cm="1">
        <f t="array" aca="1" ref="R55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45939.446701388937</v>
      </c>
      <c r="S55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45962.641145833484</v>
      </c>
      <c r="T55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45962.665729166816</v>
      </c>
      <c r="U552" s="82">
        <f ca="1">--(Tabel3[[#This Row],[jour]]&lt;&gt;TRUNC(Tabel3[[#This Row],[fin]]))</f>
        <v>1</v>
      </c>
      <c r="V552" s="82">
        <f ca="1">IF(Tabel3[[#This Row],[Type]]="j0",0,--(TRUNC(Tabel3[[#This Row],[debut]])-TRUNC(Tabel3[[#This Row],[fin precedent]])&lt;Tabel3[[#This Row],[delai]]))</f>
        <v>0</v>
      </c>
      <c r="X552"/>
      <c r="Y552" s="75"/>
    </row>
    <row r="553" spans="12:25" ht="18" customHeight="1" x14ac:dyDescent="0.2">
      <c r="L553" s="78" t="s">
        <v>135</v>
      </c>
      <c r="M553" s="78" t="s">
        <v>138</v>
      </c>
      <c r="N553" s="78" t="s">
        <v>42</v>
      </c>
      <c r="O553" s="84">
        <v>45961</v>
      </c>
      <c r="P553" s="78">
        <v>4.8</v>
      </c>
      <c r="Q553" s="78">
        <f>INDEX($C$1:$I$1,MATCH(Tabel3[[#This Row],[Type]],Devoirs[[#Headers],[J0]:[J60]],0))</f>
        <v>30</v>
      </c>
      <c r="R553" s="85" cm="1">
        <f t="array" aca="1" ref="R55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45940.432430555607</v>
      </c>
      <c r="S55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45962.665729166816</v>
      </c>
      <c r="T55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45962.66906250015</v>
      </c>
      <c r="U553" s="82">
        <f ca="1">--(Tabel3[[#This Row],[jour]]&lt;&gt;TRUNC(Tabel3[[#This Row],[fin]]))</f>
        <v>1</v>
      </c>
      <c r="V553" s="82">
        <f ca="1">IF(Tabel3[[#This Row],[Type]]="j0",0,--(TRUNC(Tabel3[[#This Row],[debut]])-TRUNC(Tabel3[[#This Row],[fin precedent]])&lt;Tabel3[[#This Row],[delai]]))</f>
        <v>1</v>
      </c>
      <c r="X553"/>
      <c r="Y553" s="75"/>
    </row>
    <row r="554" spans="12:25" ht="18" customHeight="1" x14ac:dyDescent="0.2">
      <c r="L554" s="78" t="s">
        <v>104</v>
      </c>
      <c r="M554" s="78" t="s">
        <v>124</v>
      </c>
      <c r="N554" s="78" t="s">
        <v>41</v>
      </c>
      <c r="O554" s="84">
        <v>45961</v>
      </c>
      <c r="P554" s="78">
        <v>15</v>
      </c>
      <c r="Q554" s="78">
        <f>INDEX($C$1:$I$1,MATCH(Tabel3[[#This Row],[Type]],Devoirs[[#Headers],[J0]:[J60]],0))</f>
        <v>15</v>
      </c>
      <c r="R554" s="85" cm="1">
        <f t="array" aca="1" ref="R55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45918.341770833351</v>
      </c>
      <c r="S55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45962.66906250015</v>
      </c>
      <c r="T55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45962.679479166814</v>
      </c>
      <c r="U554" s="82">
        <f ca="1">--(Tabel3[[#This Row],[jour]]&lt;&gt;TRUNC(Tabel3[[#This Row],[fin]]))</f>
        <v>1</v>
      </c>
      <c r="V554" s="82">
        <f ca="1">IF(Tabel3[[#This Row],[Type]]="j0",0,--(TRUNC(Tabel3[[#This Row],[debut]])-TRUNC(Tabel3[[#This Row],[fin precedent]])&lt;Tabel3[[#This Row],[delai]]))</f>
        <v>0</v>
      </c>
      <c r="X554"/>
      <c r="Y554" s="75"/>
    </row>
    <row r="555" spans="12:25" ht="18" customHeight="1" x14ac:dyDescent="0.2">
      <c r="L555" s="78" t="s">
        <v>51</v>
      </c>
      <c r="M555" s="78" t="s">
        <v>56</v>
      </c>
      <c r="N555" s="78" t="s">
        <v>41</v>
      </c>
      <c r="O555" s="84">
        <v>45961</v>
      </c>
      <c r="P555" s="78">
        <v>18</v>
      </c>
      <c r="Q555" s="78">
        <f>INDEX($C$1:$I$1,MATCH(Tabel3[[#This Row],[Type]],Devoirs[[#Headers],[J0]:[J60]],0))</f>
        <v>15</v>
      </c>
      <c r="R555" s="85" cm="1">
        <f t="array" aca="1" ref="R55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45917.705000000016</v>
      </c>
      <c r="S55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45962.679479166814</v>
      </c>
      <c r="T55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45962.691979166812</v>
      </c>
      <c r="U555" s="82">
        <f ca="1">--(Tabel3[[#This Row],[jour]]&lt;&gt;TRUNC(Tabel3[[#This Row],[fin]]))</f>
        <v>1</v>
      </c>
      <c r="V555" s="82">
        <f ca="1">IF(Tabel3[[#This Row],[Type]]="j0",0,--(TRUNC(Tabel3[[#This Row],[debut]])-TRUNC(Tabel3[[#This Row],[fin precedent]])&lt;Tabel3[[#This Row],[delai]]))</f>
        <v>0</v>
      </c>
      <c r="X555"/>
      <c r="Y555" s="75"/>
    </row>
    <row r="556" spans="12:25" ht="18" customHeight="1" x14ac:dyDescent="0.2">
      <c r="L556" s="78" t="s">
        <v>64</v>
      </c>
      <c r="M556" s="78" t="s">
        <v>73</v>
      </c>
      <c r="N556" s="78" t="s">
        <v>41</v>
      </c>
      <c r="O556" s="84">
        <v>45961</v>
      </c>
      <c r="P556" s="78">
        <v>26.7</v>
      </c>
      <c r="Q556" s="78">
        <f>INDEX($C$1:$I$1,MATCH(Tabel3[[#This Row],[Type]],Devoirs[[#Headers],[J0]:[J60]],0))</f>
        <v>15</v>
      </c>
      <c r="R556" s="85" cm="1">
        <f t="array" aca="1" ref="R55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45936.36413194448</v>
      </c>
      <c r="S55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45962.691979166812</v>
      </c>
      <c r="T55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45962.710520833476</v>
      </c>
      <c r="U556" s="82">
        <f ca="1">--(Tabel3[[#This Row],[jour]]&lt;&gt;TRUNC(Tabel3[[#This Row],[fin]]))</f>
        <v>1</v>
      </c>
      <c r="V556" s="82">
        <f ca="1">IF(Tabel3[[#This Row],[Type]]="j0",0,--(TRUNC(Tabel3[[#This Row],[debut]])-TRUNC(Tabel3[[#This Row],[fin precedent]])&lt;Tabel3[[#This Row],[delai]]))</f>
        <v>0</v>
      </c>
      <c r="X556"/>
      <c r="Y556" s="75"/>
    </row>
    <row r="557" spans="12:25" ht="18" customHeight="1" x14ac:dyDescent="0.2">
      <c r="L557" s="78" t="s">
        <v>104</v>
      </c>
      <c r="M557" s="78" t="s">
        <v>120</v>
      </c>
      <c r="N557" s="78" t="s">
        <v>41</v>
      </c>
      <c r="O557" s="84">
        <v>45961</v>
      </c>
      <c r="P557" s="78">
        <v>30.599999999999998</v>
      </c>
      <c r="Q557" s="78">
        <f>INDEX($C$1:$I$1,MATCH(Tabel3[[#This Row],[Type]],Devoirs[[#Headers],[J0]:[J60]],0))</f>
        <v>15</v>
      </c>
      <c r="R557" s="85" cm="1">
        <f t="array" aca="1" ref="R55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45918.341770833351</v>
      </c>
      <c r="S55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45962.710520833476</v>
      </c>
      <c r="T55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45962.731770833474</v>
      </c>
      <c r="U557" s="82">
        <f ca="1">--(Tabel3[[#This Row],[jour]]&lt;&gt;TRUNC(Tabel3[[#This Row],[fin]]))</f>
        <v>1</v>
      </c>
      <c r="V557" s="82">
        <f ca="1">IF(Tabel3[[#This Row],[Type]]="j0",0,--(TRUNC(Tabel3[[#This Row],[debut]])-TRUNC(Tabel3[[#This Row],[fin precedent]])&lt;Tabel3[[#This Row],[delai]]))</f>
        <v>0</v>
      </c>
      <c r="X557"/>
      <c r="Y557" s="75"/>
    </row>
    <row r="558" spans="12:25" ht="18" customHeight="1" x14ac:dyDescent="0.2">
      <c r="L558" s="78" t="s">
        <v>51</v>
      </c>
      <c r="M558" s="78" t="s">
        <v>55</v>
      </c>
      <c r="N558" s="78" t="s">
        <v>42</v>
      </c>
      <c r="O558" s="84">
        <v>45962</v>
      </c>
      <c r="P558" s="78">
        <v>7.6499999999999995</v>
      </c>
      <c r="Q558" s="78">
        <f>INDEX($C$1:$I$1,MATCH(Tabel3[[#This Row],[Type]],Devoirs[[#Headers],[J0]:[J60]],0))</f>
        <v>30</v>
      </c>
      <c r="R558" s="85" cm="1">
        <f t="array" aca="1" ref="R55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45941.426666666717</v>
      </c>
      <c r="S55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45962.731770833474</v>
      </c>
      <c r="T55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45962.737083333472</v>
      </c>
      <c r="U558" s="82">
        <f ca="1">--(Tabel3[[#This Row],[jour]]&lt;&gt;TRUNC(Tabel3[[#This Row],[fin]]))</f>
        <v>0</v>
      </c>
      <c r="V558" s="82">
        <f ca="1">IF(Tabel3[[#This Row],[Type]]="j0",0,--(TRUNC(Tabel3[[#This Row],[debut]])-TRUNC(Tabel3[[#This Row],[fin precedent]])&lt;Tabel3[[#This Row],[delai]]))</f>
        <v>1</v>
      </c>
      <c r="X558"/>
      <c r="Y558" s="75"/>
    </row>
    <row r="559" spans="12:25" ht="18" customHeight="1" x14ac:dyDescent="0.2">
      <c r="L559" s="78" t="s">
        <v>51</v>
      </c>
      <c r="M559" s="78" t="s">
        <v>62</v>
      </c>
      <c r="N559" s="78" t="s">
        <v>42</v>
      </c>
      <c r="O559" s="84">
        <v>45962</v>
      </c>
      <c r="P559" s="78">
        <v>11.85</v>
      </c>
      <c r="Q559" s="78">
        <f>INDEX($C$1:$I$1,MATCH(Tabel3[[#This Row],[Type]],Devoirs[[#Headers],[J0]:[J60]],0))</f>
        <v>30</v>
      </c>
      <c r="R559" s="85" cm="1">
        <f t="array" aca="1" ref="R55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45941.426666666717</v>
      </c>
      <c r="S55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45962.737083333472</v>
      </c>
      <c r="T55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45962.745312500141</v>
      </c>
      <c r="U559" s="82">
        <f ca="1">--(Tabel3[[#This Row],[jour]]&lt;&gt;TRUNC(Tabel3[[#This Row],[fin]]))</f>
        <v>0</v>
      </c>
      <c r="V559" s="82">
        <f ca="1">IF(Tabel3[[#This Row],[Type]]="j0",0,--(TRUNC(Tabel3[[#This Row],[debut]])-TRUNC(Tabel3[[#This Row],[fin precedent]])&lt;Tabel3[[#This Row],[delai]]))</f>
        <v>1</v>
      </c>
      <c r="X559"/>
      <c r="Y559" s="75"/>
    </row>
    <row r="560" spans="12:25" ht="18" customHeight="1" x14ac:dyDescent="0.2">
      <c r="L560" s="78" t="s">
        <v>104</v>
      </c>
      <c r="M560" s="78" t="s">
        <v>114</v>
      </c>
      <c r="N560" s="78" t="s">
        <v>42</v>
      </c>
      <c r="O560" s="84">
        <v>45962</v>
      </c>
      <c r="P560" s="78">
        <v>13.799999999999999</v>
      </c>
      <c r="Q560" s="78">
        <f>INDEX($C$1:$I$1,MATCH(Tabel3[[#This Row],[Type]],Devoirs[[#Headers],[J0]:[J60]],0))</f>
        <v>30</v>
      </c>
      <c r="R560" s="85" cm="1">
        <f t="array" aca="1" ref="R56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45941.462291666714</v>
      </c>
      <c r="S56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45962.745312500141</v>
      </c>
      <c r="T56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45964.338229166809</v>
      </c>
      <c r="U560" s="82">
        <f ca="1">--(Tabel3[[#This Row],[jour]]&lt;&gt;TRUNC(Tabel3[[#This Row],[fin]]))</f>
        <v>1</v>
      </c>
      <c r="V560" s="82">
        <f ca="1">IF(Tabel3[[#This Row],[Type]]="j0",0,--(TRUNC(Tabel3[[#This Row],[debut]])-TRUNC(Tabel3[[#This Row],[fin precedent]])&lt;Tabel3[[#This Row],[delai]]))</f>
        <v>1</v>
      </c>
      <c r="X560"/>
      <c r="Y560" s="75"/>
    </row>
    <row r="561" spans="12:25" ht="18" customHeight="1" x14ac:dyDescent="0.2">
      <c r="L561" s="78" t="s">
        <v>85</v>
      </c>
      <c r="M561" s="78" t="s">
        <v>88</v>
      </c>
      <c r="N561" s="78" t="s">
        <v>42</v>
      </c>
      <c r="O561" s="84">
        <v>45962</v>
      </c>
      <c r="P561" s="78">
        <v>16.95</v>
      </c>
      <c r="Q561" s="78">
        <f>INDEX($C$1:$I$1,MATCH(Tabel3[[#This Row],[Type]],Devoirs[[#Headers],[J0]:[J60]],0))</f>
        <v>30</v>
      </c>
      <c r="R561" s="85" cm="1">
        <f t="array" aca="1" ref="R56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45941.485833333383</v>
      </c>
      <c r="S56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45964.338229166809</v>
      </c>
      <c r="T56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45964.350000000144</v>
      </c>
      <c r="U561" s="82">
        <f ca="1">--(Tabel3[[#This Row],[jour]]&lt;&gt;TRUNC(Tabel3[[#This Row],[fin]]))</f>
        <v>1</v>
      </c>
      <c r="V561" s="82">
        <f ca="1">IF(Tabel3[[#This Row],[Type]]="j0",0,--(TRUNC(Tabel3[[#This Row],[debut]])-TRUNC(Tabel3[[#This Row],[fin precedent]])&lt;Tabel3[[#This Row],[delai]]))</f>
        <v>1</v>
      </c>
      <c r="X561"/>
      <c r="Y561" s="75"/>
    </row>
    <row r="562" spans="12:25" ht="18" customHeight="1" x14ac:dyDescent="0.2">
      <c r="L562" s="78" t="s">
        <v>104</v>
      </c>
      <c r="M562" s="78" t="s">
        <v>123</v>
      </c>
      <c r="N562" s="78" t="s">
        <v>41</v>
      </c>
      <c r="O562" s="84">
        <v>45962</v>
      </c>
      <c r="P562" s="78">
        <v>22.8</v>
      </c>
      <c r="Q562" s="78">
        <f>INDEX($C$1:$I$1,MATCH(Tabel3[[#This Row],[Type]],Devoirs[[#Headers],[J0]:[J60]],0))</f>
        <v>15</v>
      </c>
      <c r="R562" s="85" cm="1">
        <f t="array" aca="1" ref="R56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45918.341770833351</v>
      </c>
      <c r="S56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45964.350000000144</v>
      </c>
      <c r="T56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45964.365833333475</v>
      </c>
      <c r="U562" s="82">
        <f ca="1">--(Tabel3[[#This Row],[jour]]&lt;&gt;TRUNC(Tabel3[[#This Row],[fin]]))</f>
        <v>1</v>
      </c>
      <c r="V562" s="82">
        <f ca="1">IF(Tabel3[[#This Row],[Type]]="j0",0,--(TRUNC(Tabel3[[#This Row],[debut]])-TRUNC(Tabel3[[#This Row],[fin precedent]])&lt;Tabel3[[#This Row],[delai]]))</f>
        <v>0</v>
      </c>
      <c r="X562"/>
      <c r="Y562" s="75"/>
    </row>
    <row r="563" spans="12:25" ht="18" customHeight="1" x14ac:dyDescent="0.2">
      <c r="L563" s="78" t="s">
        <v>43</v>
      </c>
      <c r="M563" s="78" t="s">
        <v>50</v>
      </c>
      <c r="N563" s="78" t="s">
        <v>41</v>
      </c>
      <c r="O563" s="84">
        <v>45962</v>
      </c>
      <c r="P563" s="78">
        <v>35.699999999999996</v>
      </c>
      <c r="Q563" s="78">
        <f>INDEX($C$1:$I$1,MATCH(Tabel3[[#This Row],[Type]],Devoirs[[#Headers],[J0]:[J60]],0))</f>
        <v>15</v>
      </c>
      <c r="R563" s="85" cm="1">
        <f t="array" aca="1" ref="R56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45939.446701388937</v>
      </c>
      <c r="S56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45964.365833333475</v>
      </c>
      <c r="T56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45964.390625000138</v>
      </c>
      <c r="U563" s="82">
        <f ca="1">--(Tabel3[[#This Row],[jour]]&lt;&gt;TRUNC(Tabel3[[#This Row],[fin]]))</f>
        <v>1</v>
      </c>
      <c r="V563" s="82">
        <f ca="1">IF(Tabel3[[#This Row],[Type]]="j0",0,--(TRUNC(Tabel3[[#This Row],[debut]])-TRUNC(Tabel3[[#This Row],[fin precedent]])&lt;Tabel3[[#This Row],[delai]]))</f>
        <v>0</v>
      </c>
      <c r="X563"/>
      <c r="Y563" s="75"/>
    </row>
    <row r="564" spans="12:25" ht="18" customHeight="1" x14ac:dyDescent="0.2">
      <c r="L564" s="78" t="s">
        <v>85</v>
      </c>
      <c r="M564" s="78" t="s">
        <v>89</v>
      </c>
      <c r="N564" s="78" t="s">
        <v>42</v>
      </c>
      <c r="O564" s="84">
        <v>45963</v>
      </c>
      <c r="P564" s="78">
        <v>9.9</v>
      </c>
      <c r="Q564" s="78">
        <f>INDEX($C$1:$I$1,MATCH(Tabel3[[#This Row],[Type]],Devoirs[[#Headers],[J0]:[J60]],0))</f>
        <v>30</v>
      </c>
      <c r="R564" s="85" cm="1">
        <f t="array" aca="1" ref="R56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45941.485833333383</v>
      </c>
      <c r="S56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45964.390625000138</v>
      </c>
      <c r="T56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45964.397500000137</v>
      </c>
      <c r="U564" s="82">
        <f ca="1">--(Tabel3[[#This Row],[jour]]&lt;&gt;TRUNC(Tabel3[[#This Row],[fin]]))</f>
        <v>1</v>
      </c>
      <c r="V564" s="82">
        <f ca="1">IF(Tabel3[[#This Row],[Type]]="j0",0,--(TRUNC(Tabel3[[#This Row],[debut]])-TRUNC(Tabel3[[#This Row],[fin precedent]])&lt;Tabel3[[#This Row],[delai]]))</f>
        <v>1</v>
      </c>
      <c r="X564"/>
      <c r="Y564" s="75"/>
    </row>
    <row r="565" spans="12:25" ht="18" customHeight="1" x14ac:dyDescent="0.2">
      <c r="L565" s="78" t="s">
        <v>85</v>
      </c>
      <c r="M565" s="78" t="s">
        <v>90</v>
      </c>
      <c r="N565" s="78" t="s">
        <v>42</v>
      </c>
      <c r="O565" s="84">
        <v>45963</v>
      </c>
      <c r="P565" s="78">
        <v>15</v>
      </c>
      <c r="Q565" s="78">
        <f>INDEX($C$1:$I$1,MATCH(Tabel3[[#This Row],[Type]],Devoirs[[#Headers],[J0]:[J60]],0))</f>
        <v>30</v>
      </c>
      <c r="R565" s="85" cm="1">
        <f t="array" aca="1" ref="R56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45941.485833333383</v>
      </c>
      <c r="S56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45964.397500000137</v>
      </c>
      <c r="T56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45964.407916666802</v>
      </c>
      <c r="U565" s="82">
        <f ca="1">--(Tabel3[[#This Row],[jour]]&lt;&gt;TRUNC(Tabel3[[#This Row],[fin]]))</f>
        <v>1</v>
      </c>
      <c r="V565" s="82">
        <f ca="1">IF(Tabel3[[#This Row],[Type]]="j0",0,--(TRUNC(Tabel3[[#This Row],[debut]])-TRUNC(Tabel3[[#This Row],[fin precedent]])&lt;Tabel3[[#This Row],[delai]]))</f>
        <v>1</v>
      </c>
      <c r="X565"/>
      <c r="Y565" s="75"/>
    </row>
    <row r="566" spans="12:25" ht="18" customHeight="1" x14ac:dyDescent="0.2">
      <c r="L566" s="78" t="s">
        <v>104</v>
      </c>
      <c r="M566" s="78" t="s">
        <v>107</v>
      </c>
      <c r="N566" s="78" t="s">
        <v>42</v>
      </c>
      <c r="O566" s="84">
        <v>45963</v>
      </c>
      <c r="P566" s="78">
        <v>15.75</v>
      </c>
      <c r="Q566" s="78">
        <f>INDEX($C$1:$I$1,MATCH(Tabel3[[#This Row],[Type]],Devoirs[[#Headers],[J0]:[J60]],0))</f>
        <v>30</v>
      </c>
      <c r="R566" s="85" cm="1">
        <f t="array" aca="1" ref="R56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45941.462291666714</v>
      </c>
      <c r="S56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45964.407916666802</v>
      </c>
      <c r="T56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45964.418854166805</v>
      </c>
      <c r="U566" s="82">
        <f ca="1">--(Tabel3[[#This Row],[jour]]&lt;&gt;TRUNC(Tabel3[[#This Row],[fin]]))</f>
        <v>1</v>
      </c>
      <c r="V566" s="82">
        <f ca="1">IF(Tabel3[[#This Row],[Type]]="j0",0,--(TRUNC(Tabel3[[#This Row],[debut]])-TRUNC(Tabel3[[#This Row],[fin precedent]])&lt;Tabel3[[#This Row],[delai]]))</f>
        <v>1</v>
      </c>
      <c r="X566"/>
      <c r="Y566" s="75"/>
    </row>
    <row r="567" spans="12:25" ht="18" customHeight="1" x14ac:dyDescent="0.2">
      <c r="L567" s="78" t="s">
        <v>51</v>
      </c>
      <c r="M567" s="78" t="s">
        <v>53</v>
      </c>
      <c r="N567" s="78" t="s">
        <v>41</v>
      </c>
      <c r="O567" s="84">
        <v>45963</v>
      </c>
      <c r="P567" s="78">
        <v>18.599999999999998</v>
      </c>
      <c r="Q567" s="78">
        <f>INDEX($C$1:$I$1,MATCH(Tabel3[[#This Row],[Type]],Devoirs[[#Headers],[J0]:[J60]],0))</f>
        <v>15</v>
      </c>
      <c r="R567" s="85" cm="1">
        <f t="array" aca="1" ref="R56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45917.705000000016</v>
      </c>
      <c r="S56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45964.418854166805</v>
      </c>
      <c r="T56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45964.431770833471</v>
      </c>
      <c r="U567" s="82">
        <f ca="1">--(Tabel3[[#This Row],[jour]]&lt;&gt;TRUNC(Tabel3[[#This Row],[fin]]))</f>
        <v>1</v>
      </c>
      <c r="V567" s="82">
        <f ca="1">IF(Tabel3[[#This Row],[Type]]="j0",0,--(TRUNC(Tabel3[[#This Row],[debut]])-TRUNC(Tabel3[[#This Row],[fin precedent]])&lt;Tabel3[[#This Row],[delai]]))</f>
        <v>0</v>
      </c>
      <c r="X567"/>
      <c r="Y567" s="75"/>
    </row>
    <row r="568" spans="12:25" ht="18" customHeight="1" x14ac:dyDescent="0.2">
      <c r="L568" s="78" t="s">
        <v>104</v>
      </c>
      <c r="M568" s="78" t="s">
        <v>111</v>
      </c>
      <c r="N568" s="78" t="s">
        <v>41</v>
      </c>
      <c r="O568" s="84">
        <v>45963</v>
      </c>
      <c r="P568" s="78">
        <v>18.599999999999998</v>
      </c>
      <c r="Q568" s="78">
        <f>INDEX($C$1:$I$1,MATCH(Tabel3[[#This Row],[Type]],Devoirs[[#Headers],[J0]:[J60]],0))</f>
        <v>15</v>
      </c>
      <c r="R568" s="85" cm="1">
        <f t="array" aca="1" ref="R56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45918.341770833351</v>
      </c>
      <c r="S56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45964.431770833471</v>
      </c>
      <c r="T56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45964.444687500138</v>
      </c>
      <c r="U568" s="82">
        <f ca="1">--(Tabel3[[#This Row],[jour]]&lt;&gt;TRUNC(Tabel3[[#This Row],[fin]]))</f>
        <v>1</v>
      </c>
      <c r="V568" s="82">
        <f ca="1">IF(Tabel3[[#This Row],[Type]]="j0",0,--(TRUNC(Tabel3[[#This Row],[debut]])-TRUNC(Tabel3[[#This Row],[fin precedent]])&lt;Tabel3[[#This Row],[delai]]))</f>
        <v>0</v>
      </c>
      <c r="X568"/>
      <c r="Y568" s="75"/>
    </row>
    <row r="569" spans="12:25" ht="18" customHeight="1" x14ac:dyDescent="0.2">
      <c r="L569" s="78" t="s">
        <v>74</v>
      </c>
      <c r="M569" s="78" t="s">
        <v>81</v>
      </c>
      <c r="N569" s="78" t="s">
        <v>41</v>
      </c>
      <c r="O569" s="84">
        <v>45963</v>
      </c>
      <c r="P569" s="78">
        <v>31.799999999999997</v>
      </c>
      <c r="Q569" s="78">
        <f>INDEX($C$1:$I$1,MATCH(Tabel3[[#This Row],[Type]],Devoirs[[#Headers],[J0]:[J60]],0))</f>
        <v>15</v>
      </c>
      <c r="R569" s="85" cm="1">
        <f t="array" aca="1" ref="R56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45930.603125000031</v>
      </c>
      <c r="S56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45964.444687500138</v>
      </c>
      <c r="T56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45964.466770833475</v>
      </c>
      <c r="U569" s="82">
        <f ca="1">--(Tabel3[[#This Row],[jour]]&lt;&gt;TRUNC(Tabel3[[#This Row],[fin]]))</f>
        <v>1</v>
      </c>
      <c r="V569" s="82">
        <f ca="1">IF(Tabel3[[#This Row],[Type]]="j0",0,--(TRUNC(Tabel3[[#This Row],[debut]])-TRUNC(Tabel3[[#This Row],[fin precedent]])&lt;Tabel3[[#This Row],[delai]]))</f>
        <v>0</v>
      </c>
      <c r="X569"/>
      <c r="Y569" s="75"/>
    </row>
    <row r="570" spans="12:25" ht="18" customHeight="1" x14ac:dyDescent="0.2">
      <c r="L570" s="78" t="s">
        <v>135</v>
      </c>
      <c r="M570" s="78" t="s">
        <v>141</v>
      </c>
      <c r="N570" s="78" t="s">
        <v>42</v>
      </c>
      <c r="O570" s="84">
        <v>45965</v>
      </c>
      <c r="P570" s="78">
        <v>9.4499999999999993</v>
      </c>
      <c r="Q570" s="78">
        <f>INDEX($C$1:$I$1,MATCH(Tabel3[[#This Row],[Type]],Devoirs[[#Headers],[J0]:[J60]],0))</f>
        <v>30</v>
      </c>
      <c r="R570" s="85" cm="1">
        <f t="array" aca="1" ref="R57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45940.432430555607</v>
      </c>
      <c r="S57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45965.333333333336</v>
      </c>
      <c r="T57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45965.339895833335</v>
      </c>
      <c r="U570" s="82">
        <f ca="1">--(Tabel3[[#This Row],[jour]]&lt;&gt;TRUNC(Tabel3[[#This Row],[fin]]))</f>
        <v>0</v>
      </c>
      <c r="V570" s="82">
        <f ca="1">IF(Tabel3[[#This Row],[Type]]="j0",0,--(TRUNC(Tabel3[[#This Row],[debut]])-TRUNC(Tabel3[[#This Row],[fin precedent]])&lt;Tabel3[[#This Row],[delai]]))</f>
        <v>1</v>
      </c>
      <c r="X570"/>
      <c r="Y570" s="75"/>
    </row>
    <row r="571" spans="12:25" ht="18" customHeight="1" x14ac:dyDescent="0.2">
      <c r="L571" s="78" t="s">
        <v>51</v>
      </c>
      <c r="M571" s="78" t="s">
        <v>63</v>
      </c>
      <c r="N571" s="78" t="s">
        <v>41</v>
      </c>
      <c r="O571" s="84">
        <v>45966</v>
      </c>
      <c r="P571" s="78">
        <v>21.3</v>
      </c>
      <c r="Q571" s="78">
        <f>INDEX($C$1:$I$1,MATCH(Tabel3[[#This Row],[Type]],Devoirs[[#Headers],[J0]:[J60]],0))</f>
        <v>15</v>
      </c>
      <c r="R571" s="85" cm="1">
        <f t="array" aca="1" ref="R57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45917.705000000016</v>
      </c>
      <c r="S57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45966.333333333336</v>
      </c>
      <c r="T57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45966.348125000004</v>
      </c>
      <c r="U571" s="82">
        <f ca="1">--(Tabel3[[#This Row],[jour]]&lt;&gt;TRUNC(Tabel3[[#This Row],[fin]]))</f>
        <v>0</v>
      </c>
      <c r="V571" s="82">
        <f ca="1">IF(Tabel3[[#This Row],[Type]]="j0",0,--(TRUNC(Tabel3[[#This Row],[debut]])-TRUNC(Tabel3[[#This Row],[fin precedent]])&lt;Tabel3[[#This Row],[delai]]))</f>
        <v>0</v>
      </c>
      <c r="X571"/>
      <c r="Y571" s="75"/>
    </row>
    <row r="572" spans="12:25" ht="18" customHeight="1" x14ac:dyDescent="0.2">
      <c r="L572" s="78" t="s">
        <v>85</v>
      </c>
      <c r="M572" s="78" t="s">
        <v>91</v>
      </c>
      <c r="N572" s="78" t="s">
        <v>41</v>
      </c>
      <c r="O572" s="84">
        <v>45966</v>
      </c>
      <c r="P572" s="78">
        <v>21.3</v>
      </c>
      <c r="Q572" s="78">
        <f>INDEX($C$1:$I$1,MATCH(Tabel3[[#This Row],[Type]],Devoirs[[#Headers],[J0]:[J60]],0))</f>
        <v>15</v>
      </c>
      <c r="R572" s="85" cm="1">
        <f t="array" aca="1" ref="R57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45918.377083333347</v>
      </c>
      <c r="S57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45966.348125000004</v>
      </c>
      <c r="T57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45966.362916666672</v>
      </c>
      <c r="U572" s="82">
        <f ca="1">--(Tabel3[[#This Row],[jour]]&lt;&gt;TRUNC(Tabel3[[#This Row],[fin]]))</f>
        <v>0</v>
      </c>
      <c r="V572" s="82">
        <f ca="1">IF(Tabel3[[#This Row],[Type]]="j0",0,--(TRUNC(Tabel3[[#This Row],[debut]])-TRUNC(Tabel3[[#This Row],[fin precedent]])&lt;Tabel3[[#This Row],[delai]]))</f>
        <v>0</v>
      </c>
      <c r="X572"/>
      <c r="Y572" s="75"/>
    </row>
    <row r="573" spans="12:25" ht="18" customHeight="1" x14ac:dyDescent="0.2">
      <c r="L573" s="78" t="s">
        <v>95</v>
      </c>
      <c r="M573" s="78" t="s">
        <v>103</v>
      </c>
      <c r="N573" s="78" t="s">
        <v>41</v>
      </c>
      <c r="O573" s="84">
        <v>45967</v>
      </c>
      <c r="P573" s="78">
        <v>10.799999999999999</v>
      </c>
      <c r="Q573" s="78">
        <f>INDEX($C$1:$I$1,MATCH(Tabel3[[#This Row],[Type]],Devoirs[[#Headers],[J0]:[J60]],0))</f>
        <v>15</v>
      </c>
      <c r="R573" s="85" cm="1">
        <f t="array" aca="1" ref="R57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45934.724861111143</v>
      </c>
      <c r="S57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45967.333333333336</v>
      </c>
      <c r="T57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45967.340833333335</v>
      </c>
      <c r="U573" s="82">
        <f ca="1">--(Tabel3[[#This Row],[jour]]&lt;&gt;TRUNC(Tabel3[[#This Row],[fin]]))</f>
        <v>0</v>
      </c>
      <c r="V573" s="82">
        <f ca="1">IF(Tabel3[[#This Row],[Type]]="j0",0,--(TRUNC(Tabel3[[#This Row],[debut]])-TRUNC(Tabel3[[#This Row],[fin precedent]])&lt;Tabel3[[#This Row],[delai]]))</f>
        <v>0</v>
      </c>
      <c r="X573"/>
      <c r="Y573" s="75"/>
    </row>
    <row r="574" spans="12:25" ht="18" customHeight="1" x14ac:dyDescent="0.2">
      <c r="L574" s="78" t="s">
        <v>125</v>
      </c>
      <c r="M574" s="78" t="s">
        <v>126</v>
      </c>
      <c r="N574" s="78" t="s">
        <v>41</v>
      </c>
      <c r="O574" s="84">
        <v>45967</v>
      </c>
      <c r="P574" s="78">
        <v>19.8</v>
      </c>
      <c r="Q574" s="78">
        <f>INDEX($C$1:$I$1,MATCH(Tabel3[[#This Row],[Type]],Devoirs[[#Headers],[J0]:[J60]],0))</f>
        <v>15</v>
      </c>
      <c r="R574" s="85" cm="1">
        <f t="array" aca="1" ref="R57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45927.504756944472</v>
      </c>
      <c r="S57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45967.340833333335</v>
      </c>
      <c r="T57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45967.354583333334</v>
      </c>
      <c r="U574" s="82">
        <f ca="1">--(Tabel3[[#This Row],[jour]]&lt;&gt;TRUNC(Tabel3[[#This Row],[fin]]))</f>
        <v>0</v>
      </c>
      <c r="V574" s="82">
        <f ca="1">IF(Tabel3[[#This Row],[Type]]="j0",0,--(TRUNC(Tabel3[[#This Row],[debut]])-TRUNC(Tabel3[[#This Row],[fin precedent]])&lt;Tabel3[[#This Row],[delai]]))</f>
        <v>0</v>
      </c>
      <c r="X574"/>
      <c r="Y574" s="75"/>
    </row>
    <row r="575" spans="12:25" ht="18" customHeight="1" x14ac:dyDescent="0.2">
      <c r="L575" s="78" t="s">
        <v>64</v>
      </c>
      <c r="M575" s="78" t="s">
        <v>70</v>
      </c>
      <c r="N575" s="78" t="s">
        <v>41</v>
      </c>
      <c r="O575" s="84">
        <v>45967</v>
      </c>
      <c r="P575" s="78">
        <v>25.2</v>
      </c>
      <c r="Q575" s="78">
        <f>INDEX($C$1:$I$1,MATCH(Tabel3[[#This Row],[Type]],Devoirs[[#Headers],[J0]:[J60]],0))</f>
        <v>15</v>
      </c>
      <c r="R575" s="85" cm="1">
        <f t="array" aca="1" ref="R57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45936.36413194448</v>
      </c>
      <c r="S57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45967.354583333334</v>
      </c>
      <c r="T57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45967.372083333335</v>
      </c>
      <c r="U575" s="82">
        <f ca="1">--(Tabel3[[#This Row],[jour]]&lt;&gt;TRUNC(Tabel3[[#This Row],[fin]]))</f>
        <v>0</v>
      </c>
      <c r="V575" s="82">
        <f ca="1">IF(Tabel3[[#This Row],[Type]]="j0",0,--(TRUNC(Tabel3[[#This Row],[debut]])-TRUNC(Tabel3[[#This Row],[fin precedent]])&lt;Tabel3[[#This Row],[delai]]))</f>
        <v>0</v>
      </c>
      <c r="X575"/>
      <c r="Y575" s="75"/>
    </row>
    <row r="576" spans="12:25" ht="18" customHeight="1" x14ac:dyDescent="0.2">
      <c r="L576" s="78" t="s">
        <v>64</v>
      </c>
      <c r="M576" s="78" t="s">
        <v>71</v>
      </c>
      <c r="N576" s="78" t="s">
        <v>41</v>
      </c>
      <c r="O576" s="84">
        <v>45967</v>
      </c>
      <c r="P576" s="78">
        <v>30.299999999999997</v>
      </c>
      <c r="Q576" s="78">
        <f>INDEX($C$1:$I$1,MATCH(Tabel3[[#This Row],[Type]],Devoirs[[#Headers],[J0]:[J60]],0))</f>
        <v>15</v>
      </c>
      <c r="R576" s="85" cm="1">
        <f t="array" aca="1" ref="R57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45936.36413194448</v>
      </c>
      <c r="S57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45967.372083333335</v>
      </c>
      <c r="T57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45967.393125000002</v>
      </c>
      <c r="U576" s="82">
        <f ca="1">--(Tabel3[[#This Row],[jour]]&lt;&gt;TRUNC(Tabel3[[#This Row],[fin]]))</f>
        <v>0</v>
      </c>
      <c r="V576" s="82">
        <f ca="1">IF(Tabel3[[#This Row],[Type]]="j0",0,--(TRUNC(Tabel3[[#This Row],[debut]])-TRUNC(Tabel3[[#This Row],[fin precedent]])&lt;Tabel3[[#This Row],[delai]]))</f>
        <v>0</v>
      </c>
      <c r="X576"/>
      <c r="Y576" s="75"/>
    </row>
    <row r="577" spans="12:25" ht="18" customHeight="1" x14ac:dyDescent="0.2">
      <c r="L577" s="78" t="s">
        <v>64</v>
      </c>
      <c r="M577" s="78" t="s">
        <v>65</v>
      </c>
      <c r="N577" s="78" t="s">
        <v>41</v>
      </c>
      <c r="O577" s="84">
        <v>45967</v>
      </c>
      <c r="P577" s="78">
        <v>32.699999999999996</v>
      </c>
      <c r="Q577" s="78">
        <f>INDEX($C$1:$I$1,MATCH(Tabel3[[#This Row],[Type]],Devoirs[[#Headers],[J0]:[J60]],0))</f>
        <v>15</v>
      </c>
      <c r="R577" s="85" cm="1">
        <f t="array" aca="1" ref="R57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45936.36413194448</v>
      </c>
      <c r="S57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45967.393125000002</v>
      </c>
      <c r="T57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45967.415833333333</v>
      </c>
      <c r="U577" s="82">
        <f ca="1">--(Tabel3[[#This Row],[jour]]&lt;&gt;TRUNC(Tabel3[[#This Row],[fin]]))</f>
        <v>0</v>
      </c>
      <c r="V577" s="82">
        <f ca="1">IF(Tabel3[[#This Row],[Type]]="j0",0,--(TRUNC(Tabel3[[#This Row],[debut]])-TRUNC(Tabel3[[#This Row],[fin precedent]])&lt;Tabel3[[#This Row],[delai]]))</f>
        <v>0</v>
      </c>
      <c r="X577"/>
      <c r="Y577" s="75"/>
    </row>
    <row r="578" spans="12:25" ht="18" customHeight="1" x14ac:dyDescent="0.2">
      <c r="L578" s="78" t="s">
        <v>135</v>
      </c>
      <c r="M578" s="78" t="s">
        <v>140</v>
      </c>
      <c r="N578" s="78" t="s">
        <v>42</v>
      </c>
      <c r="O578" s="84">
        <v>45968</v>
      </c>
      <c r="P578" s="78">
        <v>10.35</v>
      </c>
      <c r="Q578" s="78">
        <f>INDEX($C$1:$I$1,MATCH(Tabel3[[#This Row],[Type]],Devoirs[[#Headers],[J0]:[J60]],0))</f>
        <v>30</v>
      </c>
      <c r="R578" s="85" cm="1">
        <f t="array" aca="1" ref="R57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45940.432430555607</v>
      </c>
      <c r="S57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45968.333333333336</v>
      </c>
      <c r="T57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45968.340520833335</v>
      </c>
      <c r="U578" s="82">
        <f ca="1">--(Tabel3[[#This Row],[jour]]&lt;&gt;TRUNC(Tabel3[[#This Row],[fin]]))</f>
        <v>0</v>
      </c>
      <c r="V578" s="82">
        <f ca="1">IF(Tabel3[[#This Row],[Type]]="j0",0,--(TRUNC(Tabel3[[#This Row],[debut]])-TRUNC(Tabel3[[#This Row],[fin precedent]])&lt;Tabel3[[#This Row],[delai]]))</f>
        <v>1</v>
      </c>
      <c r="X578"/>
      <c r="Y578" s="75"/>
    </row>
    <row r="579" spans="12:25" ht="18" customHeight="1" x14ac:dyDescent="0.2">
      <c r="L579" s="78" t="s">
        <v>125</v>
      </c>
      <c r="M579" s="78" t="s">
        <v>133</v>
      </c>
      <c r="N579" s="78" t="s">
        <v>42</v>
      </c>
      <c r="O579" s="84">
        <v>45968</v>
      </c>
      <c r="P579" s="78">
        <v>11.7</v>
      </c>
      <c r="Q579" s="78">
        <f>INDEX($C$1:$I$1,MATCH(Tabel3[[#This Row],[Type]],Devoirs[[#Headers],[J0]:[J60]],0))</f>
        <v>30</v>
      </c>
      <c r="R579" s="85" cm="1">
        <f t="array" aca="1" ref="R57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45950.596666666752</v>
      </c>
      <c r="S57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45968.340520833335</v>
      </c>
      <c r="T57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45968.348645833335</v>
      </c>
      <c r="U579" s="82">
        <f ca="1">--(Tabel3[[#This Row],[jour]]&lt;&gt;TRUNC(Tabel3[[#This Row],[fin]]))</f>
        <v>0</v>
      </c>
      <c r="V579" s="82">
        <f ca="1">IF(Tabel3[[#This Row],[Type]]="j0",0,--(TRUNC(Tabel3[[#This Row],[debut]])-TRUNC(Tabel3[[#This Row],[fin precedent]])&lt;Tabel3[[#This Row],[delai]]))</f>
        <v>1</v>
      </c>
      <c r="X579"/>
      <c r="Y579" s="75"/>
    </row>
    <row r="580" spans="12:25" ht="18" customHeight="1" x14ac:dyDescent="0.2">
      <c r="L580" s="78" t="s">
        <v>135</v>
      </c>
      <c r="M580" s="78" t="s">
        <v>159</v>
      </c>
      <c r="N580" s="78" t="s">
        <v>42</v>
      </c>
      <c r="O580" s="84">
        <v>45968</v>
      </c>
      <c r="P580" s="78">
        <v>12.45</v>
      </c>
      <c r="Q580" s="78">
        <f>INDEX($C$1:$I$1,MATCH(Tabel3[[#This Row],[Type]],Devoirs[[#Headers],[J0]:[J60]],0))</f>
        <v>30</v>
      </c>
      <c r="R580" s="85" cm="1">
        <f t="array" aca="1" ref="R58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45940.432430555607</v>
      </c>
      <c r="S58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45968.348645833335</v>
      </c>
      <c r="T58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45968.357291666667</v>
      </c>
      <c r="U580" s="82">
        <f ca="1">--(Tabel3[[#This Row],[jour]]&lt;&gt;TRUNC(Tabel3[[#This Row],[fin]]))</f>
        <v>0</v>
      </c>
      <c r="V580" s="82">
        <f ca="1">IF(Tabel3[[#This Row],[Type]]="j0",0,--(TRUNC(Tabel3[[#This Row],[debut]])-TRUNC(Tabel3[[#This Row],[fin precedent]])&lt;Tabel3[[#This Row],[delai]]))</f>
        <v>1</v>
      </c>
      <c r="X580"/>
      <c r="Y580" s="75"/>
    </row>
    <row r="581" spans="12:25" ht="18" customHeight="1" x14ac:dyDescent="0.2">
      <c r="L581" s="78" t="s">
        <v>104</v>
      </c>
      <c r="M581" s="78" t="s">
        <v>115</v>
      </c>
      <c r="N581" s="78" t="s">
        <v>42</v>
      </c>
      <c r="O581" s="84">
        <v>45968</v>
      </c>
      <c r="P581" s="78">
        <v>12.75</v>
      </c>
      <c r="Q581" s="78">
        <f>INDEX($C$1:$I$1,MATCH(Tabel3[[#This Row],[Type]],Devoirs[[#Headers],[J0]:[J60]],0))</f>
        <v>30</v>
      </c>
      <c r="R581" s="85" cm="1">
        <f t="array" aca="1" ref="R58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45941.462291666714</v>
      </c>
      <c r="S58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45968.357291666667</v>
      </c>
      <c r="T58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45968.366145833337</v>
      </c>
      <c r="U581" s="82">
        <f ca="1">--(Tabel3[[#This Row],[jour]]&lt;&gt;TRUNC(Tabel3[[#This Row],[fin]]))</f>
        <v>0</v>
      </c>
      <c r="V581" s="82">
        <f ca="1">IF(Tabel3[[#This Row],[Type]]="j0",0,--(TRUNC(Tabel3[[#This Row],[debut]])-TRUNC(Tabel3[[#This Row],[fin precedent]])&lt;Tabel3[[#This Row],[delai]]))</f>
        <v>1</v>
      </c>
      <c r="X581"/>
      <c r="Y581" s="75"/>
    </row>
    <row r="582" spans="12:25" ht="18" customHeight="1" x14ac:dyDescent="0.2">
      <c r="L582" s="78" t="s">
        <v>104</v>
      </c>
      <c r="M582" s="78" t="s">
        <v>113</v>
      </c>
      <c r="N582" s="78" t="s">
        <v>42</v>
      </c>
      <c r="O582" s="84">
        <v>45968</v>
      </c>
      <c r="P582" s="78">
        <v>13.95</v>
      </c>
      <c r="Q582" s="78">
        <f>INDEX($C$1:$I$1,MATCH(Tabel3[[#This Row],[Type]],Devoirs[[#Headers],[J0]:[J60]],0))</f>
        <v>30</v>
      </c>
      <c r="R582" s="85" cm="1">
        <f t="array" aca="1" ref="R58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45941.462291666714</v>
      </c>
      <c r="S58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45968.366145833337</v>
      </c>
      <c r="T58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45968.375833333339</v>
      </c>
      <c r="U582" s="82">
        <f ca="1">--(Tabel3[[#This Row],[jour]]&lt;&gt;TRUNC(Tabel3[[#This Row],[fin]]))</f>
        <v>0</v>
      </c>
      <c r="V582" s="82">
        <f ca="1">IF(Tabel3[[#This Row],[Type]]="j0",0,--(TRUNC(Tabel3[[#This Row],[debut]])-TRUNC(Tabel3[[#This Row],[fin precedent]])&lt;Tabel3[[#This Row],[delai]]))</f>
        <v>1</v>
      </c>
      <c r="X582"/>
      <c r="Y582" s="75"/>
    </row>
    <row r="583" spans="12:25" ht="18" customHeight="1" x14ac:dyDescent="0.2">
      <c r="L583" s="78" t="s">
        <v>125</v>
      </c>
      <c r="M583" s="78" t="s">
        <v>130</v>
      </c>
      <c r="N583" s="78" t="s">
        <v>42</v>
      </c>
      <c r="O583" s="84">
        <v>45968</v>
      </c>
      <c r="P583" s="78">
        <v>15.149999999999999</v>
      </c>
      <c r="Q583" s="78">
        <f>INDEX($C$1:$I$1,MATCH(Tabel3[[#This Row],[Type]],Devoirs[[#Headers],[J0]:[J60]],0))</f>
        <v>30</v>
      </c>
      <c r="R583" s="85" cm="1">
        <f t="array" aca="1" ref="R58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45950.596666666752</v>
      </c>
      <c r="S58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45968.375833333339</v>
      </c>
      <c r="T58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45968.386354166672</v>
      </c>
      <c r="U583" s="82">
        <f ca="1">--(Tabel3[[#This Row],[jour]]&lt;&gt;TRUNC(Tabel3[[#This Row],[fin]]))</f>
        <v>0</v>
      </c>
      <c r="V583" s="82">
        <f ca="1">IF(Tabel3[[#This Row],[Type]]="j0",0,--(TRUNC(Tabel3[[#This Row],[debut]])-TRUNC(Tabel3[[#This Row],[fin precedent]])&lt;Tabel3[[#This Row],[delai]]))</f>
        <v>1</v>
      </c>
      <c r="X583"/>
      <c r="Y583" s="75"/>
    </row>
    <row r="584" spans="12:25" ht="18" customHeight="1" x14ac:dyDescent="0.2">
      <c r="L584" s="78" t="s">
        <v>104</v>
      </c>
      <c r="M584" s="78" t="s">
        <v>106</v>
      </c>
      <c r="N584" s="78" t="s">
        <v>42</v>
      </c>
      <c r="O584" s="84">
        <v>45968</v>
      </c>
      <c r="P584" s="78">
        <v>15.899999999999999</v>
      </c>
      <c r="Q584" s="78">
        <f>INDEX($C$1:$I$1,MATCH(Tabel3[[#This Row],[Type]],Devoirs[[#Headers],[J0]:[J60]],0))</f>
        <v>30</v>
      </c>
      <c r="R584" s="85" cm="1">
        <f t="array" aca="1" ref="R58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45941.462291666714</v>
      </c>
      <c r="S58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45968.386354166672</v>
      </c>
      <c r="T58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45968.397395833337</v>
      </c>
      <c r="U584" s="82">
        <f ca="1">--(Tabel3[[#This Row],[jour]]&lt;&gt;TRUNC(Tabel3[[#This Row],[fin]]))</f>
        <v>0</v>
      </c>
      <c r="V584" s="82">
        <f ca="1">IF(Tabel3[[#This Row],[Type]]="j0",0,--(TRUNC(Tabel3[[#This Row],[debut]])-TRUNC(Tabel3[[#This Row],[fin precedent]])&lt;Tabel3[[#This Row],[delai]]))</f>
        <v>1</v>
      </c>
      <c r="X584"/>
      <c r="Y584" s="75"/>
    </row>
    <row r="585" spans="12:25" ht="18" customHeight="1" x14ac:dyDescent="0.2">
      <c r="L585" s="78" t="s">
        <v>51</v>
      </c>
      <c r="M585" s="78" t="s">
        <v>60</v>
      </c>
      <c r="N585" s="78" t="s">
        <v>41</v>
      </c>
      <c r="O585" s="84">
        <v>45968</v>
      </c>
      <c r="P585" s="78">
        <v>12</v>
      </c>
      <c r="Q585" s="78">
        <f>INDEX($C$1:$I$1,MATCH(Tabel3[[#This Row],[Type]],Devoirs[[#Headers],[J0]:[J60]],0))</f>
        <v>15</v>
      </c>
      <c r="R585" s="85" cm="1">
        <f t="array" aca="1" ref="R58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45917.705000000016</v>
      </c>
      <c r="S58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45968.397395833337</v>
      </c>
      <c r="T58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45968.405729166669</v>
      </c>
      <c r="U585" s="82">
        <f ca="1">--(Tabel3[[#This Row],[jour]]&lt;&gt;TRUNC(Tabel3[[#This Row],[fin]]))</f>
        <v>0</v>
      </c>
      <c r="V585" s="82">
        <f ca="1">IF(Tabel3[[#This Row],[Type]]="j0",0,--(TRUNC(Tabel3[[#This Row],[debut]])-TRUNC(Tabel3[[#This Row],[fin precedent]])&lt;Tabel3[[#This Row],[delai]]))</f>
        <v>0</v>
      </c>
      <c r="X585"/>
      <c r="Y585" s="75"/>
    </row>
    <row r="586" spans="12:25" ht="18" customHeight="1" x14ac:dyDescent="0.2">
      <c r="L586" s="78" t="s">
        <v>74</v>
      </c>
      <c r="M586" s="78" t="s">
        <v>79</v>
      </c>
      <c r="N586" s="78" t="s">
        <v>41</v>
      </c>
      <c r="O586" s="84">
        <v>45968</v>
      </c>
      <c r="P586" s="78">
        <v>24.3</v>
      </c>
      <c r="Q586" s="78">
        <f>INDEX($C$1:$I$1,MATCH(Tabel3[[#This Row],[Type]],Devoirs[[#Headers],[J0]:[J60]],0))</f>
        <v>15</v>
      </c>
      <c r="R586" s="85" cm="1">
        <f t="array" aca="1" ref="R58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45930.603125000031</v>
      </c>
      <c r="S58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45968.405729166669</v>
      </c>
      <c r="T58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45968.42260416667</v>
      </c>
      <c r="U586" s="82">
        <f ca="1">--(Tabel3[[#This Row],[jour]]&lt;&gt;TRUNC(Tabel3[[#This Row],[fin]]))</f>
        <v>0</v>
      </c>
      <c r="V586" s="82">
        <f ca="1">IF(Tabel3[[#This Row],[Type]]="j0",0,--(TRUNC(Tabel3[[#This Row],[debut]])-TRUNC(Tabel3[[#This Row],[fin precedent]])&lt;Tabel3[[#This Row],[delai]]))</f>
        <v>0</v>
      </c>
      <c r="X586"/>
      <c r="Y586" s="75"/>
    </row>
    <row r="587" spans="12:25" ht="18" customHeight="1" x14ac:dyDescent="0.2">
      <c r="L587" s="78" t="s">
        <v>125</v>
      </c>
      <c r="M587" s="78" t="s">
        <v>128</v>
      </c>
      <c r="N587" s="78" t="s">
        <v>42</v>
      </c>
      <c r="O587" s="84">
        <v>45969</v>
      </c>
      <c r="P587" s="78">
        <v>10.5</v>
      </c>
      <c r="Q587" s="78">
        <f>INDEX($C$1:$I$1,MATCH(Tabel3[[#This Row],[Type]],Devoirs[[#Headers],[J0]:[J60]],0))</f>
        <v>30</v>
      </c>
      <c r="R587" s="85" cm="1">
        <f t="array" aca="1" ref="R58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45950.596666666752</v>
      </c>
      <c r="S58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45969.333333333336</v>
      </c>
      <c r="T58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45969.340625000004</v>
      </c>
      <c r="U587" s="82">
        <f ca="1">--(Tabel3[[#This Row],[jour]]&lt;&gt;TRUNC(Tabel3[[#This Row],[fin]]))</f>
        <v>0</v>
      </c>
      <c r="V587" s="82">
        <f ca="1">IF(Tabel3[[#This Row],[Type]]="j0",0,--(TRUNC(Tabel3[[#This Row],[debut]])-TRUNC(Tabel3[[#This Row],[fin precedent]])&lt;Tabel3[[#This Row],[delai]]))</f>
        <v>1</v>
      </c>
      <c r="X587"/>
      <c r="Y587" s="75"/>
    </row>
    <row r="588" spans="12:25" ht="18" customHeight="1" x14ac:dyDescent="0.2">
      <c r="L588" s="78" t="s">
        <v>135</v>
      </c>
      <c r="M588" s="78" t="s">
        <v>156</v>
      </c>
      <c r="N588" s="78" t="s">
        <v>42</v>
      </c>
      <c r="O588" s="84">
        <v>45969</v>
      </c>
      <c r="P588" s="78">
        <v>16.2</v>
      </c>
      <c r="Q588" s="78">
        <f>INDEX($C$1:$I$1,MATCH(Tabel3[[#This Row],[Type]],Devoirs[[#Headers],[J0]:[J60]],0))</f>
        <v>30</v>
      </c>
      <c r="R588" s="85" cm="1">
        <f t="array" aca="1" ref="R58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45940.432430555607</v>
      </c>
      <c r="S58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45969.340625000004</v>
      </c>
      <c r="T58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45969.351875000008</v>
      </c>
      <c r="U588" s="82">
        <f ca="1">--(Tabel3[[#This Row],[jour]]&lt;&gt;TRUNC(Tabel3[[#This Row],[fin]]))</f>
        <v>0</v>
      </c>
      <c r="V588" s="82">
        <f ca="1">IF(Tabel3[[#This Row],[Type]]="j0",0,--(TRUNC(Tabel3[[#This Row],[debut]])-TRUNC(Tabel3[[#This Row],[fin precedent]])&lt;Tabel3[[#This Row],[delai]]))</f>
        <v>1</v>
      </c>
      <c r="X588"/>
      <c r="Y588" s="75"/>
    </row>
    <row r="589" spans="12:25" ht="18" customHeight="1" x14ac:dyDescent="0.2">
      <c r="L589" s="78" t="s">
        <v>74</v>
      </c>
      <c r="M589" s="78" t="s">
        <v>83</v>
      </c>
      <c r="N589" s="78" t="s">
        <v>42</v>
      </c>
      <c r="O589" s="84">
        <v>45969</v>
      </c>
      <c r="P589" s="78">
        <v>16.649999999999999</v>
      </c>
      <c r="Q589" s="78">
        <f>INDEX($C$1:$I$1,MATCH(Tabel3[[#This Row],[Type]],Devoirs[[#Headers],[J0]:[J60]],0))</f>
        <v>30</v>
      </c>
      <c r="R589" s="85" cm="1">
        <f t="array" aca="1" ref="R58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45951.730277777875</v>
      </c>
      <c r="S58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45969.351875000008</v>
      </c>
      <c r="T58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45969.363437500011</v>
      </c>
      <c r="U589" s="82">
        <f ca="1">--(Tabel3[[#This Row],[jour]]&lt;&gt;TRUNC(Tabel3[[#This Row],[fin]]))</f>
        <v>0</v>
      </c>
      <c r="V589" s="82">
        <f ca="1">IF(Tabel3[[#This Row],[Type]]="j0",0,--(TRUNC(Tabel3[[#This Row],[debut]])-TRUNC(Tabel3[[#This Row],[fin precedent]])&lt;Tabel3[[#This Row],[delai]]))</f>
        <v>1</v>
      </c>
      <c r="X589"/>
      <c r="Y589" s="75"/>
    </row>
    <row r="590" spans="12:25" ht="18" customHeight="1" x14ac:dyDescent="0.2">
      <c r="L590" s="78" t="s">
        <v>51</v>
      </c>
      <c r="M590" s="78" t="s">
        <v>54</v>
      </c>
      <c r="N590" s="78" t="s">
        <v>41</v>
      </c>
      <c r="O590" s="84">
        <v>45969</v>
      </c>
      <c r="P590" s="78">
        <v>19.8</v>
      </c>
      <c r="Q590" s="78">
        <f>INDEX($C$1:$I$1,MATCH(Tabel3[[#This Row],[Type]],Devoirs[[#Headers],[J0]:[J60]],0))</f>
        <v>15</v>
      </c>
      <c r="R590" s="85" cm="1">
        <f t="array" aca="1" ref="R59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45917.705000000016</v>
      </c>
      <c r="S59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45969.363437500011</v>
      </c>
      <c r="T59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45969.377187500009</v>
      </c>
      <c r="U590" s="82">
        <f ca="1">--(Tabel3[[#This Row],[jour]]&lt;&gt;TRUNC(Tabel3[[#This Row],[fin]]))</f>
        <v>0</v>
      </c>
      <c r="V590" s="82">
        <f ca="1">IF(Tabel3[[#This Row],[Type]]="j0",0,--(TRUNC(Tabel3[[#This Row],[debut]])-TRUNC(Tabel3[[#This Row],[fin precedent]])&lt;Tabel3[[#This Row],[delai]]))</f>
        <v>0</v>
      </c>
      <c r="X590"/>
      <c r="Y590" s="75"/>
    </row>
    <row r="591" spans="12:25" ht="18" customHeight="1" x14ac:dyDescent="0.2">
      <c r="L591" s="78" t="s">
        <v>95</v>
      </c>
      <c r="M591" s="78" t="s">
        <v>97</v>
      </c>
      <c r="N591" s="78" t="s">
        <v>41</v>
      </c>
      <c r="O591" s="84">
        <v>45969</v>
      </c>
      <c r="P591" s="78">
        <v>33</v>
      </c>
      <c r="Q591" s="78">
        <f>INDEX($C$1:$I$1,MATCH(Tabel3[[#This Row],[Type]],Devoirs[[#Headers],[J0]:[J60]],0))</f>
        <v>15</v>
      </c>
      <c r="R591" s="85" cm="1">
        <f t="array" aca="1" ref="R59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45934.724861111143</v>
      </c>
      <c r="S59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45969.377187500009</v>
      </c>
      <c r="T59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45969.400104166678</v>
      </c>
      <c r="U591" s="82">
        <f ca="1">--(Tabel3[[#This Row],[jour]]&lt;&gt;TRUNC(Tabel3[[#This Row],[fin]]))</f>
        <v>0</v>
      </c>
      <c r="V591" s="82">
        <f ca="1">IF(Tabel3[[#This Row],[Type]]="j0",0,--(TRUNC(Tabel3[[#This Row],[debut]])-TRUNC(Tabel3[[#This Row],[fin precedent]])&lt;Tabel3[[#This Row],[delai]]))</f>
        <v>0</v>
      </c>
      <c r="X591"/>
      <c r="Y591" s="75"/>
    </row>
    <row r="592" spans="12:25" ht="18" customHeight="1" x14ac:dyDescent="0.2">
      <c r="L592" s="78" t="s">
        <v>125</v>
      </c>
      <c r="M592" s="78" t="s">
        <v>132</v>
      </c>
      <c r="N592" s="78" t="s">
        <v>41</v>
      </c>
      <c r="O592" s="84">
        <v>45970</v>
      </c>
      <c r="P592" s="78">
        <v>24.3</v>
      </c>
      <c r="Q592" s="78">
        <f>INDEX($C$1:$I$1,MATCH(Tabel3[[#This Row],[Type]],Devoirs[[#Headers],[J0]:[J60]],0))</f>
        <v>15</v>
      </c>
      <c r="R592" s="85" cm="1">
        <f t="array" aca="1" ref="R59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45927.504756944472</v>
      </c>
      <c r="S59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45971.333333333336</v>
      </c>
      <c r="T59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45971.350208333337</v>
      </c>
      <c r="U592" s="82">
        <f ca="1">--(Tabel3[[#This Row],[jour]]&lt;&gt;TRUNC(Tabel3[[#This Row],[fin]]))</f>
        <v>1</v>
      </c>
      <c r="V592" s="82">
        <f ca="1">IF(Tabel3[[#This Row],[Type]]="j0",0,--(TRUNC(Tabel3[[#This Row],[debut]])-TRUNC(Tabel3[[#This Row],[fin precedent]])&lt;Tabel3[[#This Row],[delai]]))</f>
        <v>0</v>
      </c>
      <c r="X592"/>
      <c r="Y592" s="75"/>
    </row>
    <row r="593" spans="12:25" ht="18" customHeight="1" x14ac:dyDescent="0.2">
      <c r="L593" s="78" t="s">
        <v>135</v>
      </c>
      <c r="M593" s="78" t="s">
        <v>139</v>
      </c>
      <c r="N593" s="78" t="s">
        <v>41</v>
      </c>
      <c r="O593" s="84">
        <v>45970</v>
      </c>
      <c r="P593" s="78">
        <v>32.4</v>
      </c>
      <c r="Q593" s="78">
        <f>INDEX($C$1:$I$1,MATCH(Tabel3[[#This Row],[Type]],Devoirs[[#Headers],[J0]:[J60]],0))</f>
        <v>15</v>
      </c>
      <c r="R593" s="85" cm="1">
        <f t="array" aca="1" ref="R59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45916.748888888906</v>
      </c>
      <c r="S59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45971.350208333337</v>
      </c>
      <c r="T59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45971.372708333336</v>
      </c>
      <c r="U593" s="82">
        <f ca="1">--(Tabel3[[#This Row],[jour]]&lt;&gt;TRUNC(Tabel3[[#This Row],[fin]]))</f>
        <v>1</v>
      </c>
      <c r="V593" s="82">
        <f ca="1">IF(Tabel3[[#This Row],[Type]]="j0",0,--(TRUNC(Tabel3[[#This Row],[debut]])-TRUNC(Tabel3[[#This Row],[fin precedent]])&lt;Tabel3[[#This Row],[delai]]))</f>
        <v>0</v>
      </c>
      <c r="X593"/>
      <c r="Y593" s="75"/>
    </row>
    <row r="594" spans="12:25" ht="18" customHeight="1" x14ac:dyDescent="0.2">
      <c r="L594" s="78" t="s">
        <v>135</v>
      </c>
      <c r="M594" s="78" t="s">
        <v>157</v>
      </c>
      <c r="N594" s="78" t="s">
        <v>42</v>
      </c>
      <c r="O594" s="84">
        <v>45971</v>
      </c>
      <c r="P594" s="78">
        <v>8.1</v>
      </c>
      <c r="Q594" s="78">
        <f>INDEX($C$1:$I$1,MATCH(Tabel3[[#This Row],[Type]],Devoirs[[#Headers],[J0]:[J60]],0))</f>
        <v>30</v>
      </c>
      <c r="R594" s="85" cm="1">
        <f t="array" aca="1" ref="R59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45940.432430555607</v>
      </c>
      <c r="S59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45971.372708333336</v>
      </c>
      <c r="T59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45971.378333333334</v>
      </c>
      <c r="U594" s="82">
        <f ca="1">--(Tabel3[[#This Row],[jour]]&lt;&gt;TRUNC(Tabel3[[#This Row],[fin]]))</f>
        <v>0</v>
      </c>
      <c r="V594" s="82">
        <f ca="1">IF(Tabel3[[#This Row],[Type]]="j0",0,--(TRUNC(Tabel3[[#This Row],[debut]])-TRUNC(Tabel3[[#This Row],[fin precedent]])&lt;Tabel3[[#This Row],[delai]]))</f>
        <v>0</v>
      </c>
      <c r="X594"/>
      <c r="Y594" s="75"/>
    </row>
    <row r="595" spans="12:25" ht="18" customHeight="1" x14ac:dyDescent="0.2">
      <c r="L595" s="78" t="s">
        <v>51</v>
      </c>
      <c r="M595" s="78" t="s">
        <v>61</v>
      </c>
      <c r="N595" s="78" t="s">
        <v>42</v>
      </c>
      <c r="O595" s="84">
        <v>45971</v>
      </c>
      <c r="P595" s="78">
        <v>9.4499999999999993</v>
      </c>
      <c r="Q595" s="78">
        <f>INDEX($C$1:$I$1,MATCH(Tabel3[[#This Row],[Type]],Devoirs[[#Headers],[J0]:[J60]],0))</f>
        <v>30</v>
      </c>
      <c r="R595" s="85" cm="1">
        <f t="array" aca="1" ref="R59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45941.426666666717</v>
      </c>
      <c r="S59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45971.378333333334</v>
      </c>
      <c r="T59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45971.384895833333</v>
      </c>
      <c r="U595" s="82">
        <f ca="1">--(Tabel3[[#This Row],[jour]]&lt;&gt;TRUNC(Tabel3[[#This Row],[fin]]))</f>
        <v>0</v>
      </c>
      <c r="V595" s="82">
        <f ca="1">IF(Tabel3[[#This Row],[Type]]="j0",0,--(TRUNC(Tabel3[[#This Row],[debut]])-TRUNC(Tabel3[[#This Row],[fin precedent]])&lt;Tabel3[[#This Row],[delai]]))</f>
        <v>0</v>
      </c>
      <c r="X595"/>
      <c r="Y595" s="75"/>
    </row>
    <row r="596" spans="12:25" ht="18" customHeight="1" x14ac:dyDescent="0.2">
      <c r="L596" s="78" t="s">
        <v>104</v>
      </c>
      <c r="M596" s="78" t="s">
        <v>118</v>
      </c>
      <c r="N596" s="78" t="s">
        <v>42</v>
      </c>
      <c r="O596" s="84">
        <v>45972</v>
      </c>
      <c r="P596" s="78">
        <v>6.75</v>
      </c>
      <c r="Q596" s="78">
        <f>INDEX($C$1:$I$1,MATCH(Tabel3[[#This Row],[Type]],Devoirs[[#Headers],[J0]:[J60]],0))</f>
        <v>30</v>
      </c>
      <c r="R596" s="85" cm="1">
        <f t="array" aca="1" ref="R59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45941.462291666714</v>
      </c>
      <c r="S59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45972.333333333336</v>
      </c>
      <c r="T59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45972.338020833333</v>
      </c>
      <c r="U596" s="82">
        <f ca="1">--(Tabel3[[#This Row],[jour]]&lt;&gt;TRUNC(Tabel3[[#This Row],[fin]]))</f>
        <v>0</v>
      </c>
      <c r="V596" s="82">
        <f ca="1">IF(Tabel3[[#This Row],[Type]]="j0",0,--(TRUNC(Tabel3[[#This Row],[debut]])-TRUNC(Tabel3[[#This Row],[fin precedent]])&lt;Tabel3[[#This Row],[delai]]))</f>
        <v>0</v>
      </c>
      <c r="X596"/>
      <c r="Y596" s="75"/>
    </row>
    <row r="597" spans="12:25" ht="18" customHeight="1" x14ac:dyDescent="0.2">
      <c r="L597" s="78" t="s">
        <v>95</v>
      </c>
      <c r="M597" s="78" t="s">
        <v>96</v>
      </c>
      <c r="N597" s="78" t="s">
        <v>42</v>
      </c>
      <c r="O597" s="84">
        <v>45972</v>
      </c>
      <c r="P597" s="78">
        <v>9.6</v>
      </c>
      <c r="Q597" s="78">
        <f>INDEX($C$1:$I$1,MATCH(Tabel3[[#This Row],[Type]],Devoirs[[#Headers],[J0]:[J60]],0))</f>
        <v>30</v>
      </c>
      <c r="R597" s="85" cm="1">
        <f t="array" aca="1" ref="R59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45955.468020833447</v>
      </c>
      <c r="S59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45972.338020833333</v>
      </c>
      <c r="T59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45972.344687500001</v>
      </c>
      <c r="U597" s="82">
        <f ca="1">--(Tabel3[[#This Row],[jour]]&lt;&gt;TRUNC(Tabel3[[#This Row],[fin]]))</f>
        <v>0</v>
      </c>
      <c r="V597" s="82">
        <f ca="1">IF(Tabel3[[#This Row],[Type]]="j0",0,--(TRUNC(Tabel3[[#This Row],[debut]])-TRUNC(Tabel3[[#This Row],[fin precedent]])&lt;Tabel3[[#This Row],[delai]]))</f>
        <v>1</v>
      </c>
      <c r="X597"/>
      <c r="Y597" s="75"/>
    </row>
    <row r="598" spans="12:25" ht="18" customHeight="1" x14ac:dyDescent="0.2">
      <c r="L598" s="78" t="s">
        <v>74</v>
      </c>
      <c r="M598" s="78" t="s">
        <v>78</v>
      </c>
      <c r="N598" s="78" t="s">
        <v>42</v>
      </c>
      <c r="O598" s="84">
        <v>45972</v>
      </c>
      <c r="P598" s="78">
        <v>13.049999999999999</v>
      </c>
      <c r="Q598" s="78">
        <f>INDEX($C$1:$I$1,MATCH(Tabel3[[#This Row],[Type]],Devoirs[[#Headers],[J0]:[J60]],0))</f>
        <v>30</v>
      </c>
      <c r="R598" s="85" cm="1">
        <f t="array" aca="1" ref="R59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45951.730277777875</v>
      </c>
      <c r="S59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45972.344687500001</v>
      </c>
      <c r="T59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45972.353750000002</v>
      </c>
      <c r="U598" s="82">
        <f ca="1">--(Tabel3[[#This Row],[jour]]&lt;&gt;TRUNC(Tabel3[[#This Row],[fin]]))</f>
        <v>0</v>
      </c>
      <c r="V598" s="82">
        <f ca="1">IF(Tabel3[[#This Row],[Type]]="j0",0,--(TRUNC(Tabel3[[#This Row],[debut]])-TRUNC(Tabel3[[#This Row],[fin precedent]])&lt;Tabel3[[#This Row],[delai]]))</f>
        <v>1</v>
      </c>
      <c r="X598"/>
      <c r="Y598" s="75"/>
    </row>
    <row r="599" spans="12:25" ht="18" customHeight="1" x14ac:dyDescent="0.2">
      <c r="L599" s="78" t="s">
        <v>64</v>
      </c>
      <c r="M599" s="78" t="s">
        <v>66</v>
      </c>
      <c r="N599" s="78" t="s">
        <v>42</v>
      </c>
      <c r="O599" s="84">
        <v>45972</v>
      </c>
      <c r="P599" s="78">
        <v>13.799999999999999</v>
      </c>
      <c r="Q599" s="78">
        <f>INDEX($C$1:$I$1,MATCH(Tabel3[[#This Row],[Type]],Devoirs[[#Headers],[J0]:[J60]],0))</f>
        <v>30</v>
      </c>
      <c r="R599" s="85" cm="1">
        <f t="array" aca="1" ref="R59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45955.505312500114</v>
      </c>
      <c r="S59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45972.353750000002</v>
      </c>
      <c r="T59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45972.363333333335</v>
      </c>
      <c r="U599" s="82">
        <f ca="1">--(Tabel3[[#This Row],[jour]]&lt;&gt;TRUNC(Tabel3[[#This Row],[fin]]))</f>
        <v>0</v>
      </c>
      <c r="V599" s="82">
        <f ca="1">IF(Tabel3[[#This Row],[Type]]="j0",0,--(TRUNC(Tabel3[[#This Row],[debut]])-TRUNC(Tabel3[[#This Row],[fin precedent]])&lt;Tabel3[[#This Row],[delai]]))</f>
        <v>1</v>
      </c>
      <c r="X599"/>
      <c r="Y599" s="75"/>
    </row>
    <row r="600" spans="12:25" ht="18" customHeight="1" x14ac:dyDescent="0.2">
      <c r="L600" s="78" t="s">
        <v>43</v>
      </c>
      <c r="M600" s="78" t="s">
        <v>44</v>
      </c>
      <c r="N600" s="78" t="s">
        <v>42</v>
      </c>
      <c r="O600" s="84">
        <v>45975</v>
      </c>
      <c r="P600" s="78">
        <v>14.399999999999999</v>
      </c>
      <c r="Q600" s="78">
        <f>INDEX($C$1:$I$1,MATCH(Tabel3[[#This Row],[Type]],Devoirs[[#Headers],[J0]:[J60]],0))</f>
        <v>30</v>
      </c>
      <c r="R600" s="85" cm="1">
        <f t="array" aca="1" ref="R60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45958.406562500131</v>
      </c>
      <c r="S60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45975.333333333336</v>
      </c>
      <c r="T60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45975.343333333338</v>
      </c>
      <c r="U600" s="82">
        <f ca="1">--(Tabel3[[#This Row],[jour]]&lt;&gt;TRUNC(Tabel3[[#This Row],[fin]]))</f>
        <v>0</v>
      </c>
      <c r="V600" s="82">
        <f ca="1">IF(Tabel3[[#This Row],[Type]]="j0",0,--(TRUNC(Tabel3[[#This Row],[debut]])-TRUNC(Tabel3[[#This Row],[fin precedent]])&lt;Tabel3[[#This Row],[delai]]))</f>
        <v>1</v>
      </c>
      <c r="X600"/>
      <c r="Y600" s="75"/>
    </row>
    <row r="601" spans="12:25" ht="18" customHeight="1" x14ac:dyDescent="0.2">
      <c r="L601" s="78" t="s">
        <v>104</v>
      </c>
      <c r="M601" s="78" t="s">
        <v>108</v>
      </c>
      <c r="N601" s="78" t="s">
        <v>42</v>
      </c>
      <c r="O601" s="84">
        <v>45975</v>
      </c>
      <c r="P601" s="78">
        <v>16.95</v>
      </c>
      <c r="Q601" s="78">
        <f>INDEX($C$1:$I$1,MATCH(Tabel3[[#This Row],[Type]],Devoirs[[#Headers],[J0]:[J60]],0))</f>
        <v>30</v>
      </c>
      <c r="R601" s="85" cm="1">
        <f t="array" aca="1" ref="R60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45941.462291666714</v>
      </c>
      <c r="S60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45975.343333333338</v>
      </c>
      <c r="T60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45975.355104166672</v>
      </c>
      <c r="U601" s="82">
        <f ca="1">--(Tabel3[[#This Row],[jour]]&lt;&gt;TRUNC(Tabel3[[#This Row],[fin]]))</f>
        <v>0</v>
      </c>
      <c r="V601" s="82">
        <f ca="1">IF(Tabel3[[#This Row],[Type]]="j0",0,--(TRUNC(Tabel3[[#This Row],[debut]])-TRUNC(Tabel3[[#This Row],[fin precedent]])&lt;Tabel3[[#This Row],[delai]]))</f>
        <v>0</v>
      </c>
      <c r="X601"/>
      <c r="Y601" s="75"/>
    </row>
    <row r="602" spans="12:25" ht="18" customHeight="1" x14ac:dyDescent="0.2">
      <c r="L602" s="78" t="s">
        <v>135</v>
      </c>
      <c r="M602" s="78" t="s">
        <v>137</v>
      </c>
      <c r="N602" s="78" t="s">
        <v>42</v>
      </c>
      <c r="O602" s="84">
        <v>45976</v>
      </c>
      <c r="P602" s="78">
        <v>5.3999999999999995</v>
      </c>
      <c r="Q602" s="78">
        <f>INDEX($C$1:$I$1,MATCH(Tabel3[[#This Row],[Type]],Devoirs[[#Headers],[J0]:[J60]],0))</f>
        <v>30</v>
      </c>
      <c r="R602" s="85" cm="1">
        <f t="array" aca="1" ref="R60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45940.432430555607</v>
      </c>
      <c r="S60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45976.333333333336</v>
      </c>
      <c r="T60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45976.337083333339</v>
      </c>
      <c r="U602" s="82">
        <f ca="1">--(Tabel3[[#This Row],[jour]]&lt;&gt;TRUNC(Tabel3[[#This Row],[fin]]))</f>
        <v>0</v>
      </c>
      <c r="V602" s="82">
        <f ca="1">IF(Tabel3[[#This Row],[Type]]="j0",0,--(TRUNC(Tabel3[[#This Row],[debut]])-TRUNC(Tabel3[[#This Row],[fin precedent]])&lt;Tabel3[[#This Row],[delai]]))</f>
        <v>0</v>
      </c>
      <c r="X602"/>
      <c r="Y602" s="75"/>
    </row>
    <row r="603" spans="12:25" ht="18" customHeight="1" x14ac:dyDescent="0.2">
      <c r="L603" s="78" t="s">
        <v>104</v>
      </c>
      <c r="M603" s="78" t="s">
        <v>105</v>
      </c>
      <c r="N603" s="78" t="s">
        <v>42</v>
      </c>
      <c r="O603" s="84">
        <v>45976</v>
      </c>
      <c r="P603" s="78">
        <v>6.75</v>
      </c>
      <c r="Q603" s="78">
        <f>INDEX($C$1:$I$1,MATCH(Tabel3[[#This Row],[Type]],Devoirs[[#Headers],[J0]:[J60]],0))</f>
        <v>30</v>
      </c>
      <c r="R603" s="85" cm="1">
        <f t="array" aca="1" ref="R60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45941.462291666714</v>
      </c>
      <c r="S60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45976.337083333339</v>
      </c>
      <c r="T60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45976.341770833336</v>
      </c>
      <c r="U603" s="82">
        <f ca="1">--(Tabel3[[#This Row],[jour]]&lt;&gt;TRUNC(Tabel3[[#This Row],[fin]]))</f>
        <v>0</v>
      </c>
      <c r="V603" s="82">
        <f ca="1">IF(Tabel3[[#This Row],[Type]]="j0",0,--(TRUNC(Tabel3[[#This Row],[debut]])-TRUNC(Tabel3[[#This Row],[fin precedent]])&lt;Tabel3[[#This Row],[delai]]))</f>
        <v>0</v>
      </c>
      <c r="X603"/>
      <c r="Y603" s="75"/>
    </row>
    <row r="604" spans="12:25" ht="18" customHeight="1" x14ac:dyDescent="0.2">
      <c r="L604" s="78" t="s">
        <v>64</v>
      </c>
      <c r="M604" s="78" t="s">
        <v>69</v>
      </c>
      <c r="N604" s="78" t="s">
        <v>42</v>
      </c>
      <c r="O604" s="84">
        <v>45976</v>
      </c>
      <c r="P604" s="78">
        <v>7.1999999999999993</v>
      </c>
      <c r="Q604" s="78">
        <f>INDEX($C$1:$I$1,MATCH(Tabel3[[#This Row],[Type]],Devoirs[[#Headers],[J0]:[J60]],0))</f>
        <v>30</v>
      </c>
      <c r="R604" s="85" cm="1">
        <f t="array" aca="1" ref="R60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45955.505312500114</v>
      </c>
      <c r="S60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45976.341770833336</v>
      </c>
      <c r="T60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45976.346770833334</v>
      </c>
      <c r="U604" s="82">
        <f ca="1">--(Tabel3[[#This Row],[jour]]&lt;&gt;TRUNC(Tabel3[[#This Row],[fin]]))</f>
        <v>0</v>
      </c>
      <c r="V604" s="82">
        <f ca="1">IF(Tabel3[[#This Row],[Type]]="j0",0,--(TRUNC(Tabel3[[#This Row],[debut]])-TRUNC(Tabel3[[#This Row],[fin precedent]])&lt;Tabel3[[#This Row],[delai]]))</f>
        <v>1</v>
      </c>
      <c r="X604"/>
      <c r="Y604" s="75"/>
    </row>
    <row r="605" spans="12:25" ht="18" customHeight="1" x14ac:dyDescent="0.2">
      <c r="L605" s="78" t="s">
        <v>74</v>
      </c>
      <c r="M605" s="78" t="s">
        <v>80</v>
      </c>
      <c r="N605" s="78" t="s">
        <v>42</v>
      </c>
      <c r="O605" s="84">
        <v>45976</v>
      </c>
      <c r="P605" s="78">
        <v>7.35</v>
      </c>
      <c r="Q605" s="78">
        <f>INDEX($C$1:$I$1,MATCH(Tabel3[[#This Row],[Type]],Devoirs[[#Headers],[J0]:[J60]],0))</f>
        <v>30</v>
      </c>
      <c r="R605" s="85" cm="1">
        <f t="array" aca="1" ref="R60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45951.730277777875</v>
      </c>
      <c r="S60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45976.346770833334</v>
      </c>
      <c r="T60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45976.351875</v>
      </c>
      <c r="U605" s="82">
        <f ca="1">--(Tabel3[[#This Row],[jour]]&lt;&gt;TRUNC(Tabel3[[#This Row],[fin]]))</f>
        <v>0</v>
      </c>
      <c r="V605" s="82">
        <f ca="1">IF(Tabel3[[#This Row],[Type]]="j0",0,--(TRUNC(Tabel3[[#This Row],[debut]])-TRUNC(Tabel3[[#This Row],[fin precedent]])&lt;Tabel3[[#This Row],[delai]]))</f>
        <v>1</v>
      </c>
      <c r="X605"/>
      <c r="Y605" s="75"/>
    </row>
    <row r="606" spans="12:25" ht="18" customHeight="1" x14ac:dyDescent="0.2">
      <c r="L606" s="78" t="s">
        <v>104</v>
      </c>
      <c r="M606" s="78" t="s">
        <v>117</v>
      </c>
      <c r="N606" s="78" t="s">
        <v>42</v>
      </c>
      <c r="O606" s="84">
        <v>45976</v>
      </c>
      <c r="P606" s="78">
        <v>9</v>
      </c>
      <c r="Q606" s="78">
        <f>INDEX($C$1:$I$1,MATCH(Tabel3[[#This Row],[Type]],Devoirs[[#Headers],[J0]:[J60]],0))</f>
        <v>30</v>
      </c>
      <c r="R606" s="85" cm="1">
        <f t="array" aca="1" ref="R60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45941.462291666714</v>
      </c>
      <c r="S60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45976.351875</v>
      </c>
      <c r="T60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45976.358124999999</v>
      </c>
      <c r="U606" s="82">
        <f ca="1">--(Tabel3[[#This Row],[jour]]&lt;&gt;TRUNC(Tabel3[[#This Row],[fin]]))</f>
        <v>0</v>
      </c>
      <c r="V606" s="82">
        <f ca="1">IF(Tabel3[[#This Row],[Type]]="j0",0,--(TRUNC(Tabel3[[#This Row],[debut]])-TRUNC(Tabel3[[#This Row],[fin precedent]])&lt;Tabel3[[#This Row],[delai]]))</f>
        <v>0</v>
      </c>
      <c r="X606"/>
      <c r="Y606" s="75"/>
    </row>
    <row r="607" spans="12:25" ht="18" customHeight="1" x14ac:dyDescent="0.2">
      <c r="L607" s="78" t="s">
        <v>95</v>
      </c>
      <c r="M607" s="78" t="s">
        <v>98</v>
      </c>
      <c r="N607" s="78" t="s">
        <v>42</v>
      </c>
      <c r="O607" s="84">
        <v>45977</v>
      </c>
      <c r="P607" s="78">
        <v>13.5</v>
      </c>
      <c r="Q607" s="78">
        <f>INDEX($C$1:$I$1,MATCH(Tabel3[[#This Row],[Type]],Devoirs[[#Headers],[J0]:[J60]],0))</f>
        <v>30</v>
      </c>
      <c r="R607" s="85" cm="1">
        <f t="array" aca="1" ref="R60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45955.468020833447</v>
      </c>
      <c r="S60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45978.333333333336</v>
      </c>
      <c r="T60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45978.342708333337</v>
      </c>
      <c r="U607" s="82">
        <f ca="1">--(Tabel3[[#This Row],[jour]]&lt;&gt;TRUNC(Tabel3[[#This Row],[fin]]))</f>
        <v>1</v>
      </c>
      <c r="V607" s="82">
        <f ca="1">IF(Tabel3[[#This Row],[Type]]="j0",0,--(TRUNC(Tabel3[[#This Row],[debut]])-TRUNC(Tabel3[[#This Row],[fin precedent]])&lt;Tabel3[[#This Row],[delai]]))</f>
        <v>1</v>
      </c>
      <c r="X607"/>
      <c r="Y607" s="75"/>
    </row>
    <row r="608" spans="12:25" ht="18" customHeight="1" x14ac:dyDescent="0.2">
      <c r="L608" s="78" t="s">
        <v>95</v>
      </c>
      <c r="M608" s="78" t="s">
        <v>102</v>
      </c>
      <c r="N608" s="78" t="s">
        <v>42</v>
      </c>
      <c r="O608" s="84">
        <v>45977</v>
      </c>
      <c r="P608" s="78">
        <v>16.8</v>
      </c>
      <c r="Q608" s="78">
        <f>INDEX($C$1:$I$1,MATCH(Tabel3[[#This Row],[Type]],Devoirs[[#Headers],[J0]:[J60]],0))</f>
        <v>30</v>
      </c>
      <c r="R608" s="85" cm="1">
        <f t="array" aca="1" ref="R60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45955.468020833447</v>
      </c>
      <c r="S60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45978.342708333337</v>
      </c>
      <c r="T60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45978.354375000003</v>
      </c>
      <c r="U608" s="82">
        <f ca="1">--(Tabel3[[#This Row],[jour]]&lt;&gt;TRUNC(Tabel3[[#This Row],[fin]]))</f>
        <v>1</v>
      </c>
      <c r="V608" s="82">
        <f ca="1">IF(Tabel3[[#This Row],[Type]]="j0",0,--(TRUNC(Tabel3[[#This Row],[debut]])-TRUNC(Tabel3[[#This Row],[fin precedent]])&lt;Tabel3[[#This Row],[delai]]))</f>
        <v>1</v>
      </c>
      <c r="X608"/>
      <c r="Y608" s="75"/>
    </row>
    <row r="609" spans="12:25" ht="18" customHeight="1" x14ac:dyDescent="0.2">
      <c r="L609" s="78" t="s">
        <v>51</v>
      </c>
      <c r="M609" s="78" t="s">
        <v>59</v>
      </c>
      <c r="N609" s="78" t="s">
        <v>42</v>
      </c>
      <c r="O609" s="84">
        <v>45977</v>
      </c>
      <c r="P609" s="78">
        <v>16.95</v>
      </c>
      <c r="Q609" s="78">
        <f>INDEX($C$1:$I$1,MATCH(Tabel3[[#This Row],[Type]],Devoirs[[#Headers],[J0]:[J60]],0))</f>
        <v>30</v>
      </c>
      <c r="R609" s="85" cm="1">
        <f t="array" aca="1" ref="R60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45941.426666666717</v>
      </c>
      <c r="S60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45978.354375000003</v>
      </c>
      <c r="T60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45978.366145833337</v>
      </c>
      <c r="U609" s="82">
        <f ca="1">--(Tabel3[[#This Row],[jour]]&lt;&gt;TRUNC(Tabel3[[#This Row],[fin]]))</f>
        <v>1</v>
      </c>
      <c r="V609" s="82">
        <f ca="1">IF(Tabel3[[#This Row],[Type]]="j0",0,--(TRUNC(Tabel3[[#This Row],[debut]])-TRUNC(Tabel3[[#This Row],[fin precedent]])&lt;Tabel3[[#This Row],[delai]]))</f>
        <v>0</v>
      </c>
      <c r="X609"/>
      <c r="Y609" s="75"/>
    </row>
    <row r="610" spans="12:25" ht="18" customHeight="1" x14ac:dyDescent="0.2">
      <c r="L610" s="78" t="s">
        <v>95</v>
      </c>
      <c r="M610" s="78" t="s">
        <v>99</v>
      </c>
      <c r="N610" s="78" t="s">
        <v>42</v>
      </c>
      <c r="O610" s="84">
        <v>45977</v>
      </c>
      <c r="P610" s="78">
        <v>18</v>
      </c>
      <c r="Q610" s="78">
        <f>INDEX($C$1:$I$1,MATCH(Tabel3[[#This Row],[Type]],Devoirs[[#Headers],[J0]:[J60]],0))</f>
        <v>30</v>
      </c>
      <c r="R610" s="85" cm="1">
        <f t="array" aca="1" ref="R61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45955.468020833447</v>
      </c>
      <c r="S61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45978.366145833337</v>
      </c>
      <c r="T61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45978.378645833334</v>
      </c>
      <c r="U610" s="82">
        <f ca="1">--(Tabel3[[#This Row],[jour]]&lt;&gt;TRUNC(Tabel3[[#This Row],[fin]]))</f>
        <v>1</v>
      </c>
      <c r="V610" s="82">
        <f ca="1">IF(Tabel3[[#This Row],[Type]]="j0",0,--(TRUNC(Tabel3[[#This Row],[debut]])-TRUNC(Tabel3[[#This Row],[fin precedent]])&lt;Tabel3[[#This Row],[delai]]))</f>
        <v>1</v>
      </c>
      <c r="X610"/>
      <c r="Y610" s="75"/>
    </row>
    <row r="611" spans="12:25" ht="18" customHeight="1" x14ac:dyDescent="0.2">
      <c r="L611" s="78" t="s">
        <v>74</v>
      </c>
      <c r="M611" s="78" t="s">
        <v>82</v>
      </c>
      <c r="N611" s="78" t="s">
        <v>42</v>
      </c>
      <c r="O611" s="84">
        <v>45978</v>
      </c>
      <c r="P611" s="78">
        <v>4.6499999999999995</v>
      </c>
      <c r="Q611" s="78">
        <f>INDEX($C$1:$I$1,MATCH(Tabel3[[#This Row],[Type]],Devoirs[[#Headers],[J0]:[J60]],0))</f>
        <v>30</v>
      </c>
      <c r="R611" s="85" cm="1">
        <f t="array" aca="1" ref="R61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45951.730277777875</v>
      </c>
      <c r="S61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45978.378645833334</v>
      </c>
      <c r="T61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45978.381874999999</v>
      </c>
      <c r="U611" s="82">
        <f ca="1">--(Tabel3[[#This Row],[jour]]&lt;&gt;TRUNC(Tabel3[[#This Row],[fin]]))</f>
        <v>0</v>
      </c>
      <c r="V611" s="82">
        <f ca="1">IF(Tabel3[[#This Row],[Type]]="j0",0,--(TRUNC(Tabel3[[#This Row],[debut]])-TRUNC(Tabel3[[#This Row],[fin precedent]])&lt;Tabel3[[#This Row],[delai]]))</f>
        <v>1</v>
      </c>
      <c r="X611"/>
      <c r="Y611" s="75"/>
    </row>
    <row r="612" spans="12:25" ht="18" customHeight="1" x14ac:dyDescent="0.2">
      <c r="L612" s="78" t="s">
        <v>135</v>
      </c>
      <c r="M612" s="78" t="s">
        <v>142</v>
      </c>
      <c r="N612" s="78" t="s">
        <v>42</v>
      </c>
      <c r="O612" s="84">
        <v>45978</v>
      </c>
      <c r="P612" s="78">
        <v>6</v>
      </c>
      <c r="Q612" s="78">
        <f>INDEX($C$1:$I$1,MATCH(Tabel3[[#This Row],[Type]],Devoirs[[#Headers],[J0]:[J60]],0))</f>
        <v>30</v>
      </c>
      <c r="R612" s="85" cm="1">
        <f t="array" aca="1" ref="R61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45940.432430555607</v>
      </c>
      <c r="S61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45978.381874999999</v>
      </c>
      <c r="T61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45978.386041666665</v>
      </c>
      <c r="U612" s="82">
        <f ca="1">--(Tabel3[[#This Row],[jour]]&lt;&gt;TRUNC(Tabel3[[#This Row],[fin]]))</f>
        <v>0</v>
      </c>
      <c r="V612" s="82">
        <f ca="1">IF(Tabel3[[#This Row],[Type]]="j0",0,--(TRUNC(Tabel3[[#This Row],[debut]])-TRUNC(Tabel3[[#This Row],[fin precedent]])&lt;Tabel3[[#This Row],[delai]]))</f>
        <v>0</v>
      </c>
      <c r="X612"/>
      <c r="Y612" s="75"/>
    </row>
    <row r="613" spans="12:25" ht="18" customHeight="1" x14ac:dyDescent="0.2">
      <c r="L613" s="78" t="s">
        <v>74</v>
      </c>
      <c r="M613" s="78" t="s">
        <v>75</v>
      </c>
      <c r="N613" s="78" t="s">
        <v>42</v>
      </c>
      <c r="O613" s="84">
        <v>45978</v>
      </c>
      <c r="P613" s="78">
        <v>9</v>
      </c>
      <c r="Q613" s="78">
        <f>INDEX($C$1:$I$1,MATCH(Tabel3[[#This Row],[Type]],Devoirs[[#Headers],[J0]:[J60]],0))</f>
        <v>30</v>
      </c>
      <c r="R613" s="85" cm="1">
        <f t="array" aca="1" ref="R61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45951.730277777875</v>
      </c>
      <c r="S61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45978.386041666665</v>
      </c>
      <c r="T61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45978.392291666663</v>
      </c>
      <c r="U613" s="82">
        <f ca="1">--(Tabel3[[#This Row],[jour]]&lt;&gt;TRUNC(Tabel3[[#This Row],[fin]]))</f>
        <v>0</v>
      </c>
      <c r="V613" s="82">
        <f ca="1">IF(Tabel3[[#This Row],[Type]]="j0",0,--(TRUNC(Tabel3[[#This Row],[debut]])-TRUNC(Tabel3[[#This Row],[fin precedent]])&lt;Tabel3[[#This Row],[delai]]))</f>
        <v>1</v>
      </c>
      <c r="X613"/>
      <c r="Y613" s="75"/>
    </row>
    <row r="614" spans="12:25" ht="18" customHeight="1" x14ac:dyDescent="0.2">
      <c r="L614" s="78" t="s">
        <v>51</v>
      </c>
      <c r="M614" s="78" t="s">
        <v>57</v>
      </c>
      <c r="N614" s="78" t="s">
        <v>42</v>
      </c>
      <c r="O614" s="84">
        <v>45978</v>
      </c>
      <c r="P614" s="78">
        <v>10.95</v>
      </c>
      <c r="Q614" s="78">
        <f>INDEX($C$1:$I$1,MATCH(Tabel3[[#This Row],[Type]],Devoirs[[#Headers],[J0]:[J60]],0))</f>
        <v>30</v>
      </c>
      <c r="R614" s="85" cm="1">
        <f t="array" aca="1" ref="R61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45941.426666666717</v>
      </c>
      <c r="S61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45978.392291666663</v>
      </c>
      <c r="T61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45978.399895833332</v>
      </c>
      <c r="U614" s="82">
        <f ca="1">--(Tabel3[[#This Row],[jour]]&lt;&gt;TRUNC(Tabel3[[#This Row],[fin]]))</f>
        <v>0</v>
      </c>
      <c r="V614" s="82">
        <f ca="1">IF(Tabel3[[#This Row],[Type]]="j0",0,--(TRUNC(Tabel3[[#This Row],[debut]])-TRUNC(Tabel3[[#This Row],[fin precedent]])&lt;Tabel3[[#This Row],[delai]]))</f>
        <v>0</v>
      </c>
      <c r="X614"/>
      <c r="Y614" s="75"/>
    </row>
    <row r="615" spans="12:25" ht="18" customHeight="1" x14ac:dyDescent="0.2">
      <c r="L615" s="78" t="s">
        <v>64</v>
      </c>
      <c r="M615" s="78" t="s">
        <v>72</v>
      </c>
      <c r="N615" s="78" t="s">
        <v>42</v>
      </c>
      <c r="O615" s="84">
        <v>45978</v>
      </c>
      <c r="P615" s="78">
        <v>12.299999999999999</v>
      </c>
      <c r="Q615" s="78">
        <f>INDEX($C$1:$I$1,MATCH(Tabel3[[#This Row],[Type]],Devoirs[[#Headers],[J0]:[J60]],0))</f>
        <v>30</v>
      </c>
      <c r="R615" s="85" cm="1">
        <f t="array" aca="1" ref="R61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45955.505312500114</v>
      </c>
      <c r="S61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45978.399895833332</v>
      </c>
      <c r="T61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45978.408437500002</v>
      </c>
      <c r="U615" s="82">
        <f ca="1">--(Tabel3[[#This Row],[jour]]&lt;&gt;TRUNC(Tabel3[[#This Row],[fin]]))</f>
        <v>0</v>
      </c>
      <c r="V615" s="82">
        <f ca="1">IF(Tabel3[[#This Row],[Type]]="j0",0,--(TRUNC(Tabel3[[#This Row],[debut]])-TRUNC(Tabel3[[#This Row],[fin precedent]])&lt;Tabel3[[#This Row],[delai]]))</f>
        <v>1</v>
      </c>
      <c r="X615"/>
      <c r="Y615" s="75"/>
    </row>
    <row r="616" spans="12:25" ht="18" customHeight="1" x14ac:dyDescent="0.2">
      <c r="L616" s="78" t="s">
        <v>85</v>
      </c>
      <c r="M616" s="78" t="s">
        <v>92</v>
      </c>
      <c r="N616" s="78" t="s">
        <v>42</v>
      </c>
      <c r="O616" s="84">
        <v>45978</v>
      </c>
      <c r="P616" s="78">
        <v>14.85</v>
      </c>
      <c r="Q616" s="78">
        <f>INDEX($C$1:$I$1,MATCH(Tabel3[[#This Row],[Type]],Devoirs[[#Headers],[J0]:[J60]],0))</f>
        <v>30</v>
      </c>
      <c r="R616" s="85" cm="1">
        <f t="array" aca="1" ref="R61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45941.485833333383</v>
      </c>
      <c r="S61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45978.408437500002</v>
      </c>
      <c r="T61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45978.418750000004</v>
      </c>
      <c r="U616" s="82">
        <f ca="1">--(Tabel3[[#This Row],[jour]]&lt;&gt;TRUNC(Tabel3[[#This Row],[fin]]))</f>
        <v>0</v>
      </c>
      <c r="V616" s="82">
        <f ca="1">IF(Tabel3[[#This Row],[Type]]="j0",0,--(TRUNC(Tabel3[[#This Row],[debut]])-TRUNC(Tabel3[[#This Row],[fin precedent]])&lt;Tabel3[[#This Row],[delai]]))</f>
        <v>0</v>
      </c>
      <c r="X616"/>
      <c r="Y616" s="75"/>
    </row>
    <row r="617" spans="12:25" ht="18" customHeight="1" x14ac:dyDescent="0.2">
      <c r="L617" s="78" t="s">
        <v>125</v>
      </c>
      <c r="M617" s="78" t="s">
        <v>127</v>
      </c>
      <c r="N617" s="78" t="s">
        <v>42</v>
      </c>
      <c r="O617" s="84">
        <v>45978</v>
      </c>
      <c r="P617" s="78">
        <v>16.05</v>
      </c>
      <c r="Q617" s="78">
        <f>INDEX($C$1:$I$1,MATCH(Tabel3[[#This Row],[Type]],Devoirs[[#Headers],[J0]:[J60]],0))</f>
        <v>30</v>
      </c>
      <c r="R617" s="85" cm="1">
        <f t="array" aca="1" ref="R61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45950.596666666752</v>
      </c>
      <c r="S61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45978.418750000004</v>
      </c>
      <c r="T61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45978.429895833338</v>
      </c>
      <c r="U617" s="82">
        <f ca="1">--(Tabel3[[#This Row],[jour]]&lt;&gt;TRUNC(Tabel3[[#This Row],[fin]]))</f>
        <v>0</v>
      </c>
      <c r="V617" s="82">
        <f ca="1">IF(Tabel3[[#This Row],[Type]]="j0",0,--(TRUNC(Tabel3[[#This Row],[debut]])-TRUNC(Tabel3[[#This Row],[fin precedent]])&lt;Tabel3[[#This Row],[delai]]))</f>
        <v>1</v>
      </c>
      <c r="X617"/>
      <c r="Y617" s="75"/>
    </row>
    <row r="618" spans="12:25" ht="18" customHeight="1" x14ac:dyDescent="0.2">
      <c r="L618" s="78" t="s">
        <v>85</v>
      </c>
      <c r="M618" s="78" t="s">
        <v>86</v>
      </c>
      <c r="N618" s="78" t="s">
        <v>42</v>
      </c>
      <c r="O618" s="84">
        <v>45978</v>
      </c>
      <c r="P618" s="78">
        <v>16.5</v>
      </c>
      <c r="Q618" s="78">
        <f>INDEX($C$1:$I$1,MATCH(Tabel3[[#This Row],[Type]],Devoirs[[#Headers],[J0]:[J60]],0))</f>
        <v>30</v>
      </c>
      <c r="R618" s="85" cm="1">
        <f t="array" aca="1" ref="R61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45941.485833333383</v>
      </c>
      <c r="S61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45978.429895833338</v>
      </c>
      <c r="T61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45978.441354166673</v>
      </c>
      <c r="U618" s="82">
        <f ca="1">--(Tabel3[[#This Row],[jour]]&lt;&gt;TRUNC(Tabel3[[#This Row],[fin]]))</f>
        <v>0</v>
      </c>
      <c r="V618" s="82">
        <f ca="1">IF(Tabel3[[#This Row],[Type]]="j0",0,--(TRUNC(Tabel3[[#This Row],[debut]])-TRUNC(Tabel3[[#This Row],[fin precedent]])&lt;Tabel3[[#This Row],[delai]]))</f>
        <v>0</v>
      </c>
      <c r="X618"/>
      <c r="Y618" s="75"/>
    </row>
    <row r="619" spans="12:25" ht="18" customHeight="1" x14ac:dyDescent="0.2">
      <c r="L619" s="78" t="s">
        <v>43</v>
      </c>
      <c r="M619" s="78" t="s">
        <v>48</v>
      </c>
      <c r="N619" s="78" t="s">
        <v>42</v>
      </c>
      <c r="O619" s="84">
        <v>45979</v>
      </c>
      <c r="P619" s="78">
        <v>4.8</v>
      </c>
      <c r="Q619" s="78">
        <f>INDEX($C$1:$I$1,MATCH(Tabel3[[#This Row],[Type]],Devoirs[[#Headers],[J0]:[J60]],0))</f>
        <v>30</v>
      </c>
      <c r="R619" s="85" cm="1">
        <f t="array" aca="1" ref="R61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45958.406562500131</v>
      </c>
      <c r="S61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45979.333333333336</v>
      </c>
      <c r="T61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45979.33666666667</v>
      </c>
      <c r="U619" s="82">
        <f ca="1">--(Tabel3[[#This Row],[jour]]&lt;&gt;TRUNC(Tabel3[[#This Row],[fin]]))</f>
        <v>0</v>
      </c>
      <c r="V619" s="82">
        <f ca="1">IF(Tabel3[[#This Row],[Type]]="j0",0,--(TRUNC(Tabel3[[#This Row],[debut]])-TRUNC(Tabel3[[#This Row],[fin precedent]])&lt;Tabel3[[#This Row],[delai]]))</f>
        <v>1</v>
      </c>
      <c r="X619"/>
      <c r="Y619" s="75"/>
    </row>
    <row r="620" spans="12:25" ht="18" customHeight="1" x14ac:dyDescent="0.2">
      <c r="L620" s="78" t="s">
        <v>51</v>
      </c>
      <c r="M620" s="78" t="s">
        <v>58</v>
      </c>
      <c r="N620" s="78" t="s">
        <v>42</v>
      </c>
      <c r="O620" s="84">
        <v>45979</v>
      </c>
      <c r="P620" s="78">
        <v>8.4</v>
      </c>
      <c r="Q620" s="78">
        <f>INDEX($C$1:$I$1,MATCH(Tabel3[[#This Row],[Type]],Devoirs[[#Headers],[J0]:[J60]],0))</f>
        <v>30</v>
      </c>
      <c r="R620" s="85" cm="1">
        <f t="array" aca="1" ref="R62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45941.426666666717</v>
      </c>
      <c r="S62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45979.33666666667</v>
      </c>
      <c r="T62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45979.342500000006</v>
      </c>
      <c r="U620" s="82">
        <f ca="1">--(Tabel3[[#This Row],[jour]]&lt;&gt;TRUNC(Tabel3[[#This Row],[fin]]))</f>
        <v>0</v>
      </c>
      <c r="V620" s="82">
        <f ca="1">IF(Tabel3[[#This Row],[Type]]="j0",0,--(TRUNC(Tabel3[[#This Row],[debut]])-TRUNC(Tabel3[[#This Row],[fin precedent]])&lt;Tabel3[[#This Row],[delai]]))</f>
        <v>0</v>
      </c>
      <c r="X620"/>
      <c r="Y620" s="75"/>
    </row>
    <row r="621" spans="12:25" ht="18" customHeight="1" x14ac:dyDescent="0.2">
      <c r="L621" s="78" t="s">
        <v>125</v>
      </c>
      <c r="M621" s="78" t="s">
        <v>131</v>
      </c>
      <c r="N621" s="78" t="s">
        <v>42</v>
      </c>
      <c r="O621" s="84">
        <v>45979</v>
      </c>
      <c r="P621" s="78">
        <v>8.4</v>
      </c>
      <c r="Q621" s="78">
        <f>INDEX($C$1:$I$1,MATCH(Tabel3[[#This Row],[Type]],Devoirs[[#Headers],[J0]:[J60]],0))</f>
        <v>30</v>
      </c>
      <c r="R621" s="85" cm="1">
        <f t="array" aca="1" ref="R62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45950.596666666752</v>
      </c>
      <c r="S62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45979.342500000006</v>
      </c>
      <c r="T62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45979.348333333342</v>
      </c>
      <c r="U621" s="82">
        <f ca="1">--(Tabel3[[#This Row],[jour]]&lt;&gt;TRUNC(Tabel3[[#This Row],[fin]]))</f>
        <v>0</v>
      </c>
      <c r="V621" s="82">
        <f ca="1">IF(Tabel3[[#This Row],[Type]]="j0",0,--(TRUNC(Tabel3[[#This Row],[debut]])-TRUNC(Tabel3[[#This Row],[fin precedent]])&lt;Tabel3[[#This Row],[delai]]))</f>
        <v>1</v>
      </c>
      <c r="X621"/>
      <c r="Y621" s="75"/>
    </row>
    <row r="622" spans="12:25" ht="18" customHeight="1" x14ac:dyDescent="0.2">
      <c r="L622" s="78" t="s">
        <v>51</v>
      </c>
      <c r="M622" s="78" t="s">
        <v>52</v>
      </c>
      <c r="N622" s="78" t="s">
        <v>42</v>
      </c>
      <c r="O622" s="84">
        <v>45979</v>
      </c>
      <c r="P622" s="78">
        <v>15.299999999999999</v>
      </c>
      <c r="Q622" s="78">
        <f>INDEX($C$1:$I$1,MATCH(Tabel3[[#This Row],[Type]],Devoirs[[#Headers],[J0]:[J60]],0))</f>
        <v>30</v>
      </c>
      <c r="R622" s="85" cm="1">
        <f t="array" aca="1" ref="R62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45941.426666666717</v>
      </c>
      <c r="S62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45979.348333333342</v>
      </c>
      <c r="T62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45979.358958333345</v>
      </c>
      <c r="U622" s="82">
        <f ca="1">--(Tabel3[[#This Row],[jour]]&lt;&gt;TRUNC(Tabel3[[#This Row],[fin]]))</f>
        <v>0</v>
      </c>
      <c r="V622" s="82">
        <f ca="1">IF(Tabel3[[#This Row],[Type]]="j0",0,--(TRUNC(Tabel3[[#This Row],[debut]])-TRUNC(Tabel3[[#This Row],[fin precedent]])&lt;Tabel3[[#This Row],[delai]]))</f>
        <v>0</v>
      </c>
      <c r="X622"/>
      <c r="Y622" s="75"/>
    </row>
    <row r="623" spans="12:25" ht="18" customHeight="1" x14ac:dyDescent="0.2">
      <c r="L623" s="78" t="s">
        <v>135</v>
      </c>
      <c r="M623" s="78" t="s">
        <v>158</v>
      </c>
      <c r="N623" s="78" t="s">
        <v>42</v>
      </c>
      <c r="O623" s="84">
        <v>45979</v>
      </c>
      <c r="P623" s="78">
        <v>15.6</v>
      </c>
      <c r="Q623" s="78">
        <f>INDEX($C$1:$I$1,MATCH(Tabel3[[#This Row],[Type]],Devoirs[[#Headers],[J0]:[J60]],0))</f>
        <v>30</v>
      </c>
      <c r="R623" s="85" cm="1">
        <f t="array" aca="1" ref="R62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45940.432430555607</v>
      </c>
      <c r="S62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45979.358958333345</v>
      </c>
      <c r="T62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45979.369791666679</v>
      </c>
      <c r="U623" s="82">
        <f ca="1">--(Tabel3[[#This Row],[jour]]&lt;&gt;TRUNC(Tabel3[[#This Row],[fin]]))</f>
        <v>0</v>
      </c>
      <c r="V623" s="82">
        <f ca="1">IF(Tabel3[[#This Row],[Type]]="j0",0,--(TRUNC(Tabel3[[#This Row],[debut]])-TRUNC(Tabel3[[#This Row],[fin precedent]])&lt;Tabel3[[#This Row],[delai]]))</f>
        <v>0</v>
      </c>
      <c r="X623"/>
      <c r="Y623" s="75"/>
    </row>
    <row r="624" spans="12:25" ht="18" customHeight="1" x14ac:dyDescent="0.2">
      <c r="L624" s="78" t="s">
        <v>64</v>
      </c>
      <c r="M624" s="78" t="s">
        <v>67</v>
      </c>
      <c r="N624" s="78" t="s">
        <v>42</v>
      </c>
      <c r="O624" s="84">
        <v>45982</v>
      </c>
      <c r="P624" s="78">
        <v>4.95</v>
      </c>
      <c r="Q624" s="78">
        <f>INDEX($C$1:$I$1,MATCH(Tabel3[[#This Row],[Type]],Devoirs[[#Headers],[J0]:[J60]],0))</f>
        <v>30</v>
      </c>
      <c r="R624" s="85" cm="1">
        <f t="array" aca="1" ref="R62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45955.505312500114</v>
      </c>
      <c r="S62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45982.333333333336</v>
      </c>
      <c r="T62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45982.336770833339</v>
      </c>
      <c r="U624" s="82">
        <f ca="1">--(Tabel3[[#This Row],[jour]]&lt;&gt;TRUNC(Tabel3[[#This Row],[fin]]))</f>
        <v>0</v>
      </c>
      <c r="V624" s="82">
        <f ca="1">IF(Tabel3[[#This Row],[Type]]="j0",0,--(TRUNC(Tabel3[[#This Row],[debut]])-TRUNC(Tabel3[[#This Row],[fin precedent]])&lt;Tabel3[[#This Row],[delai]]))</f>
        <v>1</v>
      </c>
      <c r="X624"/>
      <c r="Y624" s="75"/>
    </row>
    <row r="625" spans="12:25" ht="18" customHeight="1" x14ac:dyDescent="0.2">
      <c r="L625" s="78" t="s">
        <v>104</v>
      </c>
      <c r="M625" s="78" t="s">
        <v>116</v>
      </c>
      <c r="N625" s="78" t="s">
        <v>42</v>
      </c>
      <c r="O625" s="84">
        <v>45982</v>
      </c>
      <c r="P625" s="78">
        <v>16.5</v>
      </c>
      <c r="Q625" s="78">
        <f>INDEX($C$1:$I$1,MATCH(Tabel3[[#This Row],[Type]],Devoirs[[#Headers],[J0]:[J60]],0))</f>
        <v>30</v>
      </c>
      <c r="R625" s="85" cm="1">
        <f t="array" aca="1" ref="R62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45941.462291666714</v>
      </c>
      <c r="S62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45982.336770833339</v>
      </c>
      <c r="T62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45982.348229166673</v>
      </c>
      <c r="U625" s="82">
        <f ca="1">--(Tabel3[[#This Row],[jour]]&lt;&gt;TRUNC(Tabel3[[#This Row],[fin]]))</f>
        <v>0</v>
      </c>
      <c r="V625" s="82">
        <f ca="1">IF(Tabel3[[#This Row],[Type]]="j0",0,--(TRUNC(Tabel3[[#This Row],[debut]])-TRUNC(Tabel3[[#This Row],[fin precedent]])&lt;Tabel3[[#This Row],[delai]]))</f>
        <v>0</v>
      </c>
      <c r="X625"/>
      <c r="Y625" s="75"/>
    </row>
    <row r="626" spans="12:25" ht="18" customHeight="1" x14ac:dyDescent="0.2">
      <c r="L626" s="78" t="s">
        <v>104</v>
      </c>
      <c r="M626" s="78" t="s">
        <v>109</v>
      </c>
      <c r="N626" s="78" t="s">
        <v>42</v>
      </c>
      <c r="O626" s="84">
        <v>45982</v>
      </c>
      <c r="P626" s="78">
        <v>16.8</v>
      </c>
      <c r="Q626" s="78">
        <f>INDEX($C$1:$I$1,MATCH(Tabel3[[#This Row],[Type]],Devoirs[[#Headers],[J0]:[J60]],0))</f>
        <v>30</v>
      </c>
      <c r="R626" s="85" cm="1">
        <f t="array" aca="1" ref="R62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45941.462291666714</v>
      </c>
      <c r="S62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45982.348229166673</v>
      </c>
      <c r="T62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45982.359895833339</v>
      </c>
      <c r="U626" s="82">
        <f ca="1">--(Tabel3[[#This Row],[jour]]&lt;&gt;TRUNC(Tabel3[[#This Row],[fin]]))</f>
        <v>0</v>
      </c>
      <c r="V626" s="82">
        <f ca="1">IF(Tabel3[[#This Row],[Type]]="j0",0,--(TRUNC(Tabel3[[#This Row],[debut]])-TRUNC(Tabel3[[#This Row],[fin precedent]])&lt;Tabel3[[#This Row],[delai]]))</f>
        <v>0</v>
      </c>
      <c r="X626"/>
      <c r="Y626" s="75"/>
    </row>
    <row r="627" spans="12:25" ht="18" customHeight="1" x14ac:dyDescent="0.2">
      <c r="L627" s="78" t="s">
        <v>135</v>
      </c>
      <c r="M627" s="78" t="s">
        <v>136</v>
      </c>
      <c r="N627" s="78" t="s">
        <v>42</v>
      </c>
      <c r="O627" s="84">
        <v>45983</v>
      </c>
      <c r="P627" s="78">
        <v>8.6999999999999993</v>
      </c>
      <c r="Q627" s="78">
        <f>INDEX($C$1:$I$1,MATCH(Tabel3[[#This Row],[Type]],Devoirs[[#Headers],[J0]:[J60]],0))</f>
        <v>30</v>
      </c>
      <c r="R627" s="85" cm="1">
        <f t="array" aca="1" ref="R62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45940.432430555607</v>
      </c>
      <c r="S62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45983.333333333336</v>
      </c>
      <c r="T62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45983.339375000003</v>
      </c>
      <c r="U627" s="82">
        <f ca="1">--(Tabel3[[#This Row],[jour]]&lt;&gt;TRUNC(Tabel3[[#This Row],[fin]]))</f>
        <v>0</v>
      </c>
      <c r="V627" s="82">
        <f ca="1">IF(Tabel3[[#This Row],[Type]]="j0",0,--(TRUNC(Tabel3[[#This Row],[debut]])-TRUNC(Tabel3[[#This Row],[fin precedent]])&lt;Tabel3[[#This Row],[delai]]))</f>
        <v>0</v>
      </c>
      <c r="X627"/>
      <c r="Y627" s="75"/>
    </row>
    <row r="628" spans="12:25" ht="18" customHeight="1" x14ac:dyDescent="0.2">
      <c r="L628" s="78" t="s">
        <v>85</v>
      </c>
      <c r="M628" s="78" t="s">
        <v>93</v>
      </c>
      <c r="N628" s="78" t="s">
        <v>42</v>
      </c>
      <c r="O628" s="84">
        <v>45983</v>
      </c>
      <c r="P628" s="78">
        <v>11.7</v>
      </c>
      <c r="Q628" s="78">
        <f>INDEX($C$1:$I$1,MATCH(Tabel3[[#This Row],[Type]],Devoirs[[#Headers],[J0]:[J60]],0))</f>
        <v>30</v>
      </c>
      <c r="R628" s="85" cm="1">
        <f t="array" aca="1" ref="R62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45941.485833333383</v>
      </c>
      <c r="S62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45983.339375000003</v>
      </c>
      <c r="T62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45983.347500000003</v>
      </c>
      <c r="U628" s="82">
        <f ca="1">--(Tabel3[[#This Row],[jour]]&lt;&gt;TRUNC(Tabel3[[#This Row],[fin]]))</f>
        <v>0</v>
      </c>
      <c r="V628" s="82">
        <f ca="1">IF(Tabel3[[#This Row],[Type]]="j0",0,--(TRUNC(Tabel3[[#This Row],[debut]])-TRUNC(Tabel3[[#This Row],[fin precedent]])&lt;Tabel3[[#This Row],[delai]]))</f>
        <v>0</v>
      </c>
      <c r="X628"/>
      <c r="Y628" s="75"/>
    </row>
    <row r="629" spans="12:25" ht="18" customHeight="1" x14ac:dyDescent="0.2">
      <c r="L629" s="78" t="s">
        <v>43</v>
      </c>
      <c r="M629" s="78" t="s">
        <v>45</v>
      </c>
      <c r="N629" s="78" t="s">
        <v>42</v>
      </c>
      <c r="O629" s="84">
        <v>45983</v>
      </c>
      <c r="P629" s="78">
        <v>12.299999999999999</v>
      </c>
      <c r="Q629" s="78">
        <f>INDEX($C$1:$I$1,MATCH(Tabel3[[#This Row],[Type]],Devoirs[[#Headers],[J0]:[J60]],0))</f>
        <v>30</v>
      </c>
      <c r="R629" s="85" cm="1">
        <f t="array" aca="1" ref="R62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45958.406562500131</v>
      </c>
      <c r="S62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45983.347500000003</v>
      </c>
      <c r="T62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45983.356041666673</v>
      </c>
      <c r="U629" s="82">
        <f ca="1">--(Tabel3[[#This Row],[jour]]&lt;&gt;TRUNC(Tabel3[[#This Row],[fin]]))</f>
        <v>0</v>
      </c>
      <c r="V629" s="82">
        <f ca="1">IF(Tabel3[[#This Row],[Type]]="j0",0,--(TRUNC(Tabel3[[#This Row],[debut]])-TRUNC(Tabel3[[#This Row],[fin precedent]])&lt;Tabel3[[#This Row],[delai]]))</f>
        <v>1</v>
      </c>
      <c r="X629"/>
      <c r="Y629" s="75"/>
    </row>
    <row r="630" spans="12:25" ht="18" customHeight="1" x14ac:dyDescent="0.2">
      <c r="L630" s="78" t="s">
        <v>125</v>
      </c>
      <c r="M630" s="78" t="s">
        <v>134</v>
      </c>
      <c r="N630" s="78" t="s">
        <v>42</v>
      </c>
      <c r="O630" s="84">
        <v>45983</v>
      </c>
      <c r="P630" s="78">
        <v>15.299999999999999</v>
      </c>
      <c r="Q630" s="78">
        <f>INDEX($C$1:$I$1,MATCH(Tabel3[[#This Row],[Type]],Devoirs[[#Headers],[J0]:[J60]],0))</f>
        <v>30</v>
      </c>
      <c r="R630" s="85" cm="1">
        <f t="array" aca="1" ref="R63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45950.596666666752</v>
      </c>
      <c r="S63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45983.356041666673</v>
      </c>
      <c r="T63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45983.366666666676</v>
      </c>
      <c r="U630" s="82">
        <f ca="1">--(Tabel3[[#This Row],[jour]]&lt;&gt;TRUNC(Tabel3[[#This Row],[fin]]))</f>
        <v>0</v>
      </c>
      <c r="V630" s="82">
        <f ca="1">IF(Tabel3[[#This Row],[Type]]="j0",0,--(TRUNC(Tabel3[[#This Row],[debut]])-TRUNC(Tabel3[[#This Row],[fin precedent]])&lt;Tabel3[[#This Row],[delai]]))</f>
        <v>0</v>
      </c>
      <c r="X630"/>
      <c r="Y630" s="75"/>
    </row>
    <row r="631" spans="12:25" ht="18" customHeight="1" x14ac:dyDescent="0.2">
      <c r="L631" s="78" t="s">
        <v>74</v>
      </c>
      <c r="M631" s="78" t="s">
        <v>84</v>
      </c>
      <c r="N631" s="78" t="s">
        <v>42</v>
      </c>
      <c r="O631" s="84">
        <v>45984</v>
      </c>
      <c r="P631" s="78">
        <v>6</v>
      </c>
      <c r="Q631" s="78">
        <f>INDEX($C$1:$I$1,MATCH(Tabel3[[#This Row],[Type]],Devoirs[[#Headers],[J0]:[J60]],0))</f>
        <v>30</v>
      </c>
      <c r="R631" s="85" cm="1">
        <f t="array" aca="1" ref="R63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45951.730277777875</v>
      </c>
      <c r="S63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45985.333333333336</v>
      </c>
      <c r="T63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45985.337500000001</v>
      </c>
      <c r="U631" s="82">
        <f ca="1">--(Tabel3[[#This Row],[jour]]&lt;&gt;TRUNC(Tabel3[[#This Row],[fin]]))</f>
        <v>1</v>
      </c>
      <c r="V631" s="82">
        <f ca="1">IF(Tabel3[[#This Row],[Type]]="j0",0,--(TRUNC(Tabel3[[#This Row],[debut]])-TRUNC(Tabel3[[#This Row],[fin precedent]])&lt;Tabel3[[#This Row],[delai]]))</f>
        <v>0</v>
      </c>
      <c r="X631"/>
      <c r="Y631" s="75"/>
    </row>
    <row r="632" spans="12:25" ht="18" customHeight="1" x14ac:dyDescent="0.2">
      <c r="L632" s="78" t="s">
        <v>64</v>
      </c>
      <c r="M632" s="78" t="s">
        <v>68</v>
      </c>
      <c r="N632" s="78" t="s">
        <v>42</v>
      </c>
      <c r="O632" s="84">
        <v>45984</v>
      </c>
      <c r="P632" s="78">
        <v>9</v>
      </c>
      <c r="Q632" s="78">
        <f>INDEX($C$1:$I$1,MATCH(Tabel3[[#This Row],[Type]],Devoirs[[#Headers],[J0]:[J60]],0))</f>
        <v>30</v>
      </c>
      <c r="R632" s="85" cm="1">
        <f t="array" aca="1" ref="R63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45955.505312500114</v>
      </c>
      <c r="S63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45985.337500000001</v>
      </c>
      <c r="T63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45985.34375</v>
      </c>
      <c r="U632" s="82">
        <f ca="1">--(Tabel3[[#This Row],[jour]]&lt;&gt;TRUNC(Tabel3[[#This Row],[fin]]))</f>
        <v>1</v>
      </c>
      <c r="V632" s="82">
        <f ca="1">IF(Tabel3[[#This Row],[Type]]="j0",0,--(TRUNC(Tabel3[[#This Row],[debut]])-TRUNC(Tabel3[[#This Row],[fin precedent]])&lt;Tabel3[[#This Row],[delai]]))</f>
        <v>0</v>
      </c>
      <c r="X632"/>
      <c r="Y632" s="75"/>
    </row>
    <row r="633" spans="12:25" ht="18" customHeight="1" x14ac:dyDescent="0.2">
      <c r="L633" s="78" t="s">
        <v>104</v>
      </c>
      <c r="M633" s="78" t="s">
        <v>121</v>
      </c>
      <c r="N633" s="78" t="s">
        <v>42</v>
      </c>
      <c r="O633" s="84">
        <v>45984</v>
      </c>
      <c r="P633" s="78">
        <v>10.35</v>
      </c>
      <c r="Q633" s="78">
        <f>INDEX($C$1:$I$1,MATCH(Tabel3[[#This Row],[Type]],Devoirs[[#Headers],[J0]:[J60]],0))</f>
        <v>30</v>
      </c>
      <c r="R633" s="85" cm="1">
        <f t="array" aca="1" ref="R63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45941.462291666714</v>
      </c>
      <c r="S63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45985.34375</v>
      </c>
      <c r="T63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45985.350937499999</v>
      </c>
      <c r="U633" s="82">
        <f ca="1">--(Tabel3[[#This Row],[jour]]&lt;&gt;TRUNC(Tabel3[[#This Row],[fin]]))</f>
        <v>1</v>
      </c>
      <c r="V633" s="82">
        <f ca="1">IF(Tabel3[[#This Row],[Type]]="j0",0,--(TRUNC(Tabel3[[#This Row],[debut]])-TRUNC(Tabel3[[#This Row],[fin precedent]])&lt;Tabel3[[#This Row],[delai]]))</f>
        <v>0</v>
      </c>
      <c r="X633"/>
      <c r="Y633" s="75"/>
    </row>
    <row r="634" spans="12:25" ht="18" customHeight="1" x14ac:dyDescent="0.2">
      <c r="L634" s="78" t="s">
        <v>104</v>
      </c>
      <c r="M634" s="78" t="s">
        <v>112</v>
      </c>
      <c r="N634" s="78" t="s">
        <v>42</v>
      </c>
      <c r="O634" s="84">
        <v>45984</v>
      </c>
      <c r="P634" s="78">
        <v>14.7</v>
      </c>
      <c r="Q634" s="78">
        <f>INDEX($C$1:$I$1,MATCH(Tabel3[[#This Row],[Type]],Devoirs[[#Headers],[J0]:[J60]],0))</f>
        <v>30</v>
      </c>
      <c r="R634" s="85" cm="1">
        <f t="array" aca="1" ref="R63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45941.462291666714</v>
      </c>
      <c r="S63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45985.350937499999</v>
      </c>
      <c r="T63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45985.361145833333</v>
      </c>
      <c r="U634" s="82">
        <f ca="1">--(Tabel3[[#This Row],[jour]]&lt;&gt;TRUNC(Tabel3[[#This Row],[fin]]))</f>
        <v>1</v>
      </c>
      <c r="V634" s="82">
        <f ca="1">IF(Tabel3[[#This Row],[Type]]="j0",0,--(TRUNC(Tabel3[[#This Row],[debut]])-TRUNC(Tabel3[[#This Row],[fin precedent]])&lt;Tabel3[[#This Row],[delai]]))</f>
        <v>0</v>
      </c>
      <c r="X634"/>
      <c r="Y634" s="75"/>
    </row>
    <row r="635" spans="12:25" ht="18" customHeight="1" x14ac:dyDescent="0.2">
      <c r="L635" s="78" t="s">
        <v>95</v>
      </c>
      <c r="M635" s="78" t="s">
        <v>100</v>
      </c>
      <c r="N635" s="78" t="s">
        <v>42</v>
      </c>
      <c r="O635" s="84">
        <v>45984</v>
      </c>
      <c r="P635" s="78">
        <v>15</v>
      </c>
      <c r="Q635" s="78">
        <f>INDEX($C$1:$I$1,MATCH(Tabel3[[#This Row],[Type]],Devoirs[[#Headers],[J0]:[J60]],0))</f>
        <v>30</v>
      </c>
      <c r="R635" s="85" cm="1">
        <f t="array" aca="1" ref="R63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45955.468020833447</v>
      </c>
      <c r="S63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45985.361145833333</v>
      </c>
      <c r="T63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45985.371562499997</v>
      </c>
      <c r="U635" s="82">
        <f ca="1">--(Tabel3[[#This Row],[jour]]&lt;&gt;TRUNC(Tabel3[[#This Row],[fin]]))</f>
        <v>1</v>
      </c>
      <c r="V635" s="82">
        <f ca="1">IF(Tabel3[[#This Row],[Type]]="j0",0,--(TRUNC(Tabel3[[#This Row],[debut]])-TRUNC(Tabel3[[#This Row],[fin precedent]])&lt;Tabel3[[#This Row],[delai]]))</f>
        <v>0</v>
      </c>
      <c r="X635"/>
      <c r="Y635" s="75"/>
    </row>
    <row r="636" spans="12:25" ht="18" customHeight="1" x14ac:dyDescent="0.2">
      <c r="L636" s="78" t="s">
        <v>95</v>
      </c>
      <c r="M636" s="78" t="s">
        <v>101</v>
      </c>
      <c r="N636" s="78" t="s">
        <v>42</v>
      </c>
      <c r="O636" s="84">
        <v>45984</v>
      </c>
      <c r="P636" s="78">
        <v>15</v>
      </c>
      <c r="Q636" s="78">
        <f>INDEX($C$1:$I$1,MATCH(Tabel3[[#This Row],[Type]],Devoirs[[#Headers],[J0]:[J60]],0))</f>
        <v>30</v>
      </c>
      <c r="R636" s="85" cm="1">
        <f t="array" aca="1" ref="R63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45955.468020833447</v>
      </c>
      <c r="S63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45985.371562499997</v>
      </c>
      <c r="T63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45985.381979166661</v>
      </c>
      <c r="U636" s="82">
        <f ca="1">--(Tabel3[[#This Row],[jour]]&lt;&gt;TRUNC(Tabel3[[#This Row],[fin]]))</f>
        <v>1</v>
      </c>
      <c r="V636" s="82">
        <f ca="1">IF(Tabel3[[#This Row],[Type]]="j0",0,--(TRUNC(Tabel3[[#This Row],[debut]])-TRUNC(Tabel3[[#This Row],[fin precedent]])&lt;Tabel3[[#This Row],[delai]]))</f>
        <v>0</v>
      </c>
      <c r="X636"/>
      <c r="Y636" s="75"/>
    </row>
    <row r="637" spans="12:25" ht="18" customHeight="1" x14ac:dyDescent="0.2">
      <c r="L637" s="78" t="s">
        <v>104</v>
      </c>
      <c r="M637" s="78" t="s">
        <v>110</v>
      </c>
      <c r="N637" s="78" t="s">
        <v>42</v>
      </c>
      <c r="O637" s="84">
        <v>45984</v>
      </c>
      <c r="P637" s="78">
        <v>15</v>
      </c>
      <c r="Q637" s="78">
        <f>INDEX($C$1:$I$1,MATCH(Tabel3[[#This Row],[Type]],Devoirs[[#Headers],[J0]:[J60]],0))</f>
        <v>30</v>
      </c>
      <c r="R637" s="85" cm="1">
        <f t="array" aca="1" ref="R63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45941.462291666714</v>
      </c>
      <c r="S63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45985.381979166661</v>
      </c>
      <c r="T63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45985.392395833325</v>
      </c>
      <c r="U637" s="82">
        <f ca="1">--(Tabel3[[#This Row],[jour]]&lt;&gt;TRUNC(Tabel3[[#This Row],[fin]]))</f>
        <v>1</v>
      </c>
      <c r="V637" s="82">
        <f ca="1">IF(Tabel3[[#This Row],[Type]]="j0",0,--(TRUNC(Tabel3[[#This Row],[debut]])-TRUNC(Tabel3[[#This Row],[fin precedent]])&lt;Tabel3[[#This Row],[delai]]))</f>
        <v>0</v>
      </c>
      <c r="X637"/>
      <c r="Y637" s="75"/>
    </row>
    <row r="638" spans="12:25" ht="18" customHeight="1" x14ac:dyDescent="0.2">
      <c r="L638" s="78" t="s">
        <v>104</v>
      </c>
      <c r="M638" s="78" t="s">
        <v>119</v>
      </c>
      <c r="N638" s="78" t="s">
        <v>42</v>
      </c>
      <c r="O638" s="84">
        <v>45985</v>
      </c>
      <c r="P638" s="78">
        <v>5.0999999999999996</v>
      </c>
      <c r="Q638" s="78">
        <f>INDEX($C$1:$I$1,MATCH(Tabel3[[#This Row],[Type]],Devoirs[[#Headers],[J0]:[J60]],0))</f>
        <v>30</v>
      </c>
      <c r="R638" s="85" cm="1">
        <f t="array" aca="1" ref="R63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45941.462291666714</v>
      </c>
      <c r="S63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45985.392395833325</v>
      </c>
      <c r="T63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45985.39593749999</v>
      </c>
      <c r="U638" s="82">
        <f ca="1">--(Tabel3[[#This Row],[jour]]&lt;&gt;TRUNC(Tabel3[[#This Row],[fin]]))</f>
        <v>0</v>
      </c>
      <c r="V638" s="82">
        <f ca="1">IF(Tabel3[[#This Row],[Type]]="j0",0,--(TRUNC(Tabel3[[#This Row],[debut]])-TRUNC(Tabel3[[#This Row],[fin precedent]])&lt;Tabel3[[#This Row],[delai]]))</f>
        <v>0</v>
      </c>
      <c r="X638"/>
      <c r="Y638" s="75"/>
    </row>
    <row r="639" spans="12:25" ht="18" customHeight="1" x14ac:dyDescent="0.2">
      <c r="L639" s="78" t="s">
        <v>85</v>
      </c>
      <c r="M639" s="78" t="s">
        <v>87</v>
      </c>
      <c r="N639" s="78" t="s">
        <v>42</v>
      </c>
      <c r="O639" s="84">
        <v>45985</v>
      </c>
      <c r="P639" s="78">
        <v>5.3999999999999995</v>
      </c>
      <c r="Q639" s="78">
        <f>INDEX($C$1:$I$1,MATCH(Tabel3[[#This Row],[Type]],Devoirs[[#Headers],[J0]:[J60]],0))</f>
        <v>30</v>
      </c>
      <c r="R639" s="85" cm="1">
        <f t="array" aca="1" ref="R63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45941.485833333383</v>
      </c>
      <c r="S63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45985.39593749999</v>
      </c>
      <c r="T63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45985.399687499994</v>
      </c>
      <c r="U639" s="82">
        <f ca="1">--(Tabel3[[#This Row],[jour]]&lt;&gt;TRUNC(Tabel3[[#This Row],[fin]]))</f>
        <v>0</v>
      </c>
      <c r="V639" s="82">
        <f ca="1">IF(Tabel3[[#This Row],[Type]]="j0",0,--(TRUNC(Tabel3[[#This Row],[debut]])-TRUNC(Tabel3[[#This Row],[fin precedent]])&lt;Tabel3[[#This Row],[delai]]))</f>
        <v>0</v>
      </c>
      <c r="X639"/>
      <c r="Y639" s="75"/>
    </row>
    <row r="640" spans="12:25" ht="18" customHeight="1" x14ac:dyDescent="0.2">
      <c r="L640" s="78" t="s">
        <v>85</v>
      </c>
      <c r="M640" s="78" t="s">
        <v>94</v>
      </c>
      <c r="N640" s="78" t="s">
        <v>42</v>
      </c>
      <c r="O640" s="84">
        <v>45985</v>
      </c>
      <c r="P640" s="78">
        <v>10.5</v>
      </c>
      <c r="Q640" s="78">
        <f>INDEX($C$1:$I$1,MATCH(Tabel3[[#This Row],[Type]],Devoirs[[#Headers],[J0]:[J60]],0))</f>
        <v>30</v>
      </c>
      <c r="R640" s="85" cm="1">
        <f t="array" aca="1" ref="R64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45941.485833333383</v>
      </c>
      <c r="S64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45985.399687499994</v>
      </c>
      <c r="T64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45985.406979166662</v>
      </c>
      <c r="U640" s="82">
        <f ca="1">--(Tabel3[[#This Row],[jour]]&lt;&gt;TRUNC(Tabel3[[#This Row],[fin]]))</f>
        <v>0</v>
      </c>
      <c r="V640" s="82">
        <f ca="1">IF(Tabel3[[#This Row],[Type]]="j0",0,--(TRUNC(Tabel3[[#This Row],[debut]])-TRUNC(Tabel3[[#This Row],[fin precedent]])&lt;Tabel3[[#This Row],[delai]]))</f>
        <v>0</v>
      </c>
      <c r="X640"/>
      <c r="Y640" s="75"/>
    </row>
    <row r="641" spans="12:25" ht="18" customHeight="1" x14ac:dyDescent="0.2">
      <c r="L641" s="78" t="s">
        <v>43</v>
      </c>
      <c r="M641" s="78" t="s">
        <v>46</v>
      </c>
      <c r="N641" s="78" t="s">
        <v>42</v>
      </c>
      <c r="O641" s="84">
        <v>45985</v>
      </c>
      <c r="P641" s="78">
        <v>11.4</v>
      </c>
      <c r="Q641" s="78">
        <f>INDEX($C$1:$I$1,MATCH(Tabel3[[#This Row],[Type]],Devoirs[[#Headers],[J0]:[J60]],0))</f>
        <v>30</v>
      </c>
      <c r="R641" s="85" cm="1">
        <f t="array" aca="1" ref="R64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45958.406562500131</v>
      </c>
      <c r="S64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45985.406979166662</v>
      </c>
      <c r="T64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45985.414895833332</v>
      </c>
      <c r="U641" s="82">
        <f ca="1">--(Tabel3[[#This Row],[jour]]&lt;&gt;TRUNC(Tabel3[[#This Row],[fin]]))</f>
        <v>0</v>
      </c>
      <c r="V641" s="82">
        <f ca="1">IF(Tabel3[[#This Row],[Type]]="j0",0,--(TRUNC(Tabel3[[#This Row],[debut]])-TRUNC(Tabel3[[#This Row],[fin precedent]])&lt;Tabel3[[#This Row],[delai]]))</f>
        <v>1</v>
      </c>
      <c r="X641"/>
      <c r="Y641" s="75"/>
    </row>
    <row r="642" spans="12:25" ht="18" customHeight="1" x14ac:dyDescent="0.2">
      <c r="L642" s="78" t="s">
        <v>125</v>
      </c>
      <c r="M642" s="78" t="s">
        <v>129</v>
      </c>
      <c r="N642" s="78" t="s">
        <v>42</v>
      </c>
      <c r="O642" s="84">
        <v>45985</v>
      </c>
      <c r="P642" s="78">
        <v>13.2</v>
      </c>
      <c r="Q642" s="78">
        <f>INDEX($C$1:$I$1,MATCH(Tabel3[[#This Row],[Type]],Devoirs[[#Headers],[J0]:[J60]],0))</f>
        <v>30</v>
      </c>
      <c r="R642" s="85" cm="1">
        <f t="array" aca="1" ref="R64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45950.596666666752</v>
      </c>
      <c r="S64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45985.414895833332</v>
      </c>
      <c r="T64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45985.424062499995</v>
      </c>
      <c r="U642" s="82">
        <f ca="1">--(Tabel3[[#This Row],[jour]]&lt;&gt;TRUNC(Tabel3[[#This Row],[fin]]))</f>
        <v>0</v>
      </c>
      <c r="V642" s="82">
        <f ca="1">IF(Tabel3[[#This Row],[Type]]="j0",0,--(TRUNC(Tabel3[[#This Row],[debut]])-TRUNC(Tabel3[[#This Row],[fin precedent]])&lt;Tabel3[[#This Row],[delai]]))</f>
        <v>0</v>
      </c>
      <c r="X642"/>
      <c r="Y642" s="75"/>
    </row>
    <row r="643" spans="12:25" ht="18" customHeight="1" x14ac:dyDescent="0.2">
      <c r="L643" s="78" t="s">
        <v>104</v>
      </c>
      <c r="M643" s="78" t="s">
        <v>122</v>
      </c>
      <c r="N643" s="78" t="s">
        <v>42</v>
      </c>
      <c r="O643" s="84">
        <v>45989</v>
      </c>
      <c r="P643" s="78">
        <v>11.85</v>
      </c>
      <c r="Q643" s="78">
        <f>INDEX($C$1:$I$1,MATCH(Tabel3[[#This Row],[Type]],Devoirs[[#Headers],[J0]:[J60]],0))</f>
        <v>30</v>
      </c>
      <c r="R643" s="85" cm="1">
        <f t="array" aca="1" ref="R64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45941.462291666714</v>
      </c>
      <c r="S64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45989.333333333336</v>
      </c>
      <c r="T64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45989.341562500005</v>
      </c>
      <c r="U643" s="82">
        <f ca="1">--(Tabel3[[#This Row],[jour]]&lt;&gt;TRUNC(Tabel3[[#This Row],[fin]]))</f>
        <v>0</v>
      </c>
      <c r="V643" s="82">
        <f ca="1">IF(Tabel3[[#This Row],[Type]]="j0",0,--(TRUNC(Tabel3[[#This Row],[debut]])-TRUNC(Tabel3[[#This Row],[fin precedent]])&lt;Tabel3[[#This Row],[delai]]))</f>
        <v>0</v>
      </c>
      <c r="X643"/>
      <c r="Y643" s="75"/>
    </row>
    <row r="644" spans="12:25" ht="18" customHeight="1" x14ac:dyDescent="0.2">
      <c r="L644" s="78" t="s">
        <v>74</v>
      </c>
      <c r="M644" s="78" t="s">
        <v>77</v>
      </c>
      <c r="N644" s="78" t="s">
        <v>42</v>
      </c>
      <c r="O644" s="84">
        <v>45989</v>
      </c>
      <c r="P644" s="78">
        <v>16.2</v>
      </c>
      <c r="Q644" s="78">
        <f>INDEX($C$1:$I$1,MATCH(Tabel3[[#This Row],[Type]],Devoirs[[#Headers],[J0]:[J60]],0))</f>
        <v>30</v>
      </c>
      <c r="R644" s="85" cm="1">
        <f t="array" aca="1" ref="R64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45951.730277777875</v>
      </c>
      <c r="S64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45989.341562500005</v>
      </c>
      <c r="T64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45989.352812500008</v>
      </c>
      <c r="U644" s="82">
        <f ca="1">--(Tabel3[[#This Row],[jour]]&lt;&gt;TRUNC(Tabel3[[#This Row],[fin]]))</f>
        <v>0</v>
      </c>
      <c r="V644" s="82">
        <f ca="1">IF(Tabel3[[#This Row],[Type]]="j0",0,--(TRUNC(Tabel3[[#This Row],[debut]])-TRUNC(Tabel3[[#This Row],[fin precedent]])&lt;Tabel3[[#This Row],[delai]]))</f>
        <v>0</v>
      </c>
      <c r="X644"/>
      <c r="Y644" s="75"/>
    </row>
    <row r="645" spans="12:25" ht="18" customHeight="1" x14ac:dyDescent="0.2">
      <c r="L645" s="78" t="s">
        <v>43</v>
      </c>
      <c r="M645" s="78" t="s">
        <v>47</v>
      </c>
      <c r="N645" s="78" t="s">
        <v>42</v>
      </c>
      <c r="O645" s="84">
        <v>45990</v>
      </c>
      <c r="P645" s="78">
        <v>8.85</v>
      </c>
      <c r="Q645" s="78">
        <f>INDEX($C$1:$I$1,MATCH(Tabel3[[#This Row],[Type]],Devoirs[[#Headers],[J0]:[J60]],0))</f>
        <v>30</v>
      </c>
      <c r="R645" s="85" cm="1">
        <f t="array" aca="1" ref="R64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45958.406562500131</v>
      </c>
      <c r="S64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45990.333333333336</v>
      </c>
      <c r="T64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45990.339479166672</v>
      </c>
      <c r="U645" s="82">
        <f ca="1">--(Tabel3[[#This Row],[jour]]&lt;&gt;TRUNC(Tabel3[[#This Row],[fin]]))</f>
        <v>0</v>
      </c>
      <c r="V645" s="82">
        <f ca="1">IF(Tabel3[[#This Row],[Type]]="j0",0,--(TRUNC(Tabel3[[#This Row],[debut]])-TRUNC(Tabel3[[#This Row],[fin precedent]])&lt;Tabel3[[#This Row],[delai]]))</f>
        <v>0</v>
      </c>
      <c r="X645"/>
      <c r="Y645" s="75"/>
    </row>
    <row r="646" spans="12:25" ht="18" customHeight="1" x14ac:dyDescent="0.2">
      <c r="L646" s="78" t="s">
        <v>74</v>
      </c>
      <c r="M646" s="78" t="s">
        <v>76</v>
      </c>
      <c r="N646" s="78" t="s">
        <v>42</v>
      </c>
      <c r="O646" s="84">
        <v>45990</v>
      </c>
      <c r="P646" s="78">
        <v>17.099999999999998</v>
      </c>
      <c r="Q646" s="78">
        <f>INDEX($C$1:$I$1,MATCH(Tabel3[[#This Row],[Type]],Devoirs[[#Headers],[J0]:[J60]],0))</f>
        <v>30</v>
      </c>
      <c r="R646" s="85" cm="1">
        <f t="array" aca="1" ref="R64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45951.730277777875</v>
      </c>
      <c r="S64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45990.339479166672</v>
      </c>
      <c r="T64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45990.351354166669</v>
      </c>
      <c r="U646" s="82">
        <f ca="1">--(Tabel3[[#This Row],[jour]]&lt;&gt;TRUNC(Tabel3[[#This Row],[fin]]))</f>
        <v>0</v>
      </c>
      <c r="V646" s="82">
        <f ca="1">IF(Tabel3[[#This Row],[Type]]="j0",0,--(TRUNC(Tabel3[[#This Row],[debut]])-TRUNC(Tabel3[[#This Row],[fin precedent]])&lt;Tabel3[[#This Row],[delai]]))</f>
        <v>0</v>
      </c>
      <c r="X646"/>
      <c r="Y646" s="75"/>
    </row>
    <row r="647" spans="12:25" ht="18" customHeight="1" x14ac:dyDescent="0.2">
      <c r="L647" s="78" t="s">
        <v>43</v>
      </c>
      <c r="M647" s="78" t="s">
        <v>49</v>
      </c>
      <c r="N647" s="78" t="s">
        <v>42</v>
      </c>
      <c r="O647" s="84">
        <v>45990</v>
      </c>
      <c r="P647" s="78">
        <v>17.7</v>
      </c>
      <c r="Q647" s="78">
        <f>INDEX($C$1:$I$1,MATCH(Tabel3[[#This Row],[Type]],Devoirs[[#Headers],[J0]:[J60]],0))</f>
        <v>30</v>
      </c>
      <c r="R647" s="85" cm="1">
        <f t="array" aca="1" ref="R64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45958.406562500131</v>
      </c>
      <c r="S64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45990.351354166669</v>
      </c>
      <c r="T64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45990.363645833335</v>
      </c>
      <c r="U647" s="82">
        <f ca="1">--(Tabel3[[#This Row],[jour]]&lt;&gt;TRUNC(Tabel3[[#This Row],[fin]]))</f>
        <v>0</v>
      </c>
      <c r="V647" s="82">
        <f ca="1">IF(Tabel3[[#This Row],[Type]]="j0",0,--(TRUNC(Tabel3[[#This Row],[debut]])-TRUNC(Tabel3[[#This Row],[fin precedent]])&lt;Tabel3[[#This Row],[delai]]))</f>
        <v>0</v>
      </c>
      <c r="X647"/>
      <c r="Y647" s="75"/>
    </row>
    <row r="648" spans="12:25" ht="18" customHeight="1" x14ac:dyDescent="0.2">
      <c r="L648" s="78" t="s">
        <v>104</v>
      </c>
      <c r="M648" s="78" t="s">
        <v>124</v>
      </c>
      <c r="N648" s="78" t="s">
        <v>42</v>
      </c>
      <c r="O648" s="84">
        <v>45991</v>
      </c>
      <c r="P648" s="78">
        <v>7.5</v>
      </c>
      <c r="Q648" s="78">
        <f>INDEX($C$1:$I$1,MATCH(Tabel3[[#This Row],[Type]],Devoirs[[#Headers],[J0]:[J60]],0))</f>
        <v>30</v>
      </c>
      <c r="R648" s="85" cm="1">
        <f t="array" aca="1" ref="R64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45941.462291666714</v>
      </c>
      <c r="S64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45992.333333333336</v>
      </c>
      <c r="T64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45992.338541666672</v>
      </c>
      <c r="U648" s="82">
        <f ca="1">--(Tabel3[[#This Row],[jour]]&lt;&gt;TRUNC(Tabel3[[#This Row],[fin]]))</f>
        <v>1</v>
      </c>
      <c r="V648" s="82">
        <f ca="1">IF(Tabel3[[#This Row],[Type]]="j0",0,--(TRUNC(Tabel3[[#This Row],[debut]])-TRUNC(Tabel3[[#This Row],[fin precedent]])&lt;Tabel3[[#This Row],[delai]]))</f>
        <v>0</v>
      </c>
      <c r="X648"/>
      <c r="Y648" s="75"/>
    </row>
    <row r="649" spans="12:25" ht="18" customHeight="1" x14ac:dyDescent="0.2">
      <c r="L649" s="78" t="s">
        <v>51</v>
      </c>
      <c r="M649" s="78" t="s">
        <v>56</v>
      </c>
      <c r="N649" s="78" t="s">
        <v>42</v>
      </c>
      <c r="O649" s="84">
        <v>45991</v>
      </c>
      <c r="P649" s="78">
        <v>9</v>
      </c>
      <c r="Q649" s="78">
        <f>INDEX($C$1:$I$1,MATCH(Tabel3[[#This Row],[Type]],Devoirs[[#Headers],[J0]:[J60]],0))</f>
        <v>30</v>
      </c>
      <c r="R649" s="85" cm="1">
        <f t="array" aca="1" ref="R64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45941.426666666717</v>
      </c>
      <c r="S64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45992.338541666672</v>
      </c>
      <c r="T64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45992.34479166667</v>
      </c>
      <c r="U649" s="82">
        <f ca="1">--(Tabel3[[#This Row],[jour]]&lt;&gt;TRUNC(Tabel3[[#This Row],[fin]]))</f>
        <v>1</v>
      </c>
      <c r="V649" s="82">
        <f ca="1">IF(Tabel3[[#This Row],[Type]]="j0",0,--(TRUNC(Tabel3[[#This Row],[debut]])-TRUNC(Tabel3[[#This Row],[fin precedent]])&lt;Tabel3[[#This Row],[delai]]))</f>
        <v>0</v>
      </c>
      <c r="X649"/>
      <c r="Y649" s="75"/>
    </row>
    <row r="650" spans="12:25" ht="18" customHeight="1" x14ac:dyDescent="0.2">
      <c r="L650" s="78" t="s">
        <v>64</v>
      </c>
      <c r="M650" s="78" t="s">
        <v>73</v>
      </c>
      <c r="N650" s="78" t="s">
        <v>42</v>
      </c>
      <c r="O650" s="84">
        <v>45991</v>
      </c>
      <c r="P650" s="78">
        <v>13.35</v>
      </c>
      <c r="Q650" s="78">
        <f>INDEX($C$1:$I$1,MATCH(Tabel3[[#This Row],[Type]],Devoirs[[#Headers],[J0]:[J60]],0))</f>
        <v>30</v>
      </c>
      <c r="R650" s="85" cm="1">
        <f t="array" aca="1" ref="R65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45955.505312500114</v>
      </c>
      <c r="S65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45992.34479166667</v>
      </c>
      <c r="T65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45992.354062500002</v>
      </c>
      <c r="U650" s="82">
        <f ca="1">--(Tabel3[[#This Row],[jour]]&lt;&gt;TRUNC(Tabel3[[#This Row],[fin]]))</f>
        <v>1</v>
      </c>
      <c r="V650" s="82">
        <f ca="1">IF(Tabel3[[#This Row],[Type]]="j0",0,--(TRUNC(Tabel3[[#This Row],[debut]])-TRUNC(Tabel3[[#This Row],[fin precedent]])&lt;Tabel3[[#This Row],[delai]]))</f>
        <v>0</v>
      </c>
      <c r="X650"/>
      <c r="Y650" s="75"/>
    </row>
    <row r="651" spans="12:25" ht="18" customHeight="1" x14ac:dyDescent="0.2">
      <c r="L651" s="78" t="s">
        <v>104</v>
      </c>
      <c r="M651" s="78" t="s">
        <v>120</v>
      </c>
      <c r="N651" s="78" t="s">
        <v>42</v>
      </c>
      <c r="O651" s="84">
        <v>45991</v>
      </c>
      <c r="P651" s="78">
        <v>15.299999999999999</v>
      </c>
      <c r="Q651" s="78">
        <f>INDEX($C$1:$I$1,MATCH(Tabel3[[#This Row],[Type]],Devoirs[[#Headers],[J0]:[J60]],0))</f>
        <v>30</v>
      </c>
      <c r="R651" s="85" cm="1">
        <f t="array" aca="1" ref="R65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45941.462291666714</v>
      </c>
      <c r="S65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45992.354062500002</v>
      </c>
      <c r="T65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45992.364687500005</v>
      </c>
      <c r="U651" s="82">
        <f ca="1">--(Tabel3[[#This Row],[jour]]&lt;&gt;TRUNC(Tabel3[[#This Row],[fin]]))</f>
        <v>1</v>
      </c>
      <c r="V651" s="82">
        <f ca="1">IF(Tabel3[[#This Row],[Type]]="j0",0,--(TRUNC(Tabel3[[#This Row],[debut]])-TRUNC(Tabel3[[#This Row],[fin precedent]])&lt;Tabel3[[#This Row],[delai]]))</f>
        <v>0</v>
      </c>
      <c r="X651"/>
      <c r="Y651" s="75"/>
    </row>
    <row r="652" spans="12:25" ht="18" customHeight="1" x14ac:dyDescent="0.2">
      <c r="L652" s="78" t="s">
        <v>104</v>
      </c>
      <c r="M652" s="78" t="s">
        <v>123</v>
      </c>
      <c r="N652" s="78" t="s">
        <v>42</v>
      </c>
      <c r="O652" s="84">
        <v>45992</v>
      </c>
      <c r="P652" s="78">
        <v>11.4</v>
      </c>
      <c r="Q652" s="78">
        <f>INDEX($C$1:$I$1,MATCH(Tabel3[[#This Row],[Type]],Devoirs[[#Headers],[J0]:[J60]],0))</f>
        <v>30</v>
      </c>
      <c r="R652" s="85" cm="1">
        <f t="array" aca="1" ref="R65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45941.462291666714</v>
      </c>
      <c r="S65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45992.364687500005</v>
      </c>
      <c r="T65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45992.372604166674</v>
      </c>
      <c r="U652" s="82">
        <f ca="1">--(Tabel3[[#This Row],[jour]]&lt;&gt;TRUNC(Tabel3[[#This Row],[fin]]))</f>
        <v>0</v>
      </c>
      <c r="V652" s="82">
        <f ca="1">IF(Tabel3[[#This Row],[Type]]="j0",0,--(TRUNC(Tabel3[[#This Row],[debut]])-TRUNC(Tabel3[[#This Row],[fin precedent]])&lt;Tabel3[[#This Row],[delai]]))</f>
        <v>0</v>
      </c>
      <c r="X652"/>
      <c r="Y652" s="75"/>
    </row>
    <row r="653" spans="12:25" ht="18" customHeight="1" x14ac:dyDescent="0.2">
      <c r="L653" s="78" t="s">
        <v>43</v>
      </c>
      <c r="M653" s="78" t="s">
        <v>50</v>
      </c>
      <c r="N653" s="78" t="s">
        <v>42</v>
      </c>
      <c r="O653" s="84">
        <v>45992</v>
      </c>
      <c r="P653" s="78">
        <v>17.849999999999998</v>
      </c>
      <c r="Q653" s="78">
        <f>INDEX($C$1:$I$1,MATCH(Tabel3[[#This Row],[Type]],Devoirs[[#Headers],[J0]:[J60]],0))</f>
        <v>30</v>
      </c>
      <c r="R653" s="85" cm="1">
        <f t="array" aca="1" ref="R65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45958.406562500131</v>
      </c>
      <c r="S65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45992.372604166674</v>
      </c>
      <c r="T65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45992.385000000009</v>
      </c>
      <c r="U653" s="82">
        <f ca="1">--(Tabel3[[#This Row],[jour]]&lt;&gt;TRUNC(Tabel3[[#This Row],[fin]]))</f>
        <v>0</v>
      </c>
      <c r="V653" s="82">
        <f ca="1">IF(Tabel3[[#This Row],[Type]]="j0",0,--(TRUNC(Tabel3[[#This Row],[debut]])-TRUNC(Tabel3[[#This Row],[fin precedent]])&lt;Tabel3[[#This Row],[delai]]))</f>
        <v>0</v>
      </c>
      <c r="X653"/>
      <c r="Y653" s="75"/>
    </row>
    <row r="654" spans="12:25" ht="18" customHeight="1" x14ac:dyDescent="0.2">
      <c r="L654" s="78" t="s">
        <v>51</v>
      </c>
      <c r="M654" s="78" t="s">
        <v>53</v>
      </c>
      <c r="N654" s="78" t="s">
        <v>42</v>
      </c>
      <c r="O654" s="84">
        <v>45993</v>
      </c>
      <c r="P654" s="78">
        <v>9.2999999999999989</v>
      </c>
      <c r="Q654" s="78">
        <f>INDEX($C$1:$I$1,MATCH(Tabel3[[#This Row],[Type]],Devoirs[[#Headers],[J0]:[J60]],0))</f>
        <v>30</v>
      </c>
      <c r="R654" s="85" cm="1">
        <f t="array" aca="1" ref="R65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45941.426666666717</v>
      </c>
      <c r="S65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45993.333333333336</v>
      </c>
      <c r="T65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45993.339791666673</v>
      </c>
      <c r="U654" s="82">
        <f ca="1">--(Tabel3[[#This Row],[jour]]&lt;&gt;TRUNC(Tabel3[[#This Row],[fin]]))</f>
        <v>0</v>
      </c>
      <c r="V654" s="82">
        <f ca="1">IF(Tabel3[[#This Row],[Type]]="j0",0,--(TRUNC(Tabel3[[#This Row],[debut]])-TRUNC(Tabel3[[#This Row],[fin precedent]])&lt;Tabel3[[#This Row],[delai]]))</f>
        <v>0</v>
      </c>
      <c r="X654"/>
      <c r="Y654" s="75"/>
    </row>
    <row r="655" spans="12:25" ht="18" customHeight="1" x14ac:dyDescent="0.2">
      <c r="L655" s="78" t="s">
        <v>104</v>
      </c>
      <c r="M655" s="78" t="s">
        <v>111</v>
      </c>
      <c r="N655" s="78" t="s">
        <v>42</v>
      </c>
      <c r="O655" s="84">
        <v>45993</v>
      </c>
      <c r="P655" s="78">
        <v>9.2999999999999989</v>
      </c>
      <c r="Q655" s="78">
        <f>INDEX($C$1:$I$1,MATCH(Tabel3[[#This Row],[Type]],Devoirs[[#Headers],[J0]:[J60]],0))</f>
        <v>30</v>
      </c>
      <c r="R655" s="85" cm="1">
        <f t="array" aca="1" ref="R65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45941.462291666714</v>
      </c>
      <c r="S65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45993.339791666673</v>
      </c>
      <c r="T65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45993.34625000001</v>
      </c>
      <c r="U655" s="82">
        <f ca="1">--(Tabel3[[#This Row],[jour]]&lt;&gt;TRUNC(Tabel3[[#This Row],[fin]]))</f>
        <v>0</v>
      </c>
      <c r="V655" s="82">
        <f ca="1">IF(Tabel3[[#This Row],[Type]]="j0",0,--(TRUNC(Tabel3[[#This Row],[debut]])-TRUNC(Tabel3[[#This Row],[fin precedent]])&lt;Tabel3[[#This Row],[delai]]))</f>
        <v>0</v>
      </c>
      <c r="X655"/>
      <c r="Y655" s="75"/>
    </row>
    <row r="656" spans="12:25" ht="18" customHeight="1" x14ac:dyDescent="0.2">
      <c r="L656" s="78" t="s">
        <v>74</v>
      </c>
      <c r="M656" s="78" t="s">
        <v>81</v>
      </c>
      <c r="N656" s="78" t="s">
        <v>42</v>
      </c>
      <c r="O656" s="84">
        <v>45993</v>
      </c>
      <c r="P656" s="78">
        <v>15.899999999999999</v>
      </c>
      <c r="Q656" s="78">
        <f>INDEX($C$1:$I$1,MATCH(Tabel3[[#This Row],[Type]],Devoirs[[#Headers],[J0]:[J60]],0))</f>
        <v>30</v>
      </c>
      <c r="R656" s="85" cm="1">
        <f t="array" aca="1" ref="R65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45951.730277777875</v>
      </c>
      <c r="S65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45993.34625000001</v>
      </c>
      <c r="T65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45993.357291666674</v>
      </c>
      <c r="U656" s="82">
        <f ca="1">--(Tabel3[[#This Row],[jour]]&lt;&gt;TRUNC(Tabel3[[#This Row],[fin]]))</f>
        <v>0</v>
      </c>
      <c r="V656" s="82">
        <f ca="1">IF(Tabel3[[#This Row],[Type]]="j0",0,--(TRUNC(Tabel3[[#This Row],[debut]])-TRUNC(Tabel3[[#This Row],[fin precedent]])&lt;Tabel3[[#This Row],[delai]]))</f>
        <v>0</v>
      </c>
      <c r="X656"/>
      <c r="Y656" s="75"/>
    </row>
    <row r="657" spans="12:25" ht="18" customHeight="1" x14ac:dyDescent="0.2">
      <c r="L657" s="78" t="s">
        <v>51</v>
      </c>
      <c r="M657" s="78" t="s">
        <v>63</v>
      </c>
      <c r="N657" s="78" t="s">
        <v>42</v>
      </c>
      <c r="O657" s="84">
        <v>45996</v>
      </c>
      <c r="P657" s="78">
        <v>10.65</v>
      </c>
      <c r="Q657" s="78">
        <f>INDEX($C$1:$I$1,MATCH(Tabel3[[#This Row],[Type]],Devoirs[[#Headers],[J0]:[J60]],0))</f>
        <v>30</v>
      </c>
      <c r="R657" s="85" cm="1">
        <f t="array" aca="1" ref="R65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45941.426666666717</v>
      </c>
      <c r="S65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45996.333333333336</v>
      </c>
      <c r="T65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45996.340729166666</v>
      </c>
      <c r="U657" s="82">
        <f ca="1">--(Tabel3[[#This Row],[jour]]&lt;&gt;TRUNC(Tabel3[[#This Row],[fin]]))</f>
        <v>0</v>
      </c>
      <c r="V657" s="82">
        <f ca="1">IF(Tabel3[[#This Row],[Type]]="j0",0,--(TRUNC(Tabel3[[#This Row],[debut]])-TRUNC(Tabel3[[#This Row],[fin precedent]])&lt;Tabel3[[#This Row],[delai]]))</f>
        <v>0</v>
      </c>
      <c r="X657"/>
      <c r="Y657" s="75"/>
    </row>
    <row r="658" spans="12:25" ht="18" customHeight="1" x14ac:dyDescent="0.2">
      <c r="L658" s="78" t="s">
        <v>85</v>
      </c>
      <c r="M658" s="78" t="s">
        <v>91</v>
      </c>
      <c r="N658" s="78" t="s">
        <v>42</v>
      </c>
      <c r="O658" s="84">
        <v>45996</v>
      </c>
      <c r="P658" s="78">
        <v>10.65</v>
      </c>
      <c r="Q658" s="78">
        <f>INDEX($C$1:$I$1,MATCH(Tabel3[[#This Row],[Type]],Devoirs[[#Headers],[J0]:[J60]],0))</f>
        <v>30</v>
      </c>
      <c r="R658" s="85" cm="1">
        <f t="array" aca="1" ref="R65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45941.485833333383</v>
      </c>
      <c r="S658" s="85">
        <f ca="1">_xlfn.LET(_xlpm.x,MAX(Tabel3[[#This Row],[jour]]+$R$3,IF(ROW()-ROW(Tabel3[[#Headers],[debut]])=1,DATE(2025,9,1)+$R$3,OFFSET(Tabel3[[#This Row],[fin]],-1,))),IF(WEEKDAY(_xlpm.x,2)&gt;6,WORKDAY.INTL(_xlpm.x,1,"0000001")+$R$3,_xlpm.x))</f>
        <v>45996.340729166666</v>
      </c>
      <c r="T65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45996.348124999997</v>
      </c>
      <c r="U658" s="82">
        <f ca="1">--(Tabel3[[#This Row],[jour]]&lt;&gt;TRUNC(Tabel3[[#This Row],[fin]]))</f>
        <v>0</v>
      </c>
      <c r="V658" s="82">
        <f ca="1">IF(Tabel3[[#This Row],[Type]]="j0",0,--(TRUNC(Tabel3[[#This Row],[debut]])-TRUNC(Tabel3[[#This Row],[fin precedent]])&lt;Tabel3[[#This Row],[delai]]))</f>
        <v>0</v>
      </c>
      <c r="X658"/>
      <c r="Y658" s="75"/>
    </row>
    <row r="659" spans="12:25" ht="18" customHeight="1" x14ac:dyDescent="0.2">
      <c r="L659" s="78" t="s">
        <v>95</v>
      </c>
      <c r="M659" s="78" t="s">
        <v>103</v>
      </c>
      <c r="N659" s="78" t="s">
        <v>42</v>
      </c>
      <c r="O659" s="84">
        <v>45997</v>
      </c>
      <c r="P659" s="78">
        <v>5.3999999999999995</v>
      </c>
      <c r="Q659" s="78">
        <f>INDEX($C$1:$I$1,MATCH(Tabel3[[#This Row],[Type]],Devoirs[[#Headers],[J0]:[J60]],0))</f>
        <v>30</v>
      </c>
      <c r="R659" s="85" cm="1">
        <f t="array" aca="1" ref="R65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45955.468020833447</v>
      </c>
      <c r="S659" s="85">
        <f ca="1">_xlfn.LET(_xlpm.x,MAX(Tabel3[[#This Row],[jour]]+$R$3,IF(ROW()-ROW(Tabel3[[#Headers],[debut]])=1,DATE(2025,9,1)+$R$3,OFFSET(Tabel3[[#This Row],[fin]],-1,))),IF(WEEKDAY(_xlpm.x,2)&gt;6,WORKDAY.INTL(_xlpm.x,1,"0000001")+$R$3,_xlpm.x))</f>
        <v>45997.333333333336</v>
      </c>
      <c r="T65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45997.337083333339</v>
      </c>
      <c r="U659" s="82">
        <f ca="1">--(Tabel3[[#This Row],[jour]]&lt;&gt;TRUNC(Tabel3[[#This Row],[fin]]))</f>
        <v>0</v>
      </c>
      <c r="V659" s="82">
        <f ca="1">IF(Tabel3[[#This Row],[Type]]="j0",0,--(TRUNC(Tabel3[[#This Row],[debut]])-TRUNC(Tabel3[[#This Row],[fin precedent]])&lt;Tabel3[[#This Row],[delai]]))</f>
        <v>0</v>
      </c>
      <c r="X659"/>
      <c r="Y659" s="75"/>
    </row>
    <row r="660" spans="12:25" ht="18" customHeight="1" x14ac:dyDescent="0.2">
      <c r="L660" s="78" t="s">
        <v>125</v>
      </c>
      <c r="M660" s="78" t="s">
        <v>126</v>
      </c>
      <c r="N660" s="78" t="s">
        <v>42</v>
      </c>
      <c r="O660" s="84">
        <v>45997</v>
      </c>
      <c r="P660" s="78">
        <v>9.9</v>
      </c>
      <c r="Q660" s="78">
        <f>INDEX($C$1:$I$1,MATCH(Tabel3[[#This Row],[Type]],Devoirs[[#Headers],[J0]:[J60]],0))</f>
        <v>30</v>
      </c>
      <c r="R660" s="85" cm="1">
        <f t="array" aca="1" ref="R660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45950.596666666752</v>
      </c>
      <c r="S660" s="85">
        <f ca="1">_xlfn.LET(_xlpm.x,MAX(Tabel3[[#This Row],[jour]]+$R$3,IF(ROW()-ROW(Tabel3[[#Headers],[debut]])=1,DATE(2025,9,1)+$R$3,OFFSET(Tabel3[[#This Row],[fin]],-1,))),IF(WEEKDAY(_xlpm.x,2)&gt;6,WORKDAY.INTL(_xlpm.x,1,"0000001")+$R$3,_xlpm.x))</f>
        <v>45997.337083333339</v>
      </c>
      <c r="T660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45997.343958333338</v>
      </c>
      <c r="U660" s="82">
        <f ca="1">--(Tabel3[[#This Row],[jour]]&lt;&gt;TRUNC(Tabel3[[#This Row],[fin]]))</f>
        <v>0</v>
      </c>
      <c r="V660" s="82">
        <f ca="1">IF(Tabel3[[#This Row],[Type]]="j0",0,--(TRUNC(Tabel3[[#This Row],[debut]])-TRUNC(Tabel3[[#This Row],[fin precedent]])&lt;Tabel3[[#This Row],[delai]]))</f>
        <v>0</v>
      </c>
      <c r="X660"/>
      <c r="Y660" s="75"/>
    </row>
    <row r="661" spans="12:25" ht="18" customHeight="1" x14ac:dyDescent="0.2">
      <c r="L661" s="78" t="s">
        <v>64</v>
      </c>
      <c r="M661" s="78" t="s">
        <v>70</v>
      </c>
      <c r="N661" s="78" t="s">
        <v>42</v>
      </c>
      <c r="O661" s="84">
        <v>45997</v>
      </c>
      <c r="P661" s="78">
        <v>12.6</v>
      </c>
      <c r="Q661" s="78">
        <f>INDEX($C$1:$I$1,MATCH(Tabel3[[#This Row],[Type]],Devoirs[[#Headers],[J0]:[J60]],0))</f>
        <v>30</v>
      </c>
      <c r="R661" s="85" cm="1">
        <f t="array" aca="1" ref="R661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45955.505312500114</v>
      </c>
      <c r="S661" s="85">
        <f ca="1">_xlfn.LET(_xlpm.x,MAX(Tabel3[[#This Row],[jour]]+$R$3,IF(ROW()-ROW(Tabel3[[#Headers],[debut]])=1,DATE(2025,9,1)+$R$3,OFFSET(Tabel3[[#This Row],[fin]],-1,))),IF(WEEKDAY(_xlpm.x,2)&gt;6,WORKDAY.INTL(_xlpm.x,1,"0000001")+$R$3,_xlpm.x))</f>
        <v>45997.343958333338</v>
      </c>
      <c r="T661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45997.352708333339</v>
      </c>
      <c r="U661" s="82">
        <f ca="1">--(Tabel3[[#This Row],[jour]]&lt;&gt;TRUNC(Tabel3[[#This Row],[fin]]))</f>
        <v>0</v>
      </c>
      <c r="V661" s="82">
        <f ca="1">IF(Tabel3[[#This Row],[Type]]="j0",0,--(TRUNC(Tabel3[[#This Row],[debut]])-TRUNC(Tabel3[[#This Row],[fin precedent]])&lt;Tabel3[[#This Row],[delai]]))</f>
        <v>0</v>
      </c>
      <c r="X661"/>
      <c r="Y661" s="75"/>
    </row>
    <row r="662" spans="12:25" ht="18" customHeight="1" x14ac:dyDescent="0.2">
      <c r="L662" s="78" t="s">
        <v>64</v>
      </c>
      <c r="M662" s="78" t="s">
        <v>71</v>
      </c>
      <c r="N662" s="78" t="s">
        <v>42</v>
      </c>
      <c r="O662" s="84">
        <v>45997</v>
      </c>
      <c r="P662" s="78">
        <v>15.149999999999999</v>
      </c>
      <c r="Q662" s="78">
        <f>INDEX($C$1:$I$1,MATCH(Tabel3[[#This Row],[Type]],Devoirs[[#Headers],[J0]:[J60]],0))</f>
        <v>30</v>
      </c>
      <c r="R662" s="85" cm="1">
        <f t="array" aca="1" ref="R662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45955.505312500114</v>
      </c>
      <c r="S662" s="85">
        <f ca="1">_xlfn.LET(_xlpm.x,MAX(Tabel3[[#This Row],[jour]]+$R$3,IF(ROW()-ROW(Tabel3[[#Headers],[debut]])=1,DATE(2025,9,1)+$R$3,OFFSET(Tabel3[[#This Row],[fin]],-1,))),IF(WEEKDAY(_xlpm.x,2)&gt;6,WORKDAY.INTL(_xlpm.x,1,"0000001")+$R$3,_xlpm.x))</f>
        <v>45997.352708333339</v>
      </c>
      <c r="T662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45997.363229166673</v>
      </c>
      <c r="U662" s="82">
        <f ca="1">--(Tabel3[[#This Row],[jour]]&lt;&gt;TRUNC(Tabel3[[#This Row],[fin]]))</f>
        <v>0</v>
      </c>
      <c r="V662" s="82">
        <f ca="1">IF(Tabel3[[#This Row],[Type]]="j0",0,--(TRUNC(Tabel3[[#This Row],[debut]])-TRUNC(Tabel3[[#This Row],[fin precedent]])&lt;Tabel3[[#This Row],[delai]]))</f>
        <v>0</v>
      </c>
      <c r="X662"/>
      <c r="Y662" s="75"/>
    </row>
    <row r="663" spans="12:25" ht="18" customHeight="1" x14ac:dyDescent="0.2">
      <c r="L663" s="78" t="s">
        <v>64</v>
      </c>
      <c r="M663" s="78" t="s">
        <v>65</v>
      </c>
      <c r="N663" s="78" t="s">
        <v>42</v>
      </c>
      <c r="O663" s="84">
        <v>45997</v>
      </c>
      <c r="P663" s="78">
        <v>16.349999999999998</v>
      </c>
      <c r="Q663" s="78">
        <f>INDEX($C$1:$I$1,MATCH(Tabel3[[#This Row],[Type]],Devoirs[[#Headers],[J0]:[J60]],0))</f>
        <v>30</v>
      </c>
      <c r="R663" s="85" cm="1">
        <f t="array" aca="1" ref="R663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45955.505312500114</v>
      </c>
      <c r="S663" s="85">
        <f ca="1">_xlfn.LET(_xlpm.x,MAX(Tabel3[[#This Row],[jour]]+$R$3,IF(ROW()-ROW(Tabel3[[#Headers],[debut]])=1,DATE(2025,9,1)+$R$3,OFFSET(Tabel3[[#This Row],[fin]],-1,))),IF(WEEKDAY(_xlpm.x,2)&gt;6,WORKDAY.INTL(_xlpm.x,1,"0000001")+$R$3,_xlpm.x))</f>
        <v>45997.363229166673</v>
      </c>
      <c r="T663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45997.374583333338</v>
      </c>
      <c r="U663" s="82">
        <f ca="1">--(Tabel3[[#This Row],[jour]]&lt;&gt;TRUNC(Tabel3[[#This Row],[fin]]))</f>
        <v>0</v>
      </c>
      <c r="V663" s="82">
        <f ca="1">IF(Tabel3[[#This Row],[Type]]="j0",0,--(TRUNC(Tabel3[[#This Row],[debut]])-TRUNC(Tabel3[[#This Row],[fin precedent]])&lt;Tabel3[[#This Row],[delai]]))</f>
        <v>0</v>
      </c>
      <c r="X663"/>
      <c r="Y663" s="75"/>
    </row>
    <row r="664" spans="12:25" ht="18" customHeight="1" x14ac:dyDescent="0.2">
      <c r="L664" s="78" t="s">
        <v>51</v>
      </c>
      <c r="M664" s="78" t="s">
        <v>60</v>
      </c>
      <c r="N664" s="78" t="s">
        <v>42</v>
      </c>
      <c r="O664" s="84">
        <v>45998</v>
      </c>
      <c r="P664" s="78">
        <v>6</v>
      </c>
      <c r="Q664" s="78">
        <f>INDEX($C$1:$I$1,MATCH(Tabel3[[#This Row],[Type]],Devoirs[[#Headers],[J0]:[J60]],0))</f>
        <v>30</v>
      </c>
      <c r="R664" s="85" cm="1">
        <f t="array" aca="1" ref="R664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45941.426666666717</v>
      </c>
      <c r="S664" s="85">
        <f ca="1">_xlfn.LET(_xlpm.x,MAX(Tabel3[[#This Row],[jour]]+$R$3,IF(ROW()-ROW(Tabel3[[#Headers],[debut]])=1,DATE(2025,9,1)+$R$3,OFFSET(Tabel3[[#This Row],[fin]],-1,))),IF(WEEKDAY(_xlpm.x,2)&gt;6,WORKDAY.INTL(_xlpm.x,1,"0000001")+$R$3,_xlpm.x))</f>
        <v>45999.333333333336</v>
      </c>
      <c r="T664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45999.337500000001</v>
      </c>
      <c r="U664" s="82">
        <f ca="1">--(Tabel3[[#This Row],[jour]]&lt;&gt;TRUNC(Tabel3[[#This Row],[fin]]))</f>
        <v>1</v>
      </c>
      <c r="V664" s="82">
        <f ca="1">IF(Tabel3[[#This Row],[Type]]="j0",0,--(TRUNC(Tabel3[[#This Row],[debut]])-TRUNC(Tabel3[[#This Row],[fin precedent]])&lt;Tabel3[[#This Row],[delai]]))</f>
        <v>0</v>
      </c>
      <c r="X664"/>
      <c r="Y664" s="75"/>
    </row>
    <row r="665" spans="12:25" ht="18" customHeight="1" x14ac:dyDescent="0.2">
      <c r="L665" s="78" t="s">
        <v>74</v>
      </c>
      <c r="M665" s="78" t="s">
        <v>79</v>
      </c>
      <c r="N665" s="78" t="s">
        <v>42</v>
      </c>
      <c r="O665" s="84">
        <v>45998</v>
      </c>
      <c r="P665" s="78">
        <v>12.15</v>
      </c>
      <c r="Q665" s="78">
        <f>INDEX($C$1:$I$1,MATCH(Tabel3[[#This Row],[Type]],Devoirs[[#Headers],[J0]:[J60]],0))</f>
        <v>30</v>
      </c>
      <c r="R665" s="85" cm="1">
        <f t="array" aca="1" ref="R665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45951.730277777875</v>
      </c>
      <c r="S665" s="85">
        <f ca="1">_xlfn.LET(_xlpm.x,MAX(Tabel3[[#This Row],[jour]]+$R$3,IF(ROW()-ROW(Tabel3[[#Headers],[debut]])=1,DATE(2025,9,1)+$R$3,OFFSET(Tabel3[[#This Row],[fin]],-1,))),IF(WEEKDAY(_xlpm.x,2)&gt;6,WORKDAY.INTL(_xlpm.x,1,"0000001")+$R$3,_xlpm.x))</f>
        <v>45999.337500000001</v>
      </c>
      <c r="T665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45999.345937500002</v>
      </c>
      <c r="U665" s="82">
        <f ca="1">--(Tabel3[[#This Row],[jour]]&lt;&gt;TRUNC(Tabel3[[#This Row],[fin]]))</f>
        <v>1</v>
      </c>
      <c r="V665" s="82">
        <f ca="1">IF(Tabel3[[#This Row],[Type]]="j0",0,--(TRUNC(Tabel3[[#This Row],[debut]])-TRUNC(Tabel3[[#This Row],[fin precedent]])&lt;Tabel3[[#This Row],[delai]]))</f>
        <v>0</v>
      </c>
      <c r="X665"/>
      <c r="Y665" s="75"/>
    </row>
    <row r="666" spans="12:25" ht="18" customHeight="1" x14ac:dyDescent="0.2">
      <c r="L666" s="78" t="s">
        <v>51</v>
      </c>
      <c r="M666" s="78" t="s">
        <v>54</v>
      </c>
      <c r="N666" s="78" t="s">
        <v>42</v>
      </c>
      <c r="O666" s="84">
        <v>45999</v>
      </c>
      <c r="P666" s="78">
        <v>9.9</v>
      </c>
      <c r="Q666" s="78">
        <f>INDEX($C$1:$I$1,MATCH(Tabel3[[#This Row],[Type]],Devoirs[[#Headers],[J0]:[J60]],0))</f>
        <v>30</v>
      </c>
      <c r="R666" s="85" cm="1">
        <f t="array" aca="1" ref="R666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45941.426666666717</v>
      </c>
      <c r="S666" s="85">
        <f ca="1">_xlfn.LET(_xlpm.x,MAX(Tabel3[[#This Row],[jour]]+$R$3,IF(ROW()-ROW(Tabel3[[#Headers],[debut]])=1,DATE(2025,9,1)+$R$3,OFFSET(Tabel3[[#This Row],[fin]],-1,))),IF(WEEKDAY(_xlpm.x,2)&gt;6,WORKDAY.INTL(_xlpm.x,1,"0000001")+$R$3,_xlpm.x))</f>
        <v>45999.345937500002</v>
      </c>
      <c r="T666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45999.352812500001</v>
      </c>
      <c r="U666" s="82">
        <f ca="1">--(Tabel3[[#This Row],[jour]]&lt;&gt;TRUNC(Tabel3[[#This Row],[fin]]))</f>
        <v>0</v>
      </c>
      <c r="V666" s="82">
        <f ca="1">IF(Tabel3[[#This Row],[Type]]="j0",0,--(TRUNC(Tabel3[[#This Row],[debut]])-TRUNC(Tabel3[[#This Row],[fin precedent]])&lt;Tabel3[[#This Row],[delai]]))</f>
        <v>0</v>
      </c>
      <c r="X666"/>
      <c r="Y666" s="75"/>
    </row>
    <row r="667" spans="12:25" ht="18" customHeight="1" x14ac:dyDescent="0.2">
      <c r="L667" s="78" t="s">
        <v>95</v>
      </c>
      <c r="M667" s="78" t="s">
        <v>97</v>
      </c>
      <c r="N667" s="78" t="s">
        <v>42</v>
      </c>
      <c r="O667" s="84">
        <v>45999</v>
      </c>
      <c r="P667" s="78">
        <v>16.5</v>
      </c>
      <c r="Q667" s="78">
        <f>INDEX($C$1:$I$1,MATCH(Tabel3[[#This Row],[Type]],Devoirs[[#Headers],[J0]:[J60]],0))</f>
        <v>30</v>
      </c>
      <c r="R667" s="85" cm="1">
        <f t="array" aca="1" ref="R667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45955.468020833447</v>
      </c>
      <c r="S667" s="85">
        <f ca="1">_xlfn.LET(_xlpm.x,MAX(Tabel3[[#This Row],[jour]]+$R$3,IF(ROW()-ROW(Tabel3[[#Headers],[debut]])=1,DATE(2025,9,1)+$R$3,OFFSET(Tabel3[[#This Row],[fin]],-1,))),IF(WEEKDAY(_xlpm.x,2)&gt;6,WORKDAY.INTL(_xlpm.x,1,"0000001")+$R$3,_xlpm.x))</f>
        <v>45999.352812500001</v>
      </c>
      <c r="T667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45999.364270833335</v>
      </c>
      <c r="U667" s="82">
        <f ca="1">--(Tabel3[[#This Row],[jour]]&lt;&gt;TRUNC(Tabel3[[#This Row],[fin]]))</f>
        <v>0</v>
      </c>
      <c r="V667" s="82">
        <f ca="1">IF(Tabel3[[#This Row],[Type]]="j0",0,--(TRUNC(Tabel3[[#This Row],[debut]])-TRUNC(Tabel3[[#This Row],[fin precedent]])&lt;Tabel3[[#This Row],[delai]]))</f>
        <v>0</v>
      </c>
      <c r="X667"/>
      <c r="Y667" s="75"/>
    </row>
    <row r="668" spans="12:25" ht="18" customHeight="1" x14ac:dyDescent="0.2">
      <c r="L668" s="78" t="s">
        <v>125</v>
      </c>
      <c r="M668" s="78" t="s">
        <v>132</v>
      </c>
      <c r="N668" s="78" t="s">
        <v>42</v>
      </c>
      <c r="O668" s="84">
        <v>46000</v>
      </c>
      <c r="P668" s="78">
        <v>12.15</v>
      </c>
      <c r="Q668" s="78">
        <f>INDEX($C$1:$I$1,MATCH(Tabel3[[#This Row],[Type]],Devoirs[[#Headers],[J0]:[J60]],0))</f>
        <v>30</v>
      </c>
      <c r="R668" s="85" cm="1">
        <f t="array" aca="1" ref="R668" ca="1">IF(Tabel3[[#This Row],[Type]]="j0","-",INDEX(Tabel3[fin],MATCH(Tabel3[[#This Row],[UE]]&amp;"|"&amp; INDEX(Devoirs[[#Headers],[J0]:[J60]],MATCH(Tabel3[[#This Row],[Type]],Devoirs[[#Headers],[J0]:[J60]],0)-1),Tabel3[UE] &amp; "|" &amp;Tabel3[Type],0)))</f>
        <v>45950.596666666752</v>
      </c>
      <c r="S668" s="85">
        <f ca="1">_xlfn.LET(_xlpm.x,MAX(Tabel3[[#This Row],[jour]]+$R$3,IF(ROW()-ROW(Tabel3[[#Headers],[debut]])=1,DATE(2025,9,1)+$R$3,OFFSET(Tabel3[[#This Row],[fin]],-1,))),IF(WEEKDAY(_xlpm.x,2)&gt;6,WORKDAY.INTL(_xlpm.x,1,"0000001")+$R$3,_xlpm.x))</f>
        <v>46000.333333333336</v>
      </c>
      <c r="T668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46000.341770833336</v>
      </c>
      <c r="U668" s="82">
        <f ca="1">--(Tabel3[[#This Row],[jour]]&lt;&gt;TRUNC(Tabel3[[#This Row],[fin]]))</f>
        <v>0</v>
      </c>
      <c r="V668" s="82">
        <f ca="1">IF(Tabel3[[#This Row],[Type]]="j0",0,--(TRUNC(Tabel3[[#This Row],[debut]])-TRUNC(Tabel3[[#This Row],[fin precedent]])&lt;Tabel3[[#This Row],[delai]]))</f>
        <v>0</v>
      </c>
      <c r="X668"/>
      <c r="Y668" s="75"/>
    </row>
    <row r="669" spans="12:25" ht="18" customHeight="1" x14ac:dyDescent="0.2">
      <c r="L669" s="78" t="s">
        <v>135</v>
      </c>
      <c r="M669" s="78" t="s">
        <v>139</v>
      </c>
      <c r="N669" s="78" t="s">
        <v>42</v>
      </c>
      <c r="O669" s="84">
        <v>46000</v>
      </c>
      <c r="P669" s="78">
        <v>16.2</v>
      </c>
      <c r="Q669" s="78">
        <f>INDEX($C$1:$I$1,MATCH(Tabel3[[#This Row],[Type]],Devoirs[[#Headers],[J0]:[J60]],0))</f>
        <v>30</v>
      </c>
      <c r="R669" s="85" cm="1">
        <f t="array" aca="1" ref="R669" ca="1">IF(Tabel3[[#This Row],[Type]]="j0","-",INDEX(Tabel3[fin],MATCH(Tabel3[[#This Row],[UE]]&amp;"|"&amp; INDEX(Devoirs[[#Headers],[J0]:[J60]],MATCH(Tabel3[[#This Row],[Type]],Devoirs[[#Headers],[J0]:[J60]],0)-1),Tabel3[UE] &amp; "|" &amp;Tabel3[Type],0)))</f>
        <v>45940.432430555607</v>
      </c>
      <c r="S669" s="85">
        <f ca="1">_xlfn.LET(_xlpm.x,MAX(Tabel3[[#This Row],[jour]]+$R$3,IF(ROW()-ROW(Tabel3[[#Headers],[debut]])=1,DATE(2025,9,1)+$R$3,OFFSET(Tabel3[[#This Row],[fin]],-1,))),IF(WEEKDAY(_xlpm.x,2)&gt;6,WORKDAY.INTL(_xlpm.x,1,"0000001")+$R$3,_xlpm.x))</f>
        <v>46000.341770833336</v>
      </c>
      <c r="T669" s="85">
        <f ca="1">_xlfn.LET(_xlpm.debut,Tabel3[[#This Row],[debut]],_xlpm.Trop,MAX(0,MOD(_xlpm.debut,1)+Tabel3[[#This Row],[duree]]/1440-$S$3),IF(_xlpm.Trop&gt;0,WORKDAY.INTL(Tabel3[[#This Row],[debut]],1,"0000001")+$R$3+_xlpm.Trop,Tabel3[[#This Row],[debut]]+Tabel3[[#This Row],[duree]]/1440))</f>
        <v>46000.35302083334</v>
      </c>
      <c r="U669" s="82">
        <f ca="1">--(Tabel3[[#This Row],[jour]]&lt;&gt;TRUNC(Tabel3[[#This Row],[fin]]))</f>
        <v>0</v>
      </c>
      <c r="V669" s="82">
        <f ca="1">IF(Tabel3[[#This Row],[Type]]="j0",0,--(TRUNC(Tabel3[[#This Row],[debut]])-TRUNC(Tabel3[[#This Row],[fin precedent]])&lt;Tabel3[[#This Row],[delai]]))</f>
        <v>0</v>
      </c>
      <c r="X669"/>
      <c r="Y669" s="75"/>
    </row>
  </sheetData>
  <sortState xmlns:xlrd2="http://schemas.microsoft.com/office/spreadsheetml/2017/richdata2" ref="L5:V669">
    <sortCondition ref="O4"/>
    <sortCondition descending="1" ref="N4"/>
    <sortCondition ref="P4"/>
  </sortState>
  <phoneticPr fontId="34" type="noConversion"/>
  <conditionalFormatting pivot="1" sqref="Z6:Z91">
    <cfRule type="expression" dxfId="37" priority="3">
      <formula>Z6&gt;$Y$2</formula>
    </cfRule>
  </conditionalFormatting>
  <conditionalFormatting sqref="R5:R669">
    <cfRule type="expression" dxfId="36" priority="2">
      <formula>V5</formula>
    </cfRule>
  </conditionalFormatting>
  <conditionalFormatting sqref="T5:T669">
    <cfRule type="expression" dxfId="35" priority="1">
      <formula>U5</formula>
    </cfRule>
  </conditionalFormatting>
  <printOptions horizontalCentered="1"/>
  <pageMargins left="0.7" right="0.7" top="0.75" bottom="0.75" header="0.3" footer="0.3"/>
  <pageSetup orientation="portrait" r:id="rId2"/>
  <headerFooter differentFirst="1">
    <oddFooter>Page &amp;P of &amp;N</oddFooter>
  </headerFooter>
  <drawing r:id="rId3"/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0669A-A0DA-4EF2-A176-AE00C43C49D1}">
  <sheetPr codeName="Blad1"/>
  <dimension ref="A1:X77"/>
  <sheetViews>
    <sheetView tabSelected="1" zoomScale="67" zoomScaleNormal="67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X3" sqref="X3"/>
    </sheetView>
  </sheetViews>
  <sheetFormatPr defaultRowHeight="31.5" customHeight="1" x14ac:dyDescent="0.2"/>
  <cols>
    <col min="1" max="1" width="18.28515625" style="88" customWidth="1"/>
    <col min="2" max="2" width="4.140625" customWidth="1"/>
    <col min="3" max="25" width="17" customWidth="1"/>
    <col min="26" max="26" width="5.42578125" bestFit="1" customWidth="1"/>
  </cols>
  <sheetData>
    <row r="1" spans="1:24" s="89" customFormat="1" ht="31.5" customHeight="1" x14ac:dyDescent="0.2">
      <c r="A1" s="88"/>
      <c r="C1" s="89" cm="1">
        <f t="array" ref="C1:X1">_xlfn.SEQUENCE(,22,TIME(8,0,0),1/48)</f>
        <v>0.33333333333333331</v>
      </c>
      <c r="D1" s="89">
        <v>0.35416666666666663</v>
      </c>
      <c r="E1" s="89">
        <v>0.37499999999999994</v>
      </c>
      <c r="F1" s="89">
        <v>0.39583333333333326</v>
      </c>
      <c r="G1" s="89">
        <v>0.41666666666666657</v>
      </c>
      <c r="H1" s="89">
        <v>0.43749999999999989</v>
      </c>
      <c r="I1" s="89">
        <v>0.4583333333333332</v>
      </c>
      <c r="J1" s="89">
        <v>0.47916666666666652</v>
      </c>
      <c r="K1" s="89">
        <v>0.49999999999999983</v>
      </c>
      <c r="L1" s="89">
        <v>0.52083333333333315</v>
      </c>
      <c r="M1" s="89">
        <v>0.54166666666666652</v>
      </c>
      <c r="N1" s="89">
        <v>0.56249999999999989</v>
      </c>
      <c r="O1" s="89">
        <v>0.58333333333333326</v>
      </c>
      <c r="P1" s="89">
        <v>0.60416666666666663</v>
      </c>
      <c r="Q1" s="89">
        <v>0.625</v>
      </c>
      <c r="R1" s="89">
        <v>0.64583333333333337</v>
      </c>
      <c r="S1" s="89">
        <v>0.66666666666666674</v>
      </c>
      <c r="T1" s="89">
        <v>0.68750000000000011</v>
      </c>
      <c r="U1" s="89">
        <v>0.70833333333333348</v>
      </c>
      <c r="V1" s="89">
        <v>0.72916666666666685</v>
      </c>
      <c r="W1" s="89">
        <v>0.75000000000000022</v>
      </c>
      <c r="X1" s="89">
        <v>0.77083333333333359</v>
      </c>
    </row>
    <row r="2" spans="1:24" ht="31.5" customHeight="1" x14ac:dyDescent="0.2">
      <c r="A2" s="88">
        <v>45901</v>
      </c>
    </row>
    <row r="3" spans="1:24" ht="31.5" customHeight="1" x14ac:dyDescent="0.2">
      <c r="A3" s="88">
        <v>45902</v>
      </c>
    </row>
    <row r="4" spans="1:24" ht="31.5" customHeight="1" x14ac:dyDescent="0.2">
      <c r="A4" s="88">
        <v>45903</v>
      </c>
    </row>
    <row r="5" spans="1:24" ht="31.5" customHeight="1" x14ac:dyDescent="0.2">
      <c r="A5" s="88">
        <v>45904</v>
      </c>
    </row>
    <row r="6" spans="1:24" ht="31.5" customHeight="1" x14ac:dyDescent="0.2">
      <c r="A6" s="88">
        <v>45905</v>
      </c>
    </row>
    <row r="7" spans="1:24" ht="31.5" customHeight="1" x14ac:dyDescent="0.2">
      <c r="A7" s="88">
        <v>45908</v>
      </c>
    </row>
    <row r="8" spans="1:24" ht="31.5" customHeight="1" x14ac:dyDescent="0.2">
      <c r="A8" s="88">
        <v>45909</v>
      </c>
    </row>
    <row r="9" spans="1:24" ht="31.5" customHeight="1" x14ac:dyDescent="0.2">
      <c r="A9" s="88">
        <v>45910</v>
      </c>
    </row>
    <row r="10" spans="1:24" ht="31.5" customHeight="1" x14ac:dyDescent="0.2">
      <c r="A10" s="88">
        <v>45911</v>
      </c>
    </row>
    <row r="11" spans="1:24" ht="31.5" customHeight="1" x14ac:dyDescent="0.2">
      <c r="A11" s="88">
        <v>45912</v>
      </c>
    </row>
    <row r="12" spans="1:24" ht="31.5" customHeight="1" x14ac:dyDescent="0.2">
      <c r="A12" s="88">
        <v>45913</v>
      </c>
    </row>
    <row r="13" spans="1:24" ht="31.5" customHeight="1" x14ac:dyDescent="0.2">
      <c r="A13" s="88">
        <v>45915</v>
      </c>
    </row>
    <row r="14" spans="1:24" ht="31.5" customHeight="1" x14ac:dyDescent="0.2">
      <c r="A14" s="88">
        <v>45916</v>
      </c>
    </row>
    <row r="15" spans="1:24" ht="31.5" customHeight="1" x14ac:dyDescent="0.2">
      <c r="A15" s="88">
        <v>45917</v>
      </c>
    </row>
    <row r="16" spans="1:24" ht="31.5" customHeight="1" x14ac:dyDescent="0.2">
      <c r="A16" s="88">
        <v>45918</v>
      </c>
    </row>
    <row r="17" spans="1:1" ht="31.5" customHeight="1" x14ac:dyDescent="0.2">
      <c r="A17" s="88">
        <v>45919</v>
      </c>
    </row>
    <row r="18" spans="1:1" ht="31.5" customHeight="1" x14ac:dyDescent="0.2">
      <c r="A18" s="88">
        <v>45920</v>
      </c>
    </row>
    <row r="19" spans="1:1" ht="31.5" customHeight="1" x14ac:dyDescent="0.2">
      <c r="A19" s="88">
        <v>45922</v>
      </c>
    </row>
    <row r="20" spans="1:1" ht="31.5" customHeight="1" x14ac:dyDescent="0.2">
      <c r="A20" s="88">
        <v>45923</v>
      </c>
    </row>
    <row r="21" spans="1:1" ht="31.5" customHeight="1" x14ac:dyDescent="0.2">
      <c r="A21" s="88">
        <v>45924</v>
      </c>
    </row>
    <row r="22" spans="1:1" ht="31.5" customHeight="1" x14ac:dyDescent="0.2">
      <c r="A22" s="88">
        <v>45925</v>
      </c>
    </row>
    <row r="23" spans="1:1" ht="31.5" customHeight="1" x14ac:dyDescent="0.2">
      <c r="A23" s="88">
        <v>45926</v>
      </c>
    </row>
    <row r="24" spans="1:1" ht="31.5" customHeight="1" x14ac:dyDescent="0.2">
      <c r="A24" s="88">
        <v>45927</v>
      </c>
    </row>
    <row r="25" spans="1:1" ht="31.5" customHeight="1" x14ac:dyDescent="0.2">
      <c r="A25" s="88">
        <v>45929</v>
      </c>
    </row>
    <row r="26" spans="1:1" ht="31.5" customHeight="1" x14ac:dyDescent="0.2">
      <c r="A26" s="88">
        <v>45930</v>
      </c>
    </row>
    <row r="27" spans="1:1" ht="31.5" customHeight="1" x14ac:dyDescent="0.2">
      <c r="A27" s="88">
        <v>45931</v>
      </c>
    </row>
    <row r="28" spans="1:1" ht="31.5" customHeight="1" x14ac:dyDescent="0.2">
      <c r="A28" s="88">
        <v>45932</v>
      </c>
    </row>
    <row r="29" spans="1:1" ht="31.5" customHeight="1" x14ac:dyDescent="0.2">
      <c r="A29" s="88">
        <v>45933</v>
      </c>
    </row>
    <row r="30" spans="1:1" ht="31.5" customHeight="1" x14ac:dyDescent="0.2">
      <c r="A30" s="88">
        <v>45934</v>
      </c>
    </row>
    <row r="31" spans="1:1" ht="31.5" customHeight="1" x14ac:dyDescent="0.2">
      <c r="A31" s="88">
        <v>45936</v>
      </c>
    </row>
    <row r="32" spans="1:1" ht="31.5" customHeight="1" x14ac:dyDescent="0.2">
      <c r="A32" s="88">
        <v>45937</v>
      </c>
    </row>
    <row r="33" spans="1:1" ht="31.5" customHeight="1" x14ac:dyDescent="0.2">
      <c r="A33" s="88">
        <v>45938</v>
      </c>
    </row>
    <row r="34" spans="1:1" ht="31.5" customHeight="1" x14ac:dyDescent="0.2">
      <c r="A34" s="88">
        <v>45939</v>
      </c>
    </row>
    <row r="35" spans="1:1" ht="31.5" customHeight="1" x14ac:dyDescent="0.2">
      <c r="A35" s="88">
        <v>45940</v>
      </c>
    </row>
    <row r="36" spans="1:1" ht="31.5" customHeight="1" x14ac:dyDescent="0.2">
      <c r="A36" s="88">
        <v>45941</v>
      </c>
    </row>
    <row r="37" spans="1:1" ht="31.5" customHeight="1" x14ac:dyDescent="0.2">
      <c r="A37" s="88">
        <v>45943</v>
      </c>
    </row>
    <row r="38" spans="1:1" ht="31.5" customHeight="1" x14ac:dyDescent="0.2">
      <c r="A38" s="88">
        <v>45944</v>
      </c>
    </row>
    <row r="39" spans="1:1" ht="31.5" customHeight="1" x14ac:dyDescent="0.2">
      <c r="A39" s="88">
        <v>45945</v>
      </c>
    </row>
    <row r="40" spans="1:1" ht="31.5" customHeight="1" x14ac:dyDescent="0.2">
      <c r="A40" s="88">
        <v>45946</v>
      </c>
    </row>
    <row r="41" spans="1:1" ht="31.5" customHeight="1" x14ac:dyDescent="0.2">
      <c r="A41" s="88">
        <v>45947</v>
      </c>
    </row>
    <row r="42" spans="1:1" ht="31.5" customHeight="1" x14ac:dyDescent="0.2">
      <c r="A42" s="88">
        <v>45948</v>
      </c>
    </row>
    <row r="43" spans="1:1" ht="31.5" customHeight="1" x14ac:dyDescent="0.2">
      <c r="A43" s="88">
        <v>45950</v>
      </c>
    </row>
    <row r="44" spans="1:1" ht="31.5" customHeight="1" x14ac:dyDescent="0.2">
      <c r="A44" s="88">
        <v>45951</v>
      </c>
    </row>
    <row r="45" spans="1:1" ht="31.5" customHeight="1" x14ac:dyDescent="0.2">
      <c r="A45" s="88">
        <v>45952</v>
      </c>
    </row>
    <row r="46" spans="1:1" ht="31.5" customHeight="1" x14ac:dyDescent="0.2">
      <c r="A46" s="88">
        <v>45953</v>
      </c>
    </row>
    <row r="47" spans="1:1" ht="31.5" customHeight="1" x14ac:dyDescent="0.2">
      <c r="A47" s="88">
        <v>45954</v>
      </c>
    </row>
    <row r="48" spans="1:1" ht="31.5" customHeight="1" x14ac:dyDescent="0.2">
      <c r="A48" s="88">
        <v>45955</v>
      </c>
    </row>
    <row r="49" spans="1:1" ht="31.5" customHeight="1" x14ac:dyDescent="0.2">
      <c r="A49" s="88">
        <v>45957</v>
      </c>
    </row>
    <row r="50" spans="1:1" ht="31.5" customHeight="1" x14ac:dyDescent="0.2">
      <c r="A50" s="88">
        <v>45958</v>
      </c>
    </row>
    <row r="51" spans="1:1" ht="31.5" customHeight="1" x14ac:dyDescent="0.2">
      <c r="A51" s="88">
        <v>45959</v>
      </c>
    </row>
    <row r="52" spans="1:1" ht="31.5" customHeight="1" x14ac:dyDescent="0.2">
      <c r="A52" s="88">
        <v>45960</v>
      </c>
    </row>
    <row r="53" spans="1:1" ht="31.5" customHeight="1" x14ac:dyDescent="0.2">
      <c r="A53" s="88">
        <v>45961</v>
      </c>
    </row>
    <row r="54" spans="1:1" ht="31.5" customHeight="1" x14ac:dyDescent="0.2">
      <c r="A54" s="88">
        <v>45962</v>
      </c>
    </row>
    <row r="55" spans="1:1" ht="31.5" customHeight="1" x14ac:dyDescent="0.2">
      <c r="A55" s="88">
        <v>45964</v>
      </c>
    </row>
    <row r="56" spans="1:1" ht="31.5" customHeight="1" x14ac:dyDescent="0.2">
      <c r="A56" s="88">
        <v>45965</v>
      </c>
    </row>
    <row r="57" spans="1:1" ht="31.5" customHeight="1" x14ac:dyDescent="0.2">
      <c r="A57" s="88">
        <v>45966</v>
      </c>
    </row>
    <row r="58" spans="1:1" ht="31.5" customHeight="1" x14ac:dyDescent="0.2">
      <c r="A58" s="88">
        <v>45967</v>
      </c>
    </row>
    <row r="59" spans="1:1" ht="31.5" customHeight="1" x14ac:dyDescent="0.2">
      <c r="A59" s="88">
        <v>45968</v>
      </c>
    </row>
    <row r="60" spans="1:1" ht="31.5" customHeight="1" x14ac:dyDescent="0.2">
      <c r="A60" s="88">
        <v>45969</v>
      </c>
    </row>
    <row r="61" spans="1:1" ht="31.5" customHeight="1" x14ac:dyDescent="0.2">
      <c r="A61" s="88">
        <v>45971</v>
      </c>
    </row>
    <row r="62" spans="1:1" ht="31.5" customHeight="1" x14ac:dyDescent="0.2">
      <c r="A62" s="88">
        <v>45972</v>
      </c>
    </row>
    <row r="63" spans="1:1" ht="31.5" customHeight="1" x14ac:dyDescent="0.2">
      <c r="A63" s="88">
        <v>45975</v>
      </c>
    </row>
    <row r="64" spans="1:1" ht="31.5" customHeight="1" x14ac:dyDescent="0.2">
      <c r="A64" s="88">
        <v>45976</v>
      </c>
    </row>
    <row r="65" spans="1:1" ht="31.5" customHeight="1" x14ac:dyDescent="0.2">
      <c r="A65" s="88">
        <v>45978</v>
      </c>
    </row>
    <row r="66" spans="1:1" ht="31.5" customHeight="1" x14ac:dyDescent="0.2">
      <c r="A66" s="88">
        <v>45979</v>
      </c>
    </row>
    <row r="67" spans="1:1" ht="31.5" customHeight="1" x14ac:dyDescent="0.2">
      <c r="A67" s="88">
        <v>45982</v>
      </c>
    </row>
    <row r="68" spans="1:1" ht="31.5" customHeight="1" x14ac:dyDescent="0.2">
      <c r="A68" s="88">
        <v>45983</v>
      </c>
    </row>
    <row r="69" spans="1:1" ht="31.5" customHeight="1" x14ac:dyDescent="0.2">
      <c r="A69" s="88">
        <v>45985</v>
      </c>
    </row>
    <row r="70" spans="1:1" ht="31.5" customHeight="1" x14ac:dyDescent="0.2">
      <c r="A70" s="88">
        <v>45989</v>
      </c>
    </row>
    <row r="71" spans="1:1" ht="31.5" customHeight="1" x14ac:dyDescent="0.2">
      <c r="A71" s="88">
        <v>45990</v>
      </c>
    </row>
    <row r="72" spans="1:1" ht="31.5" customHeight="1" x14ac:dyDescent="0.2">
      <c r="A72" s="88">
        <v>45992</v>
      </c>
    </row>
    <row r="73" spans="1:1" ht="31.5" customHeight="1" x14ac:dyDescent="0.2">
      <c r="A73" s="88">
        <v>45993</v>
      </c>
    </row>
    <row r="74" spans="1:1" ht="31.5" customHeight="1" x14ac:dyDescent="0.2">
      <c r="A74" s="88">
        <v>45996</v>
      </c>
    </row>
    <row r="75" spans="1:1" ht="31.5" customHeight="1" x14ac:dyDescent="0.2">
      <c r="A75" s="88">
        <v>45997</v>
      </c>
    </row>
    <row r="76" spans="1:1" ht="31.5" customHeight="1" x14ac:dyDescent="0.2">
      <c r="A76" s="88">
        <v>45999</v>
      </c>
    </row>
    <row r="77" spans="1:1" ht="31.5" customHeight="1" x14ac:dyDescent="0.2">
      <c r="A77" s="88">
        <v>46000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92D050"/>
  </sheetPr>
  <dimension ref="A1:H21"/>
  <sheetViews>
    <sheetView workbookViewId="0">
      <selection activeCell="C2" sqref="C2"/>
    </sheetView>
  </sheetViews>
  <sheetFormatPr defaultColWidth="9.140625" defaultRowHeight="12.75" x14ac:dyDescent="0.2"/>
  <cols>
    <col min="1" max="1" width="3" style="60" bestFit="1" customWidth="1"/>
    <col min="2" max="2" width="20.28515625" bestFit="1" customWidth="1"/>
    <col min="3" max="7" width="19.28515625" customWidth="1"/>
    <col min="8" max="8" width="27.42578125" bestFit="1" customWidth="1"/>
    <col min="9" max="9" width="11.42578125" customWidth="1"/>
  </cols>
  <sheetData>
    <row r="1" spans="1:8" ht="13.5" thickBot="1" x14ac:dyDescent="0.25">
      <c r="A1" s="60" t="s">
        <v>10</v>
      </c>
    </row>
    <row r="2" spans="1:8" s="7" customFormat="1" ht="24" thickTop="1" thickBot="1" x14ac:dyDescent="0.25">
      <c r="A2" s="61" t="s">
        <v>10</v>
      </c>
      <c r="B2" s="5">
        <v>2025</v>
      </c>
      <c r="C2" s="6">
        <v>36</v>
      </c>
      <c r="D2"/>
    </row>
    <row r="3" spans="1:8" ht="13.5" thickTop="1" x14ac:dyDescent="0.2">
      <c r="A3" s="60" t="s">
        <v>10</v>
      </c>
    </row>
    <row r="4" spans="1:8" ht="38.25" thickBot="1" x14ac:dyDescent="0.25">
      <c r="A4" s="60" t="s">
        <v>10</v>
      </c>
      <c r="B4" s="90" t="s">
        <v>9</v>
      </c>
      <c r="C4" s="90"/>
      <c r="D4" s="90"/>
      <c r="E4" s="90"/>
      <c r="F4" s="90"/>
      <c r="G4" s="90"/>
      <c r="H4" s="90"/>
    </row>
    <row r="5" spans="1:8" ht="15" thickTop="1" x14ac:dyDescent="0.2">
      <c r="A5" s="60" t="s">
        <v>10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3" t="s">
        <v>8</v>
      </c>
      <c r="H5" s="1" t="s">
        <v>2</v>
      </c>
    </row>
    <row r="6" spans="1:8" s="36" customFormat="1" ht="15.75" x14ac:dyDescent="0.2">
      <c r="A6" s="62" t="s">
        <v>10</v>
      </c>
      <c r="B6" s="34">
        <f>B7</f>
        <v>45901</v>
      </c>
      <c r="C6" s="35"/>
      <c r="D6" s="35"/>
      <c r="E6" s="35"/>
      <c r="F6" s="35"/>
      <c r="G6" s="35"/>
      <c r="H6" s="34">
        <f>H7</f>
        <v>45907</v>
      </c>
    </row>
    <row r="7" spans="1:8" ht="27" x14ac:dyDescent="0.2">
      <c r="A7" s="60" t="s">
        <v>10</v>
      </c>
      <c r="B7" s="8">
        <f>(C2-1)*7+IF(WEEKDAY(DATE(B2,1,1),2)&gt;4,7,0)+DATE(B2,1,1)-WEEKDAY(DATE(B2,1,1),2)+1</f>
        <v>45901</v>
      </c>
      <c r="C7" s="8">
        <f>B7+1</f>
        <v>45902</v>
      </c>
      <c r="D7" s="8">
        <f t="shared" ref="D7:H7" si="0">C7+1</f>
        <v>45903</v>
      </c>
      <c r="E7" s="8">
        <f t="shared" si="0"/>
        <v>45904</v>
      </c>
      <c r="F7" s="8">
        <f t="shared" si="0"/>
        <v>45905</v>
      </c>
      <c r="G7" s="8">
        <f t="shared" si="0"/>
        <v>45906</v>
      </c>
      <c r="H7" s="8">
        <f t="shared" si="0"/>
        <v>45907</v>
      </c>
    </row>
    <row r="8" spans="1:8" x14ac:dyDescent="0.2">
      <c r="A8"/>
    </row>
    <row r="9" spans="1:8" x14ac:dyDescent="0.2">
      <c r="A9"/>
    </row>
    <row r="10" spans="1:8" x14ac:dyDescent="0.2">
      <c r="A10"/>
    </row>
    <row r="11" spans="1:8" x14ac:dyDescent="0.2">
      <c r="A11"/>
    </row>
    <row r="12" spans="1:8" x14ac:dyDescent="0.2">
      <c r="A12"/>
    </row>
    <row r="13" spans="1:8" x14ac:dyDescent="0.2">
      <c r="A13"/>
    </row>
    <row r="14" spans="1:8" x14ac:dyDescent="0.2">
      <c r="A14"/>
    </row>
    <row r="15" spans="1:8" x14ac:dyDescent="0.2">
      <c r="A15"/>
    </row>
    <row r="16" spans="1:8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</sheetData>
  <mergeCells count="1">
    <mergeCell ref="B4:H4"/>
  </mergeCells>
  <conditionalFormatting sqref="B6:H7">
    <cfRule type="expression" dxfId="7" priority="1">
      <formula>YEAR(B6)&lt;&gt;$B$2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ompteur Semaine">
              <controlPr defaultSize="0" autoPict="0" macro="[0]!vuesemaine" altText="Bouton Compteur. Modifie le nombre de semaines civiles dans la cellule C4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9525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theme="4" tint="0.39997558519241921"/>
  </sheetPr>
  <dimension ref="A1:I23"/>
  <sheetViews>
    <sheetView zoomScale="90" zoomScaleNormal="90" workbookViewId="0">
      <selection activeCell="C2" sqref="C2"/>
    </sheetView>
  </sheetViews>
  <sheetFormatPr defaultColWidth="9.140625" defaultRowHeight="12.75" x14ac:dyDescent="0.2"/>
  <cols>
    <col min="1" max="1" width="2.28515625" style="26" customWidth="1"/>
    <col min="2" max="2" width="5" style="31" bestFit="1" customWidth="1"/>
    <col min="3" max="3" width="41" bestFit="1" customWidth="1"/>
    <col min="4" max="5" width="52.140625" bestFit="1" customWidth="1"/>
    <col min="6" max="6" width="53.28515625" bestFit="1" customWidth="1"/>
    <col min="7" max="7" width="52.140625" bestFit="1" customWidth="1"/>
    <col min="8" max="8" width="53.28515625" bestFit="1" customWidth="1"/>
    <col min="9" max="9" width="41" bestFit="1" customWidth="1"/>
    <col min="10" max="10" width="1.7109375" customWidth="1"/>
  </cols>
  <sheetData>
    <row r="1" spans="1:9" ht="13.5" thickBot="1" x14ac:dyDescent="0.25"/>
    <row r="2" spans="1:9" s="7" customFormat="1" ht="24" thickTop="1" thickBot="1" x14ac:dyDescent="0.25">
      <c r="A2" s="27"/>
      <c r="B2" s="32"/>
      <c r="C2" s="9">
        <v>2025</v>
      </c>
      <c r="D2" s="10" t="str">
        <f>UPPER(CHOOSE(E2,"Janvier","Février","Mars","Avril","Mai","Juin","Juillet","Août","Septembre","Octobre","Novembre","Décembre"))</f>
        <v>SEPTEMBRE</v>
      </c>
      <c r="E2" s="11">
        <v>9</v>
      </c>
    </row>
    <row r="3" spans="1:9" ht="13.5" thickTop="1" x14ac:dyDescent="0.2"/>
    <row r="4" spans="1:9" ht="38.25" thickBot="1" x14ac:dyDescent="0.25">
      <c r="C4" s="91" t="s">
        <v>11</v>
      </c>
      <c r="D4" s="92"/>
      <c r="E4" s="92"/>
      <c r="F4" s="92"/>
      <c r="G4" s="92"/>
      <c r="H4" s="92"/>
      <c r="I4" s="92"/>
    </row>
    <row r="5" spans="1:9" ht="15.75" thickTop="1" thickBot="1" x14ac:dyDescent="0.25">
      <c r="B5" s="26"/>
      <c r="C5" s="12" t="s">
        <v>3</v>
      </c>
      <c r="D5" s="13" t="s">
        <v>4</v>
      </c>
      <c r="E5" s="13" t="s">
        <v>5</v>
      </c>
      <c r="F5" s="13" t="s">
        <v>6</v>
      </c>
      <c r="G5" s="13" t="s">
        <v>7</v>
      </c>
      <c r="H5" s="14" t="s">
        <v>8</v>
      </c>
      <c r="I5" s="12" t="s">
        <v>2</v>
      </c>
    </row>
    <row r="6" spans="1:9" ht="30" thickTop="1" x14ac:dyDescent="0.2">
      <c r="B6" s="33">
        <f>1+INT(MIN(MOD(C6-DATE(YEAR(C6)+{-1;0;1},1,5)+WEEKDAY(DATE(YEAR(C6)+{-1;0;1},1,3)),734))/7)</f>
        <v>36</v>
      </c>
      <c r="C6" s="17">
        <f>DATE(C2,E2,1)-WEEKDAY(DATE(C2,E2,1),2)+1</f>
        <v>45901</v>
      </c>
      <c r="D6" s="18">
        <f t="shared" ref="D6:I6" si="0">C6+1</f>
        <v>45902</v>
      </c>
      <c r="E6" s="18">
        <f t="shared" si="0"/>
        <v>45903</v>
      </c>
      <c r="F6" s="18">
        <f t="shared" si="0"/>
        <v>45904</v>
      </c>
      <c r="G6" s="18">
        <f t="shared" si="0"/>
        <v>45905</v>
      </c>
      <c r="H6" s="18">
        <f t="shared" si="0"/>
        <v>45906</v>
      </c>
      <c r="I6" s="18">
        <f t="shared" si="0"/>
        <v>45907</v>
      </c>
    </row>
    <row r="7" spans="1:9" ht="12.6" customHeight="1" x14ac:dyDescent="0.2">
      <c r="B7" s="26"/>
      <c r="C7" s="19" t="str">
        <f>IFERROR(VLOOKUP(C6,JF_P[],2,0),"")</f>
        <v/>
      </c>
      <c r="D7" s="20" t="str">
        <f>IFERROR(VLOOKUP(D6,JF_P[],2,0),"")</f>
        <v/>
      </c>
      <c r="E7" s="20" t="str">
        <f>IFERROR(VLOOKUP(E6,JF_P[],2,0),"")</f>
        <v/>
      </c>
      <c r="F7" s="20" t="str">
        <f>IFERROR(VLOOKUP(F6,JF_P[],2,0),"")</f>
        <v/>
      </c>
      <c r="G7" s="20" t="str">
        <f>IFERROR(VLOOKUP(G6,JF_P[],2,0),"")</f>
        <v/>
      </c>
      <c r="H7" s="20" t="str">
        <f>IFERROR(VLOOKUP(H6,JF_P[],2,0),"")</f>
        <v/>
      </c>
      <c r="I7" s="20" t="str">
        <f>IFERROR(VLOOKUP(I6,JF_P[],2,0),"")</f>
        <v/>
      </c>
    </row>
    <row r="8" spans="1:9" ht="13.5" thickBot="1" x14ac:dyDescent="0.25">
      <c r="B8" s="26"/>
      <c r="C8" s="15"/>
      <c r="D8" s="16"/>
      <c r="E8" s="16"/>
      <c r="F8" s="16"/>
      <c r="G8" s="16"/>
      <c r="H8" s="16"/>
      <c r="I8" s="16"/>
    </row>
    <row r="9" spans="1:9" ht="30" thickTop="1" x14ac:dyDescent="0.2">
      <c r="B9" s="33">
        <f>1+INT(MIN(MOD(C9-DATE(YEAR(C9)+{-1;0;1},1,5)+WEEKDAY(DATE(YEAR(C9)+{-1;0;1},1,3)),734))/7)</f>
        <v>37</v>
      </c>
      <c r="C9" s="17">
        <f>C6+7</f>
        <v>45908</v>
      </c>
      <c r="D9" s="18">
        <f t="shared" ref="D9:I9" si="1">C9+1</f>
        <v>45909</v>
      </c>
      <c r="E9" s="18">
        <f t="shared" si="1"/>
        <v>45910</v>
      </c>
      <c r="F9" s="18">
        <f t="shared" si="1"/>
        <v>45911</v>
      </c>
      <c r="G9" s="18">
        <f t="shared" si="1"/>
        <v>45912</v>
      </c>
      <c r="H9" s="18">
        <f t="shared" si="1"/>
        <v>45913</v>
      </c>
      <c r="I9" s="18">
        <f t="shared" si="1"/>
        <v>45914</v>
      </c>
    </row>
    <row r="10" spans="1:9" ht="12.6" customHeight="1" x14ac:dyDescent="0.2">
      <c r="B10" s="26"/>
      <c r="C10" s="19" t="str">
        <f>IFERROR(VLOOKUP(C9,JF_P[],2,0),"")</f>
        <v/>
      </c>
      <c r="D10" s="20" t="str">
        <f>IFERROR(VLOOKUP(D9,JF_P[],2,0),"")</f>
        <v/>
      </c>
      <c r="E10" s="20" t="str">
        <f>IFERROR(VLOOKUP(E9,JF_P[],2,0),"")</f>
        <v/>
      </c>
      <c r="F10" s="20" t="str">
        <f>IFERROR(VLOOKUP(F9,JF_P[],2,0),"")</f>
        <v/>
      </c>
      <c r="G10" s="20" t="str">
        <f>IFERROR(VLOOKUP(G9,JF_P[],2,0),"")</f>
        <v/>
      </c>
      <c r="H10" s="20" t="str">
        <f>IFERROR(VLOOKUP(H9,JF_P[],2,0),"")</f>
        <v/>
      </c>
      <c r="I10" s="20" t="str">
        <f>IFERROR(VLOOKUP(I9,JF_P[],2,0),"")</f>
        <v/>
      </c>
    </row>
    <row r="11" spans="1:9" ht="13.5" thickBot="1" x14ac:dyDescent="0.25">
      <c r="B11" s="26"/>
    </row>
    <row r="12" spans="1:9" ht="30" thickTop="1" x14ac:dyDescent="0.2">
      <c r="B12" s="33">
        <f>1+INT(MIN(MOD(C12-DATE(YEAR(C12)+{-1;0;1},1,5)+WEEKDAY(DATE(YEAR(C12)+{-1;0;1},1,3)),734))/7)</f>
        <v>38</v>
      </c>
      <c r="C12" s="17">
        <f>C9+7</f>
        <v>45915</v>
      </c>
      <c r="D12" s="18">
        <f t="shared" ref="D12:I12" si="2">C12+1</f>
        <v>45916</v>
      </c>
      <c r="E12" s="18">
        <f t="shared" si="2"/>
        <v>45917</v>
      </c>
      <c r="F12" s="18">
        <f t="shared" si="2"/>
        <v>45918</v>
      </c>
      <c r="G12" s="18">
        <f t="shared" si="2"/>
        <v>45919</v>
      </c>
      <c r="H12" s="18">
        <f t="shared" si="2"/>
        <v>45920</v>
      </c>
      <c r="I12" s="18">
        <f t="shared" si="2"/>
        <v>45921</v>
      </c>
    </row>
    <row r="13" spans="1:9" ht="12.6" customHeight="1" x14ac:dyDescent="0.2">
      <c r="B13" s="26"/>
      <c r="C13" s="19" t="str">
        <f>IFERROR(VLOOKUP(C12,JF_P[],2,0),"")</f>
        <v/>
      </c>
      <c r="D13" s="20" t="str">
        <f>IFERROR(VLOOKUP(D12,JF_P[],2,0),"")</f>
        <v/>
      </c>
      <c r="E13" s="20" t="str">
        <f>IFERROR(VLOOKUP(E12,JF_P[],2,0),"")</f>
        <v/>
      </c>
      <c r="F13" s="20" t="str">
        <f>IFERROR(VLOOKUP(F12,JF_P[],2,0),"")</f>
        <v/>
      </c>
      <c r="G13" s="20" t="str">
        <f>IFERROR(VLOOKUP(G12,JF_P[],2,0),"")</f>
        <v/>
      </c>
      <c r="H13" s="20" t="str">
        <f>IFERROR(VLOOKUP(H12,JF_P[],2,0),"")</f>
        <v/>
      </c>
      <c r="I13" s="20" t="str">
        <f>IFERROR(VLOOKUP(I12,JF_P[],2,0),"")</f>
        <v/>
      </c>
    </row>
    <row r="14" spans="1:9" ht="13.5" thickBot="1" x14ac:dyDescent="0.25">
      <c r="B14" s="26"/>
      <c r="C14" s="15"/>
      <c r="D14" s="16"/>
      <c r="E14" s="16"/>
      <c r="F14" s="16"/>
      <c r="G14" s="16"/>
      <c r="H14" s="16"/>
      <c r="I14" s="16"/>
    </row>
    <row r="15" spans="1:9" ht="30" thickTop="1" x14ac:dyDescent="0.2">
      <c r="B15" s="33">
        <f>1+INT(MIN(MOD(C15-DATE(YEAR(C15)+{-1;0;1},1,5)+WEEKDAY(DATE(YEAR(C15)+{-1;0;1},1,3)),734))/7)</f>
        <v>39</v>
      </c>
      <c r="C15" s="17">
        <f>C12+7</f>
        <v>45922</v>
      </c>
      <c r="D15" s="18">
        <f t="shared" ref="D15:I15" si="3">C15+1</f>
        <v>45923</v>
      </c>
      <c r="E15" s="18">
        <f t="shared" si="3"/>
        <v>45924</v>
      </c>
      <c r="F15" s="18">
        <f t="shared" si="3"/>
        <v>45925</v>
      </c>
      <c r="G15" s="18">
        <f t="shared" si="3"/>
        <v>45926</v>
      </c>
      <c r="H15" s="18">
        <f t="shared" si="3"/>
        <v>45927</v>
      </c>
      <c r="I15" s="18">
        <f t="shared" si="3"/>
        <v>45928</v>
      </c>
    </row>
    <row r="16" spans="1:9" ht="12.6" customHeight="1" x14ac:dyDescent="0.2">
      <c r="B16" s="26"/>
      <c r="C16" s="19" t="str">
        <f>IFERROR(VLOOKUP(C15,JF_P[],2,0),"")</f>
        <v/>
      </c>
      <c r="D16" s="20" t="str">
        <f>IFERROR(VLOOKUP(D15,JF_P[],2,0),"")</f>
        <v/>
      </c>
      <c r="E16" s="20" t="str">
        <f>IFERROR(VLOOKUP(E15,JF_P[],2,0),"")</f>
        <v/>
      </c>
      <c r="F16" s="20" t="str">
        <f>IFERROR(VLOOKUP(F15,JF_P[],2,0),"")</f>
        <v/>
      </c>
      <c r="G16" s="20" t="str">
        <f>IFERROR(VLOOKUP(G15,JF_P[],2,0),"")</f>
        <v/>
      </c>
      <c r="H16" s="20" t="str">
        <f>IFERROR(VLOOKUP(H15,JF_P[],2,0),"")</f>
        <v/>
      </c>
      <c r="I16" s="20" t="str">
        <f>IFERROR(VLOOKUP(I15,JF_P[],2,0),"")</f>
        <v/>
      </c>
    </row>
    <row r="17" spans="2:9" ht="13.5" thickBot="1" x14ac:dyDescent="0.25">
      <c r="B17" s="26"/>
    </row>
    <row r="18" spans="2:9" ht="30" thickTop="1" x14ac:dyDescent="0.2">
      <c r="B18" s="33">
        <f>1+INT(MIN(MOD(C18-DATE(YEAR(C18)+{-1;0;1},1,5)+WEEKDAY(DATE(YEAR(C18)+{-1;0;1},1,3)),734))/7)</f>
        <v>40</v>
      </c>
      <c r="C18" s="17">
        <f>C15+7</f>
        <v>45929</v>
      </c>
      <c r="D18" s="18">
        <f t="shared" ref="D18:I18" si="4">C18+1</f>
        <v>45930</v>
      </c>
      <c r="E18" s="18">
        <f t="shared" si="4"/>
        <v>45931</v>
      </c>
      <c r="F18" s="18">
        <f t="shared" si="4"/>
        <v>45932</v>
      </c>
      <c r="G18" s="18">
        <f t="shared" si="4"/>
        <v>45933</v>
      </c>
      <c r="H18" s="18">
        <f t="shared" si="4"/>
        <v>45934</v>
      </c>
      <c r="I18" s="18">
        <f t="shared" si="4"/>
        <v>45935</v>
      </c>
    </row>
    <row r="19" spans="2:9" ht="12.6" customHeight="1" x14ac:dyDescent="0.2">
      <c r="B19" s="26"/>
      <c r="C19" s="19" t="str">
        <f>IFERROR(VLOOKUP(C18,JF_P[],2,0),"")</f>
        <v/>
      </c>
      <c r="D19" s="20" t="str">
        <f>IFERROR(VLOOKUP(D18,JF_P[],2,0),"")</f>
        <v/>
      </c>
      <c r="E19" s="20" t="str">
        <f>IFERROR(VLOOKUP(E18,JF_P[],2,0),"")</f>
        <v/>
      </c>
      <c r="F19" s="20" t="str">
        <f>IFERROR(VLOOKUP(F18,JF_P[],2,0),"")</f>
        <v/>
      </c>
      <c r="G19" s="20" t="str">
        <f>IFERROR(VLOOKUP(G18,JF_P[],2,0),"")</f>
        <v/>
      </c>
      <c r="H19" s="20" t="str">
        <f>IFERROR(VLOOKUP(H18,JF_P[],2,0),"")</f>
        <v/>
      </c>
      <c r="I19" s="20" t="str">
        <f>IFERROR(VLOOKUP(I18,JF_P[],2,0),"")</f>
        <v/>
      </c>
    </row>
    <row r="20" spans="2:9" ht="13.5" thickBot="1" x14ac:dyDescent="0.25">
      <c r="B20" s="26"/>
      <c r="C20" s="15"/>
      <c r="D20" s="16"/>
      <c r="E20" s="16"/>
      <c r="F20" s="16"/>
      <c r="G20" s="16"/>
      <c r="H20" s="16"/>
      <c r="I20" s="16"/>
    </row>
    <row r="21" spans="2:9" ht="30" thickTop="1" x14ac:dyDescent="0.2">
      <c r="B21" s="33">
        <f>1+INT(MIN(MOD(C21-DATE(YEAR(C21)+{-1;0;1},1,5)+WEEKDAY(DATE(YEAR(C21)+{-1;0;1},1,3)),734))/7)</f>
        <v>41</v>
      </c>
      <c r="C21" s="17">
        <f>C18+7</f>
        <v>45936</v>
      </c>
      <c r="D21" s="18">
        <f t="shared" ref="D21:I21" si="5">C21+1</f>
        <v>45937</v>
      </c>
      <c r="E21" s="18">
        <f t="shared" si="5"/>
        <v>45938</v>
      </c>
      <c r="F21" s="18">
        <f t="shared" si="5"/>
        <v>45939</v>
      </c>
      <c r="G21" s="18">
        <f t="shared" si="5"/>
        <v>45940</v>
      </c>
      <c r="H21" s="18">
        <f t="shared" si="5"/>
        <v>45941</v>
      </c>
      <c r="I21" s="18">
        <f t="shared" si="5"/>
        <v>45942</v>
      </c>
    </row>
    <row r="22" spans="2:9" ht="12.6" customHeight="1" x14ac:dyDescent="0.2">
      <c r="B22" s="26"/>
      <c r="C22" s="19" t="str">
        <f>IFERROR(VLOOKUP(C21,JF_P[],2,0),"")</f>
        <v/>
      </c>
      <c r="D22" s="20" t="str">
        <f>IFERROR(VLOOKUP(D21,JF_P[],2,0),"")</f>
        <v/>
      </c>
      <c r="E22" s="20" t="str">
        <f>IFERROR(VLOOKUP(E21,JF_P[],2,0),"")</f>
        <v/>
      </c>
      <c r="F22" s="20" t="str">
        <f>IFERROR(VLOOKUP(F21,JF_P[],2,0),"")</f>
        <v/>
      </c>
      <c r="G22" s="20" t="str">
        <f>IFERROR(VLOOKUP(G21,JF_P[],2,0),"")</f>
        <v/>
      </c>
      <c r="H22" s="20" t="str">
        <f>IFERROR(VLOOKUP(H21,JF_P[],2,0),"")</f>
        <v/>
      </c>
      <c r="I22" s="20" t="str">
        <f>IFERROR(VLOOKUP(I21,JF_P[],2,0),"")</f>
        <v/>
      </c>
    </row>
    <row r="23" spans="2:9" x14ac:dyDescent="0.2">
      <c r="B23" s="26"/>
    </row>
  </sheetData>
  <mergeCells count="1">
    <mergeCell ref="C4:I4"/>
  </mergeCells>
  <conditionalFormatting sqref="C9:I9 C15:I15 C21:I21">
    <cfRule type="expression" dxfId="6" priority="4">
      <formula>MONTH(C9)&lt;&gt;$E$2</formula>
    </cfRule>
  </conditionalFormatting>
  <conditionalFormatting sqref="C6:I6">
    <cfRule type="expression" dxfId="5" priority="3">
      <formula>MONTH(C6)&lt;&gt;$E$2</formula>
    </cfRule>
  </conditionalFormatting>
  <conditionalFormatting sqref="C12:I12">
    <cfRule type="expression" dxfId="4" priority="2">
      <formula>MONTH(C12)&lt;&gt;$E$2</formula>
    </cfRule>
  </conditionalFormatting>
  <conditionalFormatting sqref="C18:I18">
    <cfRule type="expression" dxfId="3" priority="1">
      <formula>MONTH(C18)&lt;&gt;$E$2</formula>
    </cfRule>
  </conditionalFormatting>
  <pageMargins left="0.7" right="0.7" top="0.75" bottom="0.75" header="0.3" footer="0.3"/>
  <pageSetup paperSize="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ompteur Année">
              <controlPr defaultSize="0" autoPict="0" macro="[0]!vuemois" altText="Bouton Compteur. Modifie l’année civile dans la cellule C2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9525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ompteur Mois">
              <controlPr defaultSize="0" autoPict="0" macro="[0]!vuemois" altText="Bouton Compteur. Modifie le mois civil dans la cellule E2">
                <anchor moveWithCells="1" sizeWithCells="1">
                  <from>
                    <xdr:col>3</xdr:col>
                    <xdr:colOff>1247775</xdr:colOff>
                    <xdr:row>1</xdr:row>
                    <xdr:rowOff>19050</xdr:rowOff>
                  </from>
                  <to>
                    <xdr:col>4</xdr:col>
                    <xdr:colOff>19050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G5"/>
  <sheetViews>
    <sheetView workbookViewId="0">
      <selection activeCell="B4" sqref="B4"/>
    </sheetView>
  </sheetViews>
  <sheetFormatPr defaultColWidth="10.85546875" defaultRowHeight="14.25" x14ac:dyDescent="0.2"/>
  <cols>
    <col min="1" max="1" width="14.85546875" style="28" customWidth="1"/>
    <col min="2" max="7" width="8" style="29" customWidth="1"/>
    <col min="8" max="16384" width="10.85546875" style="28"/>
  </cols>
  <sheetData>
    <row r="1" spans="1:7" x14ac:dyDescent="0.2">
      <c r="B1" s="29" t="s">
        <v>27</v>
      </c>
      <c r="C1" s="29" t="s">
        <v>28</v>
      </c>
      <c r="D1" s="29" t="s">
        <v>29</v>
      </c>
      <c r="E1" s="29" t="s">
        <v>30</v>
      </c>
      <c r="F1" s="29" t="s">
        <v>31</v>
      </c>
      <c r="G1" s="29" t="s">
        <v>32</v>
      </c>
    </row>
    <row r="2" spans="1:7" x14ac:dyDescent="0.2">
      <c r="A2" s="28" t="s">
        <v>33</v>
      </c>
      <c r="B2" s="30">
        <v>6</v>
      </c>
      <c r="C2" s="29">
        <f>B2+B3+3</f>
        <v>9</v>
      </c>
      <c r="D2" s="29">
        <f t="shared" ref="D2:G2" si="0">C2+C3+3</f>
        <v>12</v>
      </c>
      <c r="E2" s="29">
        <f t="shared" si="0"/>
        <v>15</v>
      </c>
      <c r="F2" s="29">
        <f t="shared" si="0"/>
        <v>18</v>
      </c>
      <c r="G2" s="29">
        <f t="shared" si="0"/>
        <v>21</v>
      </c>
    </row>
    <row r="3" spans="1:7" x14ac:dyDescent="0.2">
      <c r="A3" s="28" t="s">
        <v>34</v>
      </c>
      <c r="B3" s="30">
        <v>0</v>
      </c>
      <c r="C3" s="30">
        <v>0</v>
      </c>
      <c r="D3" s="30">
        <v>0</v>
      </c>
      <c r="E3" s="30">
        <v>0</v>
      </c>
      <c r="F3" s="30">
        <v>0</v>
      </c>
      <c r="G3" s="30">
        <v>0</v>
      </c>
    </row>
    <row r="4" spans="1:7" x14ac:dyDescent="0.2">
      <c r="A4" s="28" t="s">
        <v>35</v>
      </c>
      <c r="B4" s="29">
        <f>B2+2</f>
        <v>8</v>
      </c>
      <c r="C4" s="29">
        <f t="shared" ref="C4:G4" si="1">C2+2</f>
        <v>11</v>
      </c>
      <c r="D4" s="29">
        <f t="shared" si="1"/>
        <v>14</v>
      </c>
      <c r="E4" s="29">
        <f t="shared" si="1"/>
        <v>17</v>
      </c>
      <c r="F4" s="29">
        <f t="shared" si="1"/>
        <v>20</v>
      </c>
      <c r="G4" s="29">
        <f t="shared" si="1"/>
        <v>23</v>
      </c>
    </row>
    <row r="5" spans="1:7" x14ac:dyDescent="0.2">
      <c r="A5" s="28" t="s">
        <v>36</v>
      </c>
      <c r="B5" s="29">
        <f>B2+1+B3</f>
        <v>7</v>
      </c>
      <c r="C5" s="29">
        <f t="shared" ref="C5:G5" si="2">C2+1+C3</f>
        <v>10</v>
      </c>
      <c r="D5" s="29">
        <f t="shared" si="2"/>
        <v>13</v>
      </c>
      <c r="E5" s="29">
        <f t="shared" si="2"/>
        <v>16</v>
      </c>
      <c r="F5" s="29">
        <f t="shared" si="2"/>
        <v>19</v>
      </c>
      <c r="G5" s="29">
        <f t="shared" si="2"/>
        <v>22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>
    <tabColor rgb="FFFFC000"/>
  </sheetPr>
  <dimension ref="A1:C33"/>
  <sheetViews>
    <sheetView topLeftCell="A2" workbookViewId="0">
      <selection activeCell="B2" sqref="B2:C33"/>
    </sheetView>
  </sheetViews>
  <sheetFormatPr defaultColWidth="18.5703125" defaultRowHeight="12.75" x14ac:dyDescent="0.2"/>
  <sheetData>
    <row r="1" spans="1:3" x14ac:dyDescent="0.2">
      <c r="A1" s="21">
        <f>Mensuel!C2</f>
        <v>2025</v>
      </c>
      <c r="B1" s="23" t="s">
        <v>12</v>
      </c>
      <c r="C1" s="23" t="s">
        <v>13</v>
      </c>
    </row>
    <row r="2" spans="1:3" x14ac:dyDescent="0.2">
      <c r="A2" s="22"/>
      <c r="B2" s="24">
        <f>IF(WEEKDAY(B3,2)=2,B3-1,0)</f>
        <v>0</v>
      </c>
      <c r="C2" s="22" t="s">
        <v>14</v>
      </c>
    </row>
    <row r="3" spans="1:3" x14ac:dyDescent="0.2">
      <c r="A3" s="22"/>
      <c r="B3" s="25">
        <f>DATE(A1,1,1)</f>
        <v>45658</v>
      </c>
      <c r="C3" s="22" t="s">
        <v>15</v>
      </c>
    </row>
    <row r="4" spans="1:3" x14ac:dyDescent="0.2">
      <c r="A4" s="22"/>
      <c r="B4" s="24">
        <f>IF(WEEKDAY(B3,2)=4,B3+1,0)</f>
        <v>0</v>
      </c>
      <c r="C4" s="22" t="s">
        <v>14</v>
      </c>
    </row>
    <row r="5" spans="1:3" x14ac:dyDescent="0.2">
      <c r="A5" s="22"/>
      <c r="B5" s="25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45767</v>
      </c>
      <c r="C5" s="22" t="s">
        <v>16</v>
      </c>
    </row>
    <row r="6" spans="1:3" x14ac:dyDescent="0.2">
      <c r="A6" s="22"/>
      <c r="B6" s="25">
        <f>B5+1</f>
        <v>45768</v>
      </c>
      <c r="C6" s="22" t="s">
        <v>17</v>
      </c>
    </row>
    <row r="7" spans="1:3" x14ac:dyDescent="0.2">
      <c r="A7" s="22"/>
      <c r="B7" s="24">
        <f>IF(WEEKDAY(B8,2)=2,B8-1,0)</f>
        <v>0</v>
      </c>
      <c r="C7" s="22" t="s">
        <v>14</v>
      </c>
    </row>
    <row r="8" spans="1:3" x14ac:dyDescent="0.2">
      <c r="A8" s="22"/>
      <c r="B8" s="25">
        <f>DATE(A1,5,1)</f>
        <v>45778</v>
      </c>
      <c r="C8" s="22" t="s">
        <v>18</v>
      </c>
    </row>
    <row r="9" spans="1:3" x14ac:dyDescent="0.2">
      <c r="A9" s="22"/>
      <c r="B9" s="24">
        <f>IF(WEEKDAY(B8,2)=4,B8+1,0)</f>
        <v>45779</v>
      </c>
      <c r="C9" s="22" t="s">
        <v>14</v>
      </c>
    </row>
    <row r="10" spans="1:3" x14ac:dyDescent="0.2">
      <c r="A10" s="22"/>
      <c r="B10" s="24">
        <f>IF(WEEKDAY(B11,2)=2,B11-1,0)</f>
        <v>0</v>
      </c>
      <c r="C10" s="22" t="s">
        <v>14</v>
      </c>
    </row>
    <row r="11" spans="1:3" x14ac:dyDescent="0.2">
      <c r="A11" s="22"/>
      <c r="B11" s="25">
        <f>DATE(A1,5,8)</f>
        <v>45785</v>
      </c>
      <c r="C11" s="22" t="s">
        <v>19</v>
      </c>
    </row>
    <row r="12" spans="1:3" x14ac:dyDescent="0.2">
      <c r="A12" s="22"/>
      <c r="B12" s="24">
        <f>IF(WEEKDAY(B11,2)=4,B11+1,0)</f>
        <v>45786</v>
      </c>
      <c r="C12" s="22" t="s">
        <v>14</v>
      </c>
    </row>
    <row r="13" spans="1:3" x14ac:dyDescent="0.2">
      <c r="A13" s="22"/>
      <c r="B13" s="25">
        <f>B5+39</f>
        <v>45806</v>
      </c>
      <c r="C13" s="22" t="s">
        <v>20</v>
      </c>
    </row>
    <row r="14" spans="1:3" x14ac:dyDescent="0.2">
      <c r="A14" s="22"/>
      <c r="B14" s="24">
        <f>IF(WEEKDAY(B13,2)=4,B13+1,0)</f>
        <v>45807</v>
      </c>
      <c r="C14" s="22" t="s">
        <v>14</v>
      </c>
    </row>
    <row r="15" spans="1:3" x14ac:dyDescent="0.2">
      <c r="A15" s="22"/>
      <c r="B15" s="25">
        <f>B5+50</f>
        <v>45817</v>
      </c>
      <c r="C15" s="22" t="s">
        <v>21</v>
      </c>
    </row>
    <row r="16" spans="1:3" x14ac:dyDescent="0.2">
      <c r="A16" s="22"/>
      <c r="B16" s="24">
        <f>IF(WEEKDAY(B17,2)=2,B17-1,0)</f>
        <v>0</v>
      </c>
      <c r="C16" s="22" t="s">
        <v>14</v>
      </c>
    </row>
    <row r="17" spans="1:3" x14ac:dyDescent="0.2">
      <c r="A17" s="22"/>
      <c r="B17" s="25">
        <f>DATE(A1,7,14)</f>
        <v>45852</v>
      </c>
      <c r="C17" s="22" t="s">
        <v>22</v>
      </c>
    </row>
    <row r="18" spans="1:3" x14ac:dyDescent="0.2">
      <c r="A18" s="22"/>
      <c r="B18" s="24">
        <f>IF(WEEKDAY(B17,2)=4,B17+1,0)</f>
        <v>0</v>
      </c>
      <c r="C18" s="22" t="s">
        <v>14</v>
      </c>
    </row>
    <row r="19" spans="1:3" x14ac:dyDescent="0.2">
      <c r="A19" s="22"/>
      <c r="B19" s="24">
        <f>IF(WEEKDAY(B20,2)=2,B20-1,0)</f>
        <v>0</v>
      </c>
      <c r="C19" s="22" t="s">
        <v>14</v>
      </c>
    </row>
    <row r="20" spans="1:3" x14ac:dyDescent="0.2">
      <c r="A20" s="22"/>
      <c r="B20" s="25">
        <f>DATE(A1,8,15)</f>
        <v>45884</v>
      </c>
      <c r="C20" s="22" t="s">
        <v>23</v>
      </c>
    </row>
    <row r="21" spans="1:3" x14ac:dyDescent="0.2">
      <c r="A21" s="22"/>
      <c r="B21" s="24">
        <f>IF(WEEKDAY(B20,2)=4,B20+1,0)</f>
        <v>0</v>
      </c>
      <c r="C21" s="22" t="s">
        <v>14</v>
      </c>
    </row>
    <row r="22" spans="1:3" x14ac:dyDescent="0.2">
      <c r="A22" s="22"/>
      <c r="B22" s="24">
        <f>IF(WEEKDAY(B23,2)=2,B23-1,0)</f>
        <v>0</v>
      </c>
      <c r="C22" s="22" t="s">
        <v>14</v>
      </c>
    </row>
    <row r="23" spans="1:3" x14ac:dyDescent="0.2">
      <c r="A23" s="22"/>
      <c r="B23" s="25">
        <f>DATE(A1,11,1)</f>
        <v>45962</v>
      </c>
      <c r="C23" s="22" t="s">
        <v>24</v>
      </c>
    </row>
    <row r="24" spans="1:3" x14ac:dyDescent="0.2">
      <c r="A24" s="22"/>
      <c r="B24" s="24">
        <f>IF(WEEKDAY(B23,2)=4,B23+1,0)</f>
        <v>0</v>
      </c>
      <c r="C24" s="22" t="s">
        <v>14</v>
      </c>
    </row>
    <row r="25" spans="1:3" x14ac:dyDescent="0.2">
      <c r="A25" s="22"/>
      <c r="B25" s="24">
        <f>IF(WEEKDAY(B26,2)=2,B26-1,0)</f>
        <v>45971</v>
      </c>
      <c r="C25" s="22" t="s">
        <v>14</v>
      </c>
    </row>
    <row r="26" spans="1:3" x14ac:dyDescent="0.2">
      <c r="A26" s="22"/>
      <c r="B26" s="25">
        <f>DATE(A1,11,11)</f>
        <v>45972</v>
      </c>
      <c r="C26" s="22" t="s">
        <v>25</v>
      </c>
    </row>
    <row r="27" spans="1:3" x14ac:dyDescent="0.2">
      <c r="A27" s="22"/>
      <c r="B27" s="24">
        <f>IF(WEEKDAY(B26,2)=4,B26+1,0)</f>
        <v>0</v>
      </c>
      <c r="C27" s="22" t="s">
        <v>14</v>
      </c>
    </row>
    <row r="28" spans="1:3" x14ac:dyDescent="0.2">
      <c r="A28" s="22"/>
      <c r="B28" s="24">
        <f>IF(WEEKDAY(B29,2)=2,B29-1,0)</f>
        <v>0</v>
      </c>
      <c r="C28" s="22" t="s">
        <v>14</v>
      </c>
    </row>
    <row r="29" spans="1:3" x14ac:dyDescent="0.2">
      <c r="A29" s="22"/>
      <c r="B29" s="25">
        <f>DATE(A1,12,25)</f>
        <v>46016</v>
      </c>
      <c r="C29" s="22" t="s">
        <v>26</v>
      </c>
    </row>
    <row r="30" spans="1:3" x14ac:dyDescent="0.2">
      <c r="A30" s="22"/>
      <c r="B30" s="24">
        <f>IF(WEEKDAY(B29,2)=4,B29+1,0)</f>
        <v>46017</v>
      </c>
      <c r="C30" s="22" t="s">
        <v>14</v>
      </c>
    </row>
    <row r="31" spans="1:3" x14ac:dyDescent="0.2">
      <c r="A31" s="22"/>
      <c r="B31" s="24">
        <f>IF(WEEKDAY(B32,2)=2,B32-1,0)</f>
        <v>0</v>
      </c>
      <c r="C31" s="22" t="s">
        <v>14</v>
      </c>
    </row>
    <row r="32" spans="1:3" x14ac:dyDescent="0.2">
      <c r="A32" s="22"/>
      <c r="B32" s="25">
        <f>DATE(A1+1,1,1)</f>
        <v>46023</v>
      </c>
      <c r="C32" s="22" t="s">
        <v>15</v>
      </c>
    </row>
    <row r="33" spans="2:3" x14ac:dyDescent="0.2">
      <c r="B33" s="24">
        <f>IF(WEEKDAY(B32,2)=4,B32+1,0)</f>
        <v>46024</v>
      </c>
      <c r="C33" s="22" t="s">
        <v>14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6</vt:i4>
      </vt:variant>
      <vt:variant>
        <vt:lpstr>Benoemde bereiken</vt:lpstr>
      </vt:variant>
      <vt:variant>
        <vt:i4>3</vt:i4>
      </vt:variant>
    </vt:vector>
  </HeadingPairs>
  <TitlesOfParts>
    <vt:vector size="9" baseType="lpstr">
      <vt:lpstr>Cours</vt:lpstr>
      <vt:lpstr>Gantt</vt:lpstr>
      <vt:lpstr>Hebdomadaire</vt:lpstr>
      <vt:lpstr>Mensuel</vt:lpstr>
      <vt:lpstr>Parametres</vt:lpstr>
      <vt:lpstr>JFP</vt:lpstr>
      <vt:lpstr>masemaine</vt:lpstr>
      <vt:lpstr>rangsemaine</vt:lpstr>
      <vt:lpstr>semaine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BSA</cp:lastModifiedBy>
  <cp:revision/>
  <cp:lastPrinted>2025-09-18T11:18:15Z</cp:lastPrinted>
  <dcterms:created xsi:type="dcterms:W3CDTF">2015-02-17T18:38:59Z</dcterms:created>
  <dcterms:modified xsi:type="dcterms:W3CDTF">2026-06-19T08:11:31Z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