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0B985F-C35B-4C46-BDAE-E0F0D98638FD}" xr6:coauthVersionLast="47" xr6:coauthVersionMax="47" xr10:uidLastSave="{00000000-0000-0000-0000-000000000000}"/>
  <bookViews>
    <workbookView xWindow="-19680" yWindow="660" windowWidth="19800" windowHeight="11760" activeTab="1" xr2:uid="{18B5AA9D-D230-4707-9CCD-1B6232C3F56B}"/>
  </bookViews>
  <sheets>
    <sheet name="base de travail" sheetId="1" r:id="rId1"/>
    <sheet name="rem par age" sheetId="2" r:id="rId2"/>
    <sheet name="rem par ancienneté" sheetId="3" r:id="rId3"/>
  </sheets>
  <functionGroups builtInGroupCount="19"/>
  <definedNames>
    <definedName name="Age">OFFSET('base de travail'!$E$3,,,COUNTA('base de travail'!$E$3:$E$1030),1)</definedName>
    <definedName name="Ancienneté">OFFSET('base de travail'!$F$3,,,COUNTA('base de travail'!$F$3:$F$1030),1)</definedName>
    <definedName name="ChoixAbscisse">OFFSET('base de travail'!$M$3,,,COUNTA('base de travail'!$M$3:$M$1030),1)</definedName>
    <definedName name="ChoixDirecteur">OFFSET('base de travail'!$N$3,,,COUNTA('base de travail'!$N$3:$N$1030),1)</definedName>
    <definedName name="ChoixEntité">OFFSET('base de travail'!$S$3,,,COUNTA('base de travail'!$S$3:$S$1030),1)</definedName>
    <definedName name="ChoixFemme">OFFSET('base de travail'!$P$3,,,COUNTA('base de travail'!$O$3:$O$1030),1)</definedName>
    <definedName name="ChoixHomme">OFFSET('base de travail'!$O$3,,,COUNTA('base de travail'!$N$3:$N$1030),1)</definedName>
    <definedName name="ChoixMixte">OFFSET('base de travail'!$Q$3,,,COUNTA('base de travail'!$N$3:$N$1030),1)</definedName>
    <definedName name="Liste">'base de travail'!$A$3:$A$67</definedName>
    <definedName name="MesPointsIndex">'base de travail'!$X$2</definedName>
    <definedName name="Nom">OFFSET('base de travail'!$A$3,,,COUNTA('base de travail'!$A$3:$A$1030),1)</definedName>
    <definedName name="Noms">OFFSET('base de travail'!$AH$1,,,MAX(IF('base de travail'!$AH:$AH&lt;&gt;"",ROW('base de travail'!$AH:$AH))),)</definedName>
    <definedName name="Rémunération">OFFSET('base de travail'!$L$3,,,COUNTA('base de travail'!$L$3:$L$1030),1)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P6" i="1" s="1"/>
  <c r="N7" i="1"/>
  <c r="N8" i="1"/>
  <c r="N9" i="1"/>
  <c r="N10" i="1"/>
  <c r="N11" i="1"/>
  <c r="N12" i="1"/>
  <c r="N13" i="1"/>
  <c r="N14" i="1"/>
  <c r="O14" i="1" s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R11" i="1"/>
  <c r="P12" i="1"/>
  <c r="S13" i="1"/>
  <c r="R29" i="1"/>
  <c r="O30" i="1"/>
  <c r="R31" i="1"/>
  <c r="O33" i="1"/>
  <c r="P36" i="1"/>
  <c r="O42" i="1"/>
  <c r="R5" i="1"/>
  <c r="S9" i="1"/>
  <c r="T11" i="1" l="1"/>
  <c r="O10" i="1"/>
  <c r="O43" i="1"/>
  <c r="O28" i="1"/>
  <c r="Q15" i="1"/>
  <c r="S14" i="1"/>
  <c r="P14" i="1"/>
  <c r="O26" i="1"/>
  <c r="O37" i="1"/>
  <c r="P21" i="1"/>
  <c r="Q17" i="1"/>
  <c r="Q16" i="1"/>
  <c r="Q22" i="1"/>
  <c r="S12" i="1"/>
  <c r="S11" i="1"/>
  <c r="O11" i="1"/>
  <c r="Q12" i="1"/>
  <c r="P11" i="1"/>
  <c r="Q14" i="1"/>
  <c r="O18" i="1"/>
  <c r="O15" i="1"/>
  <c r="O27" i="1"/>
  <c r="S15" i="1"/>
  <c r="P10" i="1"/>
  <c r="Q11" i="1"/>
  <c r="O35" i="1"/>
  <c r="O24" i="1"/>
  <c r="O34" i="1"/>
  <c r="O23" i="1"/>
  <c r="S10" i="1"/>
  <c r="O13" i="1"/>
  <c r="O21" i="1"/>
  <c r="R10" i="1"/>
  <c r="T10" i="1" s="1"/>
  <c r="O12" i="1"/>
  <c r="P15" i="1"/>
  <c r="Q20" i="1"/>
  <c r="Q13" i="1"/>
  <c r="V31" i="1"/>
  <c r="Q19" i="1"/>
  <c r="Q10" i="1"/>
  <c r="S21" i="1"/>
  <c r="Q25" i="1"/>
  <c r="Q24" i="1"/>
  <c r="P13" i="1"/>
  <c r="U11" i="1"/>
  <c r="R30" i="1"/>
  <c r="T30" i="1" s="1"/>
  <c r="R17" i="1"/>
  <c r="O17" i="1"/>
  <c r="V11" i="1"/>
  <c r="Q28" i="1"/>
  <c r="R16" i="1"/>
  <c r="O16" i="1"/>
  <c r="P42" i="1"/>
  <c r="P30" i="1"/>
  <c r="R15" i="1"/>
  <c r="Q29" i="1"/>
  <c r="R14" i="1"/>
  <c r="S17" i="1"/>
  <c r="R13" i="1"/>
  <c r="P17" i="1"/>
  <c r="S16" i="1"/>
  <c r="R12" i="1"/>
  <c r="P16" i="1"/>
  <c r="P20" i="1"/>
  <c r="P19" i="1"/>
  <c r="P18" i="1"/>
  <c r="S20" i="1"/>
  <c r="S19" i="1"/>
  <c r="S18" i="1"/>
  <c r="S24" i="1"/>
  <c r="R20" i="1"/>
  <c r="P24" i="1"/>
  <c r="O20" i="1"/>
  <c r="R25" i="1"/>
  <c r="Q21" i="1"/>
  <c r="O25" i="1"/>
  <c r="R24" i="1"/>
  <c r="S25" i="1"/>
  <c r="P25" i="1"/>
  <c r="S23" i="1"/>
  <c r="R19" i="1"/>
  <c r="P23" i="1"/>
  <c r="O19" i="1"/>
  <c r="Q23" i="1"/>
  <c r="R23" i="1"/>
  <c r="R22" i="1"/>
  <c r="Q18" i="1"/>
  <c r="O22" i="1"/>
  <c r="R21" i="1"/>
  <c r="S30" i="1"/>
  <c r="S22" i="1"/>
  <c r="R18" i="1"/>
  <c r="P22" i="1"/>
  <c r="T29" i="1"/>
  <c r="U29" i="1"/>
  <c r="U31" i="1"/>
  <c r="P29" i="1"/>
  <c r="O32" i="1"/>
  <c r="Q43" i="1"/>
  <c r="O31" i="1"/>
  <c r="Q32" i="1"/>
  <c r="S29" i="1"/>
  <c r="Q31" i="1"/>
  <c r="P33" i="1"/>
  <c r="S33" i="1"/>
  <c r="S36" i="1"/>
  <c r="R32" i="1"/>
  <c r="T32" i="1" s="1"/>
  <c r="O29" i="1"/>
  <c r="Q30" i="1"/>
  <c r="Q33" i="1"/>
  <c r="P28" i="1"/>
  <c r="P37" i="1"/>
  <c r="T31" i="1"/>
  <c r="S27" i="1"/>
  <c r="P27" i="1"/>
  <c r="Q27" i="1"/>
  <c r="R26" i="1"/>
  <c r="Q37" i="1"/>
  <c r="V29" i="1"/>
  <c r="Q34" i="1"/>
  <c r="S28" i="1"/>
  <c r="S43" i="1"/>
  <c r="S26" i="1"/>
  <c r="P26" i="1"/>
  <c r="S42" i="1"/>
  <c r="R33" i="1"/>
  <c r="Q26" i="1"/>
  <c r="S32" i="1"/>
  <c r="R28" i="1"/>
  <c r="P32" i="1"/>
  <c r="S37" i="1"/>
  <c r="S31" i="1"/>
  <c r="R27" i="1"/>
  <c r="P31" i="1"/>
  <c r="P35" i="1"/>
  <c r="P34" i="1"/>
  <c r="S35" i="1"/>
  <c r="S34" i="1"/>
  <c r="Q41" i="1"/>
  <c r="Q36" i="1"/>
  <c r="R41" i="1"/>
  <c r="O41" i="1"/>
  <c r="Q40" i="1"/>
  <c r="Q39" i="1"/>
  <c r="R40" i="1"/>
  <c r="R39" i="1"/>
  <c r="O39" i="1"/>
  <c r="Q35" i="1"/>
  <c r="R38" i="1"/>
  <c r="O38" i="1"/>
  <c r="Q38" i="1"/>
  <c r="O40" i="1"/>
  <c r="S41" i="1"/>
  <c r="R37" i="1"/>
  <c r="P41" i="1"/>
  <c r="S40" i="1"/>
  <c r="R36" i="1"/>
  <c r="P40" i="1"/>
  <c r="O36" i="1"/>
  <c r="S39" i="1"/>
  <c r="R35" i="1"/>
  <c r="P39" i="1"/>
  <c r="S38" i="1"/>
  <c r="R34" i="1"/>
  <c r="P38" i="1"/>
  <c r="P43" i="1"/>
  <c r="Q42" i="1"/>
  <c r="R43" i="1"/>
  <c r="R42" i="1"/>
  <c r="O4" i="1"/>
  <c r="O7" i="1"/>
  <c r="T5" i="1"/>
  <c r="S5" i="1"/>
  <c r="S4" i="1"/>
  <c r="R4" i="1"/>
  <c r="Q4" i="1"/>
  <c r="P4" i="1"/>
  <c r="P9" i="1"/>
  <c r="V5" i="1"/>
  <c r="O9" i="1"/>
  <c r="U5" i="1"/>
  <c r="P5" i="1"/>
  <c r="Q5" i="1"/>
  <c r="O5" i="1"/>
  <c r="R6" i="1"/>
  <c r="P8" i="1"/>
  <c r="S6" i="1"/>
  <c r="Q6" i="1"/>
  <c r="S8" i="1"/>
  <c r="O6" i="1"/>
  <c r="O8" i="1"/>
  <c r="S7" i="1"/>
  <c r="R7" i="1"/>
  <c r="Q7" i="1"/>
  <c r="P7" i="1"/>
  <c r="Q9" i="1"/>
  <c r="R8" i="1"/>
  <c r="Q8" i="1"/>
  <c r="R9" i="1"/>
  <c r="K46" i="1"/>
  <c r="AH2" i="1" a="1"/>
  <c r="AH2" i="1" s="1"/>
  <c r="M6" i="1"/>
  <c r="M29" i="1"/>
  <c r="M13" i="1"/>
  <c r="M26" i="1"/>
  <c r="M32" i="1"/>
  <c r="M16" i="1"/>
  <c r="M34" i="1"/>
  <c r="M39" i="1"/>
  <c r="M23" i="1"/>
  <c r="M7" i="1"/>
  <c r="M30" i="1"/>
  <c r="M37" i="1"/>
  <c r="M21" i="1"/>
  <c r="M5" i="1"/>
  <c r="M40" i="1"/>
  <c r="M24" i="1"/>
  <c r="M8" i="1"/>
  <c r="M10" i="1"/>
  <c r="M31" i="1"/>
  <c r="M15" i="1"/>
  <c r="M33" i="1"/>
  <c r="M17" i="1"/>
  <c r="M36" i="1"/>
  <c r="M4" i="1"/>
  <c r="M27" i="1"/>
  <c r="M42" i="1"/>
  <c r="M41" i="1"/>
  <c r="M25" i="1"/>
  <c r="M9" i="1"/>
  <c r="M14" i="1"/>
  <c r="M28" i="1"/>
  <c r="M12" i="1"/>
  <c r="M22" i="1"/>
  <c r="M35" i="1"/>
  <c r="M19" i="1"/>
  <c r="M18" i="1"/>
  <c r="M38" i="1"/>
  <c r="M20" i="1"/>
  <c r="M43" i="1"/>
  <c r="M11" i="1"/>
  <c r="M3" i="1"/>
  <c r="U10" i="1" l="1"/>
  <c r="V10" i="1"/>
  <c r="V30" i="1"/>
  <c r="V15" i="1"/>
  <c r="U15" i="1"/>
  <c r="T15" i="1"/>
  <c r="V16" i="1"/>
  <c r="T16" i="1"/>
  <c r="U16" i="1"/>
  <c r="U12" i="1"/>
  <c r="T12" i="1"/>
  <c r="V12" i="1"/>
  <c r="U30" i="1"/>
  <c r="U13" i="1"/>
  <c r="V13" i="1"/>
  <c r="T13" i="1"/>
  <c r="V17" i="1"/>
  <c r="U17" i="1"/>
  <c r="T17" i="1"/>
  <c r="U14" i="1"/>
  <c r="V14" i="1"/>
  <c r="T14" i="1"/>
  <c r="V24" i="1"/>
  <c r="U24" i="1"/>
  <c r="T24" i="1"/>
  <c r="U21" i="1"/>
  <c r="T21" i="1"/>
  <c r="V21" i="1"/>
  <c r="V22" i="1"/>
  <c r="T22" i="1"/>
  <c r="U22" i="1"/>
  <c r="U23" i="1"/>
  <c r="V23" i="1"/>
  <c r="T23" i="1"/>
  <c r="U25" i="1"/>
  <c r="V25" i="1"/>
  <c r="T25" i="1"/>
  <c r="V20" i="1"/>
  <c r="T20" i="1"/>
  <c r="U20" i="1"/>
  <c r="U18" i="1"/>
  <c r="T18" i="1"/>
  <c r="V18" i="1"/>
  <c r="U19" i="1"/>
  <c r="T19" i="1"/>
  <c r="V19" i="1"/>
  <c r="V32" i="1"/>
  <c r="U32" i="1"/>
  <c r="T26" i="1"/>
  <c r="V26" i="1"/>
  <c r="U26" i="1"/>
  <c r="U33" i="1"/>
  <c r="T33" i="1"/>
  <c r="V33" i="1"/>
  <c r="U27" i="1"/>
  <c r="T27" i="1"/>
  <c r="V27" i="1"/>
  <c r="U28" i="1"/>
  <c r="T28" i="1"/>
  <c r="V28" i="1"/>
  <c r="V38" i="1"/>
  <c r="U38" i="1"/>
  <c r="T38" i="1"/>
  <c r="V39" i="1"/>
  <c r="U39" i="1"/>
  <c r="T39" i="1"/>
  <c r="U36" i="1"/>
  <c r="T36" i="1"/>
  <c r="V36" i="1"/>
  <c r="U40" i="1"/>
  <c r="V40" i="1"/>
  <c r="T40" i="1"/>
  <c r="V35" i="1"/>
  <c r="U35" i="1"/>
  <c r="T35" i="1"/>
  <c r="U37" i="1"/>
  <c r="V37" i="1"/>
  <c r="T37" i="1"/>
  <c r="U34" i="1"/>
  <c r="V34" i="1"/>
  <c r="T34" i="1"/>
  <c r="V41" i="1"/>
  <c r="U41" i="1"/>
  <c r="T41" i="1"/>
  <c r="U42" i="1"/>
  <c r="T42" i="1"/>
  <c r="V42" i="1"/>
  <c r="U43" i="1"/>
  <c r="T43" i="1"/>
  <c r="V43" i="1"/>
  <c r="V4" i="1"/>
  <c r="T4" i="1"/>
  <c r="U4" i="1"/>
  <c r="T6" i="1"/>
  <c r="U6" i="1"/>
  <c r="V6" i="1"/>
  <c r="T7" i="1"/>
  <c r="U7" i="1"/>
  <c r="V7" i="1"/>
  <c r="T8" i="1"/>
  <c r="U8" i="1"/>
  <c r="V8" i="1"/>
  <c r="T9" i="1"/>
  <c r="U9" i="1"/>
  <c r="V9" i="1"/>
  <c r="L46" i="1"/>
  <c r="AH3" i="1" a="1"/>
  <c r="AH3" i="1" s="1"/>
  <c r="AH45" i="1" l="1" a="1"/>
  <c r="AH45" i="1" s="1"/>
  <c r="AH46" i="1" s="1" a="1"/>
  <c r="AH46" i="1" s="1"/>
  <c r="AH47" i="1" l="1" a="1"/>
  <c r="AH47" i="1" s="1"/>
  <c r="AH48" i="1" s="1" a="1"/>
  <c r="AH48" i="1" s="1"/>
  <c r="AH49" i="1" s="1" a="1"/>
  <c r="AH49" i="1" s="1"/>
  <c r="AH50" i="1" s="1" a="1"/>
  <c r="AH50" i="1" s="1"/>
  <c r="AH51" i="1" s="1" a="1"/>
  <c r="AH51" i="1" s="1"/>
  <c r="AH52" i="1" s="1" a="1"/>
  <c r="AH52" i="1" s="1"/>
  <c r="AH53" i="1" s="1" a="1"/>
  <c r="AH53" i="1" s="1"/>
  <c r="AH54" i="1" s="1" a="1"/>
  <c r="AH54" i="1" s="1"/>
  <c r="AH55" i="1" s="1" a="1"/>
  <c r="AH55" i="1" s="1"/>
  <c r="AH56" i="1" s="1" a="1"/>
  <c r="AH56" i="1" s="1"/>
  <c r="AH57" i="1" s="1" a="1"/>
  <c r="AH57" i="1" s="1"/>
  <c r="AH58" i="1" s="1" a="1"/>
  <c r="AH58" i="1" s="1"/>
  <c r="AH59" i="1" s="1" a="1"/>
  <c r="AH59" i="1" s="1"/>
  <c r="AH60" i="1" s="1" a="1"/>
  <c r="AH60" i="1" s="1"/>
  <c r="AH61" i="1" s="1" a="1"/>
  <c r="AH61" i="1" s="1"/>
  <c r="AH62" i="1" s="1" a="1"/>
  <c r="AH62" i="1" s="1"/>
  <c r="AH63" i="1" s="1" a="1"/>
  <c r="AH63" i="1" s="1"/>
  <c r="AH64" i="1" s="1" a="1"/>
  <c r="AH64" i="1" s="1"/>
  <c r="AH65" i="1" s="1" a="1"/>
  <c r="AH65" i="1" s="1"/>
  <c r="AH66" i="1" s="1" a="1"/>
  <c r="AH66" i="1" s="1"/>
  <c r="AH67" i="1" s="1" a="1"/>
  <c r="AH67" i="1" s="1"/>
  <c r="AH68" i="1" s="1" a="1"/>
  <c r="AH68" i="1" s="1"/>
  <c r="AH69" i="1" s="1" a="1"/>
  <c r="AH69" i="1" s="1"/>
  <c r="AH70" i="1" s="1" a="1"/>
  <c r="AH70" i="1" s="1"/>
  <c r="AH71" i="1" s="1" a="1"/>
  <c r="AH71" i="1" s="1"/>
  <c r="AH72" i="1" s="1" a="1"/>
  <c r="AH72" i="1" s="1"/>
  <c r="AH73" i="1" s="1" a="1"/>
  <c r="AH73" i="1" s="1"/>
  <c r="AH74" i="1" s="1" a="1"/>
  <c r="AH74" i="1" s="1"/>
  <c r="AH75" i="1" s="1" a="1"/>
  <c r="AH75" i="1" s="1"/>
  <c r="AH76" i="1" s="1" a="1"/>
  <c r="AH76" i="1" s="1"/>
  <c r="AH77" i="1" s="1" a="1"/>
  <c r="AH77" i="1" s="1"/>
  <c r="AH78" i="1" s="1" a="1"/>
  <c r="AH78" i="1" s="1"/>
  <c r="AH79" i="1" s="1" a="1"/>
  <c r="AH79" i="1" s="1"/>
  <c r="P3" i="1"/>
  <c r="R3" i="1" l="1"/>
  <c r="S3" i="1"/>
  <c r="K49" i="1"/>
  <c r="K48" i="1"/>
  <c r="U3" i="1" l="1"/>
  <c r="K2" i="2" l="1" a="1"/>
  <c r="K2" i="2" s="1"/>
  <c r="K3" i="3" a="1"/>
  <c r="K3" i="3" s="1"/>
  <c r="T3" i="1"/>
  <c r="V3" i="1"/>
  <c r="Q3" i="1"/>
  <c r="Y3" i="2" s="1" a="1"/>
  <c r="Y3" i="2" s="1"/>
  <c r="O3" i="1"/>
  <c r="Z2" i="1" l="1"/>
  <c r="AA2" i="1"/>
  <c r="A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<sst xmlns="http://schemas.openxmlformats.org/spreadsheetml/2006/main" count="231" uniqueCount="125">
  <si>
    <t>Directeur</t>
  </si>
  <si>
    <t>Entreprise</t>
  </si>
  <si>
    <t>Nom/prénom</t>
  </si>
  <si>
    <t>Sexe</t>
  </si>
  <si>
    <t>Age</t>
  </si>
  <si>
    <t>Anc.</t>
  </si>
  <si>
    <t>Position</t>
  </si>
  <si>
    <t>Intéressement</t>
  </si>
  <si>
    <t>Participation</t>
  </si>
  <si>
    <t>H</t>
  </si>
  <si>
    <t>Primes exc</t>
  </si>
  <si>
    <t>Points Index</t>
  </si>
  <si>
    <t>Rémunération par âge</t>
  </si>
  <si>
    <t>Ancienneté</t>
  </si>
  <si>
    <t>Rémunération par ancienneté</t>
  </si>
  <si>
    <t>Concat. Ancienneté</t>
  </si>
  <si>
    <t>Concat. Age</t>
  </si>
  <si>
    <t>Rémunération par directeur</t>
  </si>
  <si>
    <t>Concat. Directeur</t>
  </si>
  <si>
    <t>F</t>
  </si>
  <si>
    <t>Homme</t>
  </si>
  <si>
    <t>Femme</t>
  </si>
  <si>
    <t>Entité</t>
  </si>
  <si>
    <t>Sexe2</t>
  </si>
  <si>
    <t>ChoixDir</t>
  </si>
  <si>
    <t>Mixte</t>
  </si>
  <si>
    <t>0</t>
  </si>
  <si>
    <t>Brut mensuel 2025</t>
  </si>
  <si>
    <t>Rémuneration Brute 2025</t>
  </si>
  <si>
    <t>C1</t>
  </si>
  <si>
    <t>H15</t>
  </si>
  <si>
    <t>Grenoble</t>
  </si>
  <si>
    <t>Test1</t>
  </si>
  <si>
    <t>a</t>
  </si>
  <si>
    <t>Test2</t>
  </si>
  <si>
    <t>b</t>
  </si>
  <si>
    <t>Test3</t>
  </si>
  <si>
    <t>c</t>
  </si>
  <si>
    <t>Test4</t>
  </si>
  <si>
    <t>d</t>
  </si>
  <si>
    <t>Test5</t>
  </si>
  <si>
    <t>e</t>
  </si>
  <si>
    <t>Test6</t>
  </si>
  <si>
    <t>f</t>
  </si>
  <si>
    <t>Lyon</t>
  </si>
  <si>
    <t>Test7</t>
  </si>
  <si>
    <t>g</t>
  </si>
  <si>
    <t>H 15</t>
  </si>
  <si>
    <t>Test8</t>
  </si>
  <si>
    <t>h</t>
  </si>
  <si>
    <t>Test9</t>
  </si>
  <si>
    <t>i</t>
  </si>
  <si>
    <t>Test10</t>
  </si>
  <si>
    <t>j</t>
  </si>
  <si>
    <t>Test11</t>
  </si>
  <si>
    <t>k</t>
  </si>
  <si>
    <t>Test12</t>
  </si>
  <si>
    <t>l</t>
  </si>
  <si>
    <t xml:space="preserve">H </t>
  </si>
  <si>
    <t>Marseille</t>
  </si>
  <si>
    <t>Test13</t>
  </si>
  <si>
    <t>m</t>
  </si>
  <si>
    <t>Test14</t>
  </si>
  <si>
    <t>n</t>
  </si>
  <si>
    <t>C2</t>
  </si>
  <si>
    <t>Test15</t>
  </si>
  <si>
    <t>o</t>
  </si>
  <si>
    <t>Test16</t>
  </si>
  <si>
    <t>p</t>
  </si>
  <si>
    <t>Test17</t>
  </si>
  <si>
    <t>q</t>
  </si>
  <si>
    <t>Test18</t>
  </si>
  <si>
    <t>r</t>
  </si>
  <si>
    <t>Paris</t>
  </si>
  <si>
    <t>Test19</t>
  </si>
  <si>
    <t>s</t>
  </si>
  <si>
    <t>Test20</t>
  </si>
  <si>
    <t>t</t>
  </si>
  <si>
    <t>Test21</t>
  </si>
  <si>
    <t>u</t>
  </si>
  <si>
    <t>Test22</t>
  </si>
  <si>
    <t>v</t>
  </si>
  <si>
    <t>Test23</t>
  </si>
  <si>
    <t>w</t>
  </si>
  <si>
    <t>Test24</t>
  </si>
  <si>
    <t>x</t>
  </si>
  <si>
    <t>Test25</t>
  </si>
  <si>
    <t>y</t>
  </si>
  <si>
    <t>Strasbourg</t>
  </si>
  <si>
    <t>Test26</t>
  </si>
  <si>
    <t>z</t>
  </si>
  <si>
    <t>Test27</t>
  </si>
  <si>
    <t>aa</t>
  </si>
  <si>
    <t>Test28</t>
  </si>
  <si>
    <t>bb</t>
  </si>
  <si>
    <t>Test29</t>
  </si>
  <si>
    <t>cc</t>
  </si>
  <si>
    <t>Test30</t>
  </si>
  <si>
    <t>dd</t>
  </si>
  <si>
    <t>Test31</t>
  </si>
  <si>
    <t>ee</t>
  </si>
  <si>
    <t>Nice</t>
  </si>
  <si>
    <t>Test32</t>
  </si>
  <si>
    <t>ff</t>
  </si>
  <si>
    <t>Test33</t>
  </si>
  <si>
    <t>gg</t>
  </si>
  <si>
    <t>C19</t>
  </si>
  <si>
    <t>Test34</t>
  </si>
  <si>
    <t>hh</t>
  </si>
  <si>
    <t>Toulouse</t>
  </si>
  <si>
    <t>Test35</t>
  </si>
  <si>
    <t>ii</t>
  </si>
  <si>
    <t>Test36</t>
  </si>
  <si>
    <t>jj</t>
  </si>
  <si>
    <t>Test37</t>
  </si>
  <si>
    <t>kk</t>
  </si>
  <si>
    <t>H 16</t>
  </si>
  <si>
    <t>Test38</t>
  </si>
  <si>
    <t>ll</t>
  </si>
  <si>
    <t>Test39</t>
  </si>
  <si>
    <t>mm</t>
  </si>
  <si>
    <t>Test40</t>
  </si>
  <si>
    <t>nn</t>
  </si>
  <si>
    <t>Test41</t>
  </si>
  <si>
    <t>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</si>
</sst>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&quot;€&quot;\ #,##0"/>
  </numFmts>
  <fonts count="11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rgb="FFFFFFFF"/>
        <bgColor rgb="FFFFFFFF"/>
      </patternFill>
    </fill>
    <fill>
      <patternFill patternType="lightGray">
        <fgColor indexed="9"/>
      </patternFill>
    </fill>
    <fill>
      <patternFill patternType="solid">
        <fgColor theme="4" tint="0.79998168889431442"/>
        <bgColor indexed="9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theme="8" tint="0.79998168889431442"/>
        <bgColor rgb="FFFFFFFF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indexed="9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9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indexed="9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2" tint="-9.9978637043366805E-2"/>
        <bgColor rgb="FFFFFFFF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9"/>
      </patternFill>
    </fill>
    <fill>
      <patternFill patternType="solid">
        <fgColor rgb="FFFFCCFF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09">
    <xf numFmtId="0" fontId="0" fillId="0" borderId="0" xfId="0"/>
    <xf numFmtId="0" fontId="1" fillId="2" borderId="0" xfId="0" applyFont="1" applyFill="1" applyAlignment="1">
      <alignment horizontal="left" vertical="center"/>
    </xf>
    <xf numFmtId="0" fontId="1" fillId="6" borderId="2" xfId="0" applyFont="1" applyFill="1" applyBorder="1" applyAlignment="1">
      <alignment horizontal="center" vertical="center"/>
    </xf>
    <xf numFmtId="0" fontId="0" fillId="7" borderId="0" xfId="0" applyFill="1"/>
    <xf numFmtId="0" fontId="1" fillId="6" borderId="3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7" borderId="1" xfId="0" applyFill="1" applyBorder="1"/>
    <xf numFmtId="0" fontId="0" fillId="7" borderId="4" xfId="0" applyFill="1" applyBorder="1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0" fillId="0" borderId="0" xfId="0" quotePrefix="1"/>
    <xf numFmtId="0" fontId="0" fillId="8" borderId="0" xfId="0" applyFill="1"/>
    <xf numFmtId="164" fontId="8" fillId="8" borderId="0" xfId="2" applyFont="1" applyFill="1"/>
    <xf numFmtId="9" fontId="8" fillId="8" borderId="0" xfId="3" applyFont="1" applyFill="1"/>
    <xf numFmtId="49" fontId="3" fillId="3" borderId="0" xfId="1" applyNumberFormat="1" applyFont="1" applyFill="1" applyAlignment="1">
      <alignment horizontal="left" vertical="center"/>
    </xf>
    <xf numFmtId="49" fontId="4" fillId="0" borderId="0" xfId="1" applyNumberFormat="1" applyFont="1" applyAlignment="1">
      <alignment horizontal="left" vertical="center"/>
    </xf>
    <xf numFmtId="49" fontId="3" fillId="3" borderId="0" xfId="1" applyNumberFormat="1" applyFont="1" applyFill="1" applyAlignment="1">
      <alignment horizontal="center" vertical="center"/>
    </xf>
    <xf numFmtId="1" fontId="3" fillId="3" borderId="0" xfId="1" applyNumberFormat="1" applyFont="1" applyFill="1" applyAlignment="1">
      <alignment horizontal="center" vertical="center"/>
    </xf>
    <xf numFmtId="3" fontId="2" fillId="3" borderId="0" xfId="1" applyNumberFormat="1" applyFill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4" fontId="5" fillId="4" borderId="0" xfId="0" applyNumberFormat="1" applyFont="1" applyFill="1" applyAlignment="1">
      <alignment horizontal="center" vertical="center"/>
    </xf>
    <xf numFmtId="4" fontId="6" fillId="5" borderId="0" xfId="0" applyNumberFormat="1" applyFont="1" applyFill="1" applyAlignment="1">
      <alignment horizontal="center" vertical="center"/>
    </xf>
    <xf numFmtId="4" fontId="6" fillId="9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0" fontId="0" fillId="8" borderId="4" xfId="0" applyFill="1" applyBorder="1"/>
    <xf numFmtId="4" fontId="0" fillId="0" borderId="0" xfId="0" applyNumberFormat="1"/>
    <xf numFmtId="4" fontId="0" fillId="0" borderId="0" xfId="0" quotePrefix="1" applyNumberFormat="1"/>
    <xf numFmtId="0" fontId="0" fillId="7" borderId="10" xfId="0" applyFill="1" applyBorder="1"/>
    <xf numFmtId="49" fontId="3" fillId="10" borderId="8" xfId="1" applyNumberFormat="1" applyFont="1" applyFill="1" applyBorder="1" applyAlignment="1">
      <alignment horizontal="left" vertical="center"/>
    </xf>
    <xf numFmtId="49" fontId="3" fillId="10" borderId="8" xfId="0" applyNumberFormat="1" applyFont="1" applyFill="1" applyBorder="1" applyAlignment="1">
      <alignment horizontal="left" vertical="center"/>
    </xf>
    <xf numFmtId="49" fontId="3" fillId="11" borderId="8" xfId="1" applyNumberFormat="1" applyFont="1" applyFill="1" applyBorder="1" applyAlignment="1">
      <alignment horizontal="left" vertical="center"/>
    </xf>
    <xf numFmtId="49" fontId="3" fillId="10" borderId="8" xfId="1" applyNumberFormat="1" applyFont="1" applyFill="1" applyBorder="1" applyAlignment="1">
      <alignment horizontal="center" vertical="center"/>
    </xf>
    <xf numFmtId="1" fontId="3" fillId="10" borderId="8" xfId="1" applyNumberFormat="1" applyFont="1" applyFill="1" applyBorder="1" applyAlignment="1">
      <alignment horizontal="center" vertical="center"/>
    </xf>
    <xf numFmtId="3" fontId="2" fillId="10" borderId="8" xfId="1" applyNumberFormat="1" applyFill="1" applyBorder="1" applyAlignment="1">
      <alignment horizontal="center" vertical="center"/>
    </xf>
    <xf numFmtId="4" fontId="5" fillId="11" borderId="9" xfId="0" applyNumberFormat="1" applyFont="1" applyFill="1" applyBorder="1" applyAlignment="1">
      <alignment horizontal="center" vertical="center"/>
    </xf>
    <xf numFmtId="4" fontId="6" fillId="12" borderId="9" xfId="0" applyNumberFormat="1" applyFont="1" applyFill="1" applyBorder="1" applyAlignment="1">
      <alignment horizontal="center" vertical="center"/>
    </xf>
    <xf numFmtId="49" fontId="3" fillId="13" borderId="8" xfId="1" applyNumberFormat="1" applyFont="1" applyFill="1" applyBorder="1" applyAlignment="1">
      <alignment horizontal="left" vertical="center"/>
    </xf>
    <xf numFmtId="49" fontId="4" fillId="14" borderId="8" xfId="1" applyNumberFormat="1" applyFont="1" applyFill="1" applyBorder="1" applyAlignment="1">
      <alignment horizontal="left" vertical="center"/>
    </xf>
    <xf numFmtId="49" fontId="3" fillId="13" borderId="8" xfId="1" applyNumberFormat="1" applyFont="1" applyFill="1" applyBorder="1" applyAlignment="1">
      <alignment horizontal="center" vertical="center"/>
    </xf>
    <xf numFmtId="1" fontId="3" fillId="13" borderId="8" xfId="1" applyNumberFormat="1" applyFont="1" applyFill="1" applyBorder="1" applyAlignment="1">
      <alignment horizontal="center" vertical="center"/>
    </xf>
    <xf numFmtId="3" fontId="2" fillId="13" borderId="8" xfId="1" applyNumberFormat="1" applyFill="1" applyBorder="1" applyAlignment="1">
      <alignment horizontal="center" vertical="center"/>
    </xf>
    <xf numFmtId="4" fontId="5" fillId="14" borderId="9" xfId="0" applyNumberFormat="1" applyFont="1" applyFill="1" applyBorder="1" applyAlignment="1">
      <alignment horizontal="center" vertical="center"/>
    </xf>
    <xf numFmtId="4" fontId="6" fillId="15" borderId="9" xfId="0" applyNumberFormat="1" applyFont="1" applyFill="1" applyBorder="1" applyAlignment="1">
      <alignment horizontal="center" vertical="center"/>
    </xf>
    <xf numFmtId="49" fontId="3" fillId="16" borderId="8" xfId="1" applyNumberFormat="1" applyFont="1" applyFill="1" applyBorder="1" applyAlignment="1">
      <alignment horizontal="left" vertical="center"/>
    </xf>
    <xf numFmtId="49" fontId="3" fillId="17" borderId="8" xfId="1" applyNumberFormat="1" applyFont="1" applyFill="1" applyBorder="1" applyAlignment="1">
      <alignment horizontal="left" vertical="center"/>
    </xf>
    <xf numFmtId="49" fontId="3" fillId="16" borderId="8" xfId="1" applyNumberFormat="1" applyFont="1" applyFill="1" applyBorder="1" applyAlignment="1">
      <alignment horizontal="center" vertical="center"/>
    </xf>
    <xf numFmtId="1" fontId="3" fillId="16" borderId="8" xfId="1" applyNumberFormat="1" applyFont="1" applyFill="1" applyBorder="1" applyAlignment="1">
      <alignment horizontal="center" vertical="center"/>
    </xf>
    <xf numFmtId="3" fontId="2" fillId="16" borderId="8" xfId="1" applyNumberFormat="1" applyFill="1" applyBorder="1" applyAlignment="1">
      <alignment horizontal="center" vertical="center"/>
    </xf>
    <xf numFmtId="4" fontId="5" fillId="17" borderId="9" xfId="0" applyNumberFormat="1" applyFont="1" applyFill="1" applyBorder="1" applyAlignment="1">
      <alignment horizontal="center" vertical="center"/>
    </xf>
    <xf numFmtId="4" fontId="6" fillId="18" borderId="9" xfId="0" applyNumberFormat="1" applyFont="1" applyFill="1" applyBorder="1" applyAlignment="1">
      <alignment horizontal="center" vertical="center"/>
    </xf>
    <xf numFmtId="49" fontId="4" fillId="17" borderId="8" xfId="1" applyNumberFormat="1" applyFont="1" applyFill="1" applyBorder="1" applyAlignment="1">
      <alignment horizontal="left" vertical="center"/>
    </xf>
    <xf numFmtId="49" fontId="4" fillId="17" borderId="8" xfId="1" applyNumberFormat="1" applyFont="1" applyFill="1" applyBorder="1" applyAlignment="1">
      <alignment horizontal="center" vertical="center"/>
    </xf>
    <xf numFmtId="3" fontId="6" fillId="17" borderId="8" xfId="1" applyNumberFormat="1" applyFont="1" applyFill="1" applyBorder="1" applyAlignment="1">
      <alignment horizontal="center" vertical="center"/>
    </xf>
    <xf numFmtId="4" fontId="6" fillId="17" borderId="9" xfId="0" applyNumberFormat="1" applyFont="1" applyFill="1" applyBorder="1" applyAlignment="1">
      <alignment horizontal="center" vertical="center"/>
    </xf>
    <xf numFmtId="49" fontId="3" fillId="19" borderId="8" xfId="1" applyNumberFormat="1" applyFont="1" applyFill="1" applyBorder="1" applyAlignment="1">
      <alignment horizontal="left" vertical="center"/>
    </xf>
    <xf numFmtId="49" fontId="4" fillId="20" borderId="8" xfId="1" applyNumberFormat="1" applyFont="1" applyFill="1" applyBorder="1" applyAlignment="1">
      <alignment horizontal="left" vertical="center"/>
    </xf>
    <xf numFmtId="49" fontId="3" fillId="19" borderId="8" xfId="1" applyNumberFormat="1" applyFont="1" applyFill="1" applyBorder="1" applyAlignment="1">
      <alignment horizontal="center" vertical="center"/>
    </xf>
    <xf numFmtId="1" fontId="3" fillId="19" borderId="8" xfId="1" applyNumberFormat="1" applyFont="1" applyFill="1" applyBorder="1" applyAlignment="1">
      <alignment horizontal="center" vertical="center"/>
    </xf>
    <xf numFmtId="3" fontId="2" fillId="19" borderId="8" xfId="1" applyNumberFormat="1" applyFill="1" applyBorder="1" applyAlignment="1">
      <alignment horizontal="center" vertical="center"/>
    </xf>
    <xf numFmtId="4" fontId="5" fillId="20" borderId="9" xfId="0" applyNumberFormat="1" applyFont="1" applyFill="1" applyBorder="1" applyAlignment="1">
      <alignment horizontal="center" vertical="center"/>
    </xf>
    <xf numFmtId="4" fontId="6" fillId="21" borderId="9" xfId="0" applyNumberFormat="1" applyFont="1" applyFill="1" applyBorder="1" applyAlignment="1">
      <alignment horizontal="center" vertical="center"/>
    </xf>
    <xf numFmtId="49" fontId="3" fillId="20" borderId="8" xfId="0" applyNumberFormat="1" applyFont="1" applyFill="1" applyBorder="1" applyAlignment="1">
      <alignment horizontal="left" vertical="center"/>
    </xf>
    <xf numFmtId="49" fontId="9" fillId="20" borderId="8" xfId="1" applyNumberFormat="1" applyFont="1" applyFill="1" applyBorder="1" applyAlignment="1">
      <alignment horizontal="left" vertical="center"/>
    </xf>
    <xf numFmtId="49" fontId="9" fillId="19" borderId="8" xfId="1" applyNumberFormat="1" applyFont="1" applyFill="1" applyBorder="1" applyAlignment="1">
      <alignment horizontal="center" vertical="center"/>
    </xf>
    <xf numFmtId="1" fontId="9" fillId="19" borderId="8" xfId="1" applyNumberFormat="1" applyFont="1" applyFill="1" applyBorder="1" applyAlignment="1">
      <alignment horizontal="center" vertical="center"/>
    </xf>
    <xf numFmtId="4" fontId="5" fillId="21" borderId="9" xfId="0" applyNumberFormat="1" applyFont="1" applyFill="1" applyBorder="1" applyAlignment="1">
      <alignment horizontal="center" vertical="center"/>
    </xf>
    <xf numFmtId="49" fontId="4" fillId="19" borderId="8" xfId="1" applyNumberFormat="1" applyFont="1" applyFill="1" applyBorder="1" applyAlignment="1">
      <alignment horizontal="center" vertical="center"/>
    </xf>
    <xf numFmtId="3" fontId="6" fillId="19" borderId="8" xfId="1" applyNumberFormat="1" applyFont="1" applyFill="1" applyBorder="1" applyAlignment="1">
      <alignment horizontal="center" vertical="center"/>
    </xf>
    <xf numFmtId="4" fontId="6" fillId="20" borderId="9" xfId="0" applyNumberFormat="1" applyFont="1" applyFill="1" applyBorder="1" applyAlignment="1">
      <alignment horizontal="center" vertical="center"/>
    </xf>
    <xf numFmtId="49" fontId="3" fillId="20" borderId="8" xfId="1" applyNumberFormat="1" applyFont="1" applyFill="1" applyBorder="1" applyAlignment="1">
      <alignment horizontal="left" vertical="center"/>
    </xf>
    <xf numFmtId="49" fontId="3" fillId="22" borderId="8" xfId="1" applyNumberFormat="1" applyFont="1" applyFill="1" applyBorder="1" applyAlignment="1">
      <alignment horizontal="left" vertical="center"/>
    </xf>
    <xf numFmtId="49" fontId="3" fillId="22" borderId="8" xfId="1" applyNumberFormat="1" applyFont="1" applyFill="1" applyBorder="1" applyAlignment="1">
      <alignment horizontal="center" vertical="center"/>
    </xf>
    <xf numFmtId="1" fontId="3" fillId="22" borderId="8" xfId="1" applyNumberFormat="1" applyFont="1" applyFill="1" applyBorder="1" applyAlignment="1">
      <alignment horizontal="center" vertical="center"/>
    </xf>
    <xf numFmtId="3" fontId="2" fillId="22" borderId="8" xfId="1" applyNumberFormat="1" applyFill="1" applyBorder="1" applyAlignment="1">
      <alignment horizontal="center" vertical="center"/>
    </xf>
    <xf numFmtId="4" fontId="5" fillId="23" borderId="9" xfId="0" applyNumberFormat="1" applyFont="1" applyFill="1" applyBorder="1" applyAlignment="1">
      <alignment horizontal="center" vertical="center"/>
    </xf>
    <xf numFmtId="4" fontId="6" fillId="24" borderId="9" xfId="0" applyNumberFormat="1" applyFont="1" applyFill="1" applyBorder="1" applyAlignment="1">
      <alignment horizontal="center" vertical="center"/>
    </xf>
    <xf numFmtId="49" fontId="3" fillId="23" borderId="8" xfId="1" applyNumberFormat="1" applyFont="1" applyFill="1" applyBorder="1" applyAlignment="1">
      <alignment horizontal="left" vertical="center"/>
    </xf>
    <xf numFmtId="49" fontId="3" fillId="25" borderId="8" xfId="1" applyNumberFormat="1" applyFont="1" applyFill="1" applyBorder="1" applyAlignment="1">
      <alignment horizontal="left" vertical="center"/>
    </xf>
    <xf numFmtId="49" fontId="3" fillId="26" borderId="8" xfId="1" applyNumberFormat="1" applyFont="1" applyFill="1" applyBorder="1" applyAlignment="1">
      <alignment horizontal="left" vertical="center"/>
    </xf>
    <xf numFmtId="49" fontId="3" fillId="25" borderId="8" xfId="1" applyNumberFormat="1" applyFont="1" applyFill="1" applyBorder="1" applyAlignment="1">
      <alignment horizontal="center" vertical="center"/>
    </xf>
    <xf numFmtId="1" fontId="3" fillId="25" borderId="8" xfId="1" applyNumberFormat="1" applyFont="1" applyFill="1" applyBorder="1" applyAlignment="1">
      <alignment horizontal="center" vertical="center"/>
    </xf>
    <xf numFmtId="3" fontId="2" fillId="25" borderId="8" xfId="1" applyNumberFormat="1" applyFill="1" applyBorder="1" applyAlignment="1">
      <alignment horizontal="center" vertical="center"/>
    </xf>
    <xf numFmtId="4" fontId="5" fillId="26" borderId="9" xfId="0" applyNumberFormat="1" applyFont="1" applyFill="1" applyBorder="1" applyAlignment="1">
      <alignment horizontal="center" vertical="center"/>
    </xf>
    <xf numFmtId="4" fontId="6" fillId="27" borderId="9" xfId="0" applyNumberFormat="1" applyFont="1" applyFill="1" applyBorder="1" applyAlignment="1">
      <alignment horizontal="center" vertical="center"/>
    </xf>
    <xf numFmtId="49" fontId="9" fillId="28" borderId="8" xfId="1" applyNumberFormat="1" applyFont="1" applyFill="1" applyBorder="1" applyAlignment="1">
      <alignment horizontal="left" vertical="center"/>
    </xf>
    <xf numFmtId="49" fontId="3" fillId="28" borderId="8" xfId="1" applyNumberFormat="1" applyFont="1" applyFill="1" applyBorder="1" applyAlignment="1">
      <alignment horizontal="left" vertical="center"/>
    </xf>
    <xf numFmtId="49" fontId="3" fillId="28" borderId="8" xfId="1" applyNumberFormat="1" applyFont="1" applyFill="1" applyBorder="1" applyAlignment="1">
      <alignment horizontal="center" vertical="center"/>
    </xf>
    <xf numFmtId="1" fontId="3" fillId="28" borderId="8" xfId="1" applyNumberFormat="1" applyFont="1" applyFill="1" applyBorder="1" applyAlignment="1">
      <alignment horizontal="center" vertical="center"/>
    </xf>
    <xf numFmtId="3" fontId="2" fillId="28" borderId="8" xfId="1" applyNumberFormat="1" applyFill="1" applyBorder="1" applyAlignment="1">
      <alignment horizontal="center" vertical="center"/>
    </xf>
    <xf numFmtId="4" fontId="5" fillId="28" borderId="9" xfId="0" applyNumberFormat="1" applyFont="1" applyFill="1" applyBorder="1" applyAlignment="1">
      <alignment horizontal="center" vertical="center"/>
    </xf>
    <xf numFmtId="49" fontId="4" fillId="28" borderId="8" xfId="1" applyNumberFormat="1" applyFont="1" applyFill="1" applyBorder="1" applyAlignment="1">
      <alignment horizontal="left" vertical="center"/>
    </xf>
    <xf numFmtId="4" fontId="6" fillId="28" borderId="9" xfId="0" applyNumberFormat="1" applyFont="1" applyFill="1" applyBorder="1" applyAlignment="1">
      <alignment horizontal="center" vertical="center"/>
    </xf>
    <xf numFmtId="2" fontId="3" fillId="10" borderId="8" xfId="1" applyNumberFormat="1" applyFont="1" applyFill="1" applyBorder="1" applyAlignment="1">
      <alignment horizontal="center" vertical="center"/>
    </xf>
    <xf numFmtId="2" fontId="3" fillId="13" borderId="8" xfId="1" applyNumberFormat="1" applyFont="1" applyFill="1" applyBorder="1" applyAlignment="1">
      <alignment horizontal="center" vertical="center"/>
    </xf>
    <xf numFmtId="2" fontId="3" fillId="16" borderId="8" xfId="1" applyNumberFormat="1" applyFont="1" applyFill="1" applyBorder="1" applyAlignment="1">
      <alignment horizontal="center" vertical="center"/>
    </xf>
    <xf numFmtId="2" fontId="4" fillId="17" borderId="8" xfId="1" applyNumberFormat="1" applyFont="1" applyFill="1" applyBorder="1" applyAlignment="1">
      <alignment horizontal="center" vertical="center"/>
    </xf>
    <xf numFmtId="2" fontId="3" fillId="19" borderId="8" xfId="1" applyNumberFormat="1" applyFont="1" applyFill="1" applyBorder="1" applyAlignment="1">
      <alignment horizontal="center" vertical="center"/>
    </xf>
    <xf numFmtId="2" fontId="9" fillId="19" borderId="8" xfId="1" applyNumberFormat="1" applyFont="1" applyFill="1" applyBorder="1" applyAlignment="1">
      <alignment horizontal="center" vertical="center"/>
    </xf>
    <xf numFmtId="2" fontId="4" fillId="19" borderId="8" xfId="1" applyNumberFormat="1" applyFont="1" applyFill="1" applyBorder="1" applyAlignment="1">
      <alignment horizontal="center" vertical="center"/>
    </xf>
    <xf numFmtId="2" fontId="3" fillId="22" borderId="8" xfId="1" applyNumberFormat="1" applyFont="1" applyFill="1" applyBorder="1" applyAlignment="1">
      <alignment horizontal="center" vertical="center"/>
    </xf>
    <xf numFmtId="2" fontId="3" fillId="25" borderId="8" xfId="1" applyNumberFormat="1" applyFont="1" applyFill="1" applyBorder="1" applyAlignment="1">
      <alignment horizontal="center" vertical="center"/>
    </xf>
    <xf numFmtId="2" fontId="3" fillId="28" borderId="8" xfId="1" applyNumberFormat="1" applyFont="1" applyFill="1" applyBorder="1" applyAlignment="1">
      <alignment horizontal="center" vertical="center"/>
    </xf>
    <xf numFmtId="9" fontId="10" fillId="29" borderId="0" xfId="3" applyFont="1" applyFill="1"/>
    <xf numFmtId="165" fontId="10" fillId="29" borderId="0" xfId="3" applyNumberFormat="1" applyFont="1" applyFill="1"/>
    <xf numFmtId="49" fontId="0" fillId="8" borderId="1" xfId="0" applyNumberFormat="1" applyFill="1" applyBorder="1"/>
    <xf numFmtId="49" fontId="0" fillId="7" borderId="1" xfId="0" applyNumberFormat="1" applyFill="1" applyBorder="1"/>
  </cellXfs>
  <cellStyles count="4">
    <cellStyle name="Normal 7" xfId="1" xr:uid="{80DC8763-A89F-4AE8-807E-D2DCBA48554A}"/>
    <cellStyle name="Procent" xfId="3" builtinId="5"/>
    <cellStyle name="Standaard" xfId="0" builtinId="0"/>
    <cellStyle name="Valuta" xfId="2" builtinId="4"/>
  </cellStyles>
  <dxfs count="27">
    <dxf>
      <numFmt numFmtId="30" formatCode="@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solid">
          <fgColor indexed="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lightGray">
          <fgColor indexed="9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lightGray">
          <fgColor indexed="9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numFmt numFmtId="3" formatCode="#,##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2" formatCode="0.00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family val="2"/>
        <scheme val="none"/>
      </font>
      <fill>
        <patternFill patternType="solid">
          <fgColor indexed="9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'base de travail'!$AD$1</c:f>
          <c:strCache>
            <c:ptCount val="1"/>
            <c:pt idx="0">
              <c:v>Rémunération par âge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8685431022806996E-2"/>
          <c:y val="5.8792927347088103E-2"/>
          <c:w val="0.83488282411964021"/>
          <c:h val="0.83984856447949563"/>
        </c:manualLayout>
      </c:layout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[0]!Age</c:f>
              <c:numCache>
                <c:formatCode>0.00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[0]!ChoixHomme</c:f>
              <c:numCache>
                <c:formatCode>General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#N/A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#N/A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#N/A</c:v>
                </c:pt>
                <c:pt idx="38">
                  <c:v>87822</c:v>
                </c:pt>
                <c:pt idx="39">
                  <c:v>#N/A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02A-457E-B337-8A4229FB8B79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[0]!Age</c:f>
              <c:numCache>
                <c:formatCode>0.00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[0]!ChoixFemme</c:f>
              <c:numCache>
                <c:formatCode>General</c:formatCode>
                <c:ptCount val="4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68880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73800</c:v>
                </c:pt>
                <c:pt idx="38">
                  <c:v>#N/A</c:v>
                </c:pt>
                <c:pt idx="39">
                  <c:v>78390</c:v>
                </c:pt>
                <c:pt idx="4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B0E-4FEB-B71A-5322E1C4A27F}"/>
            </c:ext>
          </c:extLst>
        </c:ser>
        <c:ser>
          <c:idx val="2"/>
          <c:order val="2"/>
          <c:tx>
            <c:v>Mixte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[0]!Age</c:f>
              <c:numCache>
                <c:formatCode>0.00</c:formatCode>
                <c:ptCount val="41"/>
                <c:pt idx="0">
                  <c:v>61</c:v>
                </c:pt>
                <c:pt idx="1">
                  <c:v>42</c:v>
                </c:pt>
                <c:pt idx="2">
                  <c:v>52</c:v>
                </c:pt>
                <c:pt idx="3">
                  <c:v>41</c:v>
                </c:pt>
                <c:pt idx="4">
                  <c:v>43</c:v>
                </c:pt>
                <c:pt idx="5">
                  <c:v>49</c:v>
                </c:pt>
                <c:pt idx="6">
                  <c:v>54</c:v>
                </c:pt>
                <c:pt idx="7">
                  <c:v>49</c:v>
                </c:pt>
                <c:pt idx="8">
                  <c:v>57</c:v>
                </c:pt>
                <c:pt idx="9">
                  <c:v>61</c:v>
                </c:pt>
                <c:pt idx="10">
                  <c:v>47</c:v>
                </c:pt>
                <c:pt idx="11">
                  <c:v>46</c:v>
                </c:pt>
                <c:pt idx="12">
                  <c:v>60</c:v>
                </c:pt>
                <c:pt idx="13">
                  <c:v>55</c:v>
                </c:pt>
                <c:pt idx="14">
                  <c:v>52</c:v>
                </c:pt>
                <c:pt idx="15">
                  <c:v>57</c:v>
                </c:pt>
                <c:pt idx="16">
                  <c:v>54</c:v>
                </c:pt>
                <c:pt idx="17">
                  <c:v>39</c:v>
                </c:pt>
                <c:pt idx="18">
                  <c:v>61</c:v>
                </c:pt>
                <c:pt idx="19">
                  <c:v>54</c:v>
                </c:pt>
                <c:pt idx="20">
                  <c:v>50</c:v>
                </c:pt>
                <c:pt idx="21">
                  <c:v>51</c:v>
                </c:pt>
                <c:pt idx="22">
                  <c:v>43</c:v>
                </c:pt>
                <c:pt idx="23">
                  <c:v>41</c:v>
                </c:pt>
                <c:pt idx="24">
                  <c:v>54</c:v>
                </c:pt>
                <c:pt idx="25">
                  <c:v>45</c:v>
                </c:pt>
                <c:pt idx="26">
                  <c:v>44</c:v>
                </c:pt>
                <c:pt idx="27">
                  <c:v>50</c:v>
                </c:pt>
                <c:pt idx="28">
                  <c:v>57</c:v>
                </c:pt>
                <c:pt idx="29">
                  <c:v>51</c:v>
                </c:pt>
                <c:pt idx="30">
                  <c:v>43</c:v>
                </c:pt>
                <c:pt idx="31">
                  <c:v>53</c:v>
                </c:pt>
                <c:pt idx="32">
                  <c:v>49</c:v>
                </c:pt>
                <c:pt idx="33">
                  <c:v>43</c:v>
                </c:pt>
                <c:pt idx="34">
                  <c:v>40</c:v>
                </c:pt>
                <c:pt idx="35">
                  <c:v>40</c:v>
                </c:pt>
                <c:pt idx="36">
                  <c:v>54</c:v>
                </c:pt>
                <c:pt idx="37">
                  <c:v>45</c:v>
                </c:pt>
                <c:pt idx="38">
                  <c:v>60</c:v>
                </c:pt>
                <c:pt idx="39">
                  <c:v>45</c:v>
                </c:pt>
                <c:pt idx="40">
                  <c:v>60</c:v>
                </c:pt>
              </c:numCache>
            </c:numRef>
          </c:xVal>
          <c:yVal>
            <c:numRef>
              <c:f>[0]!Rémunération</c:f>
              <c:numCache>
                <c:formatCode>#,##0.00</c:formatCode>
                <c:ptCount val="42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68880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73800</c:v>
                </c:pt>
                <c:pt idx="38">
                  <c:v>87822</c:v>
                </c:pt>
                <c:pt idx="39">
                  <c:v>78390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DAF-4543-A4EC-91FB81AD05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  <c:max val="65"/>
          <c:min val="3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  <c:max val="120000"/>
          <c:min val="65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'base de travail'!$AE$1</c:f>
          <c:strCache>
            <c:ptCount val="1"/>
            <c:pt idx="0">
              <c:v>Rémunération par ancienneté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4372078458395047E-2"/>
          <c:y val="0.13084535433070865"/>
          <c:w val="0.8322719531014805"/>
          <c:h val="0.79462017339129021"/>
        </c:manualLayout>
      </c:layout>
      <c:scatterChart>
        <c:scatterStyle val="lineMarker"/>
        <c:varyColors val="0"/>
        <c:ser>
          <c:idx val="0"/>
          <c:order val="0"/>
          <c:tx>
            <c:v>Homme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[0]!Ancienneté</c:f>
              <c:strCache>
                <c:ptCount val="38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</c:strCache>
            </c:strRef>
          </c:xVal>
          <c:yVal>
            <c:numRef>
              <c:f>[0]!ChoixHomme</c:f>
              <c:numCache>
                <c:formatCode>General</c:formatCode>
                <c:ptCount val="41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#N/A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#N/A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#N/A</c:v>
                </c:pt>
                <c:pt idx="38">
                  <c:v>87822</c:v>
                </c:pt>
                <c:pt idx="39">
                  <c:v>#N/A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1A4-4513-AD99-9C7A88BD3DD6}"/>
            </c:ext>
          </c:extLst>
        </c:ser>
        <c:ser>
          <c:idx val="1"/>
          <c:order val="1"/>
          <c:tx>
            <c:v>Femme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[0]!Ancienneté</c:f>
              <c:strCache>
                <c:ptCount val="38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</c:strCache>
            </c:strRef>
          </c:xVal>
          <c:yVal>
            <c:numRef>
              <c:f>[0]!ChoixFemme</c:f>
              <c:numCache>
                <c:formatCode>General</c:formatCode>
                <c:ptCount val="4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68880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73800</c:v>
                </c:pt>
                <c:pt idx="38">
                  <c:v>#N/A</c:v>
                </c:pt>
                <c:pt idx="39">
                  <c:v>78390</c:v>
                </c:pt>
                <c:pt idx="4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874-4C2B-B4AA-5AC81F06F329}"/>
            </c:ext>
          </c:extLst>
        </c:ser>
        <c:ser>
          <c:idx val="2"/>
          <c:order val="2"/>
          <c:tx>
            <c:v>Mixte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strRef>
              <c:f>[0]!Ancienneté</c:f>
              <c:strCache>
                <c:ptCount val="38"/>
                <c:pt idx="0">
                  <c:v>34</c:v>
                </c:pt>
                <c:pt idx="1">
                  <c:v>17</c:v>
                </c:pt>
                <c:pt idx="2">
                  <c:v>0</c:v>
                </c:pt>
                <c:pt idx="3">
                  <c:v>10</c:v>
                </c:pt>
                <c:pt idx="4">
                  <c:v>12</c:v>
                </c:pt>
                <c:pt idx="5">
                  <c:v>25</c:v>
                </c:pt>
                <c:pt idx="6">
                  <c:v>13</c:v>
                </c:pt>
                <c:pt idx="7">
                  <c:v>22</c:v>
                </c:pt>
                <c:pt idx="8">
                  <c:v>29</c:v>
                </c:pt>
                <c:pt idx="9">
                  <c:v>21</c:v>
                </c:pt>
                <c:pt idx="10">
                  <c:v>6</c:v>
                </c:pt>
                <c:pt idx="11">
                  <c:v>3</c:v>
                </c:pt>
                <c:pt idx="12">
                  <c:v>2</c:v>
                </c:pt>
                <c:pt idx="13">
                  <c:v>26</c:v>
                </c:pt>
                <c:pt idx="14">
                  <c:v>1</c:v>
                </c:pt>
                <c:pt idx="15">
                  <c:v>34</c:v>
                </c:pt>
                <c:pt idx="17">
                  <c:v>7</c:v>
                </c:pt>
                <c:pt idx="18">
                  <c:v>17</c:v>
                </c:pt>
                <c:pt idx="19">
                  <c:v>27</c:v>
                </c:pt>
                <c:pt idx="21">
                  <c:v>23</c:v>
                </c:pt>
                <c:pt idx="22">
                  <c:v>17</c:v>
                </c:pt>
                <c:pt idx="23">
                  <c:v>13</c:v>
                </c:pt>
                <c:pt idx="24">
                  <c:v>27</c:v>
                </c:pt>
                <c:pt idx="25">
                  <c:v>22</c:v>
                </c:pt>
                <c:pt idx="26">
                  <c:v>21</c:v>
                </c:pt>
                <c:pt idx="27">
                  <c:v>23</c:v>
                </c:pt>
                <c:pt idx="28">
                  <c:v>12</c:v>
                </c:pt>
                <c:pt idx="29">
                  <c:v>10</c:v>
                </c:pt>
                <c:pt idx="31">
                  <c:v>4</c:v>
                </c:pt>
                <c:pt idx="32">
                  <c:v>1</c:v>
                </c:pt>
                <c:pt idx="33">
                  <c:v>16</c:v>
                </c:pt>
                <c:pt idx="34">
                  <c:v>15</c:v>
                </c:pt>
                <c:pt idx="35">
                  <c:v>16</c:v>
                </c:pt>
                <c:pt idx="36">
                  <c:v>10</c:v>
                </c:pt>
                <c:pt idx="37">
                  <c:v>11</c:v>
                </c:pt>
              </c:strCache>
            </c:strRef>
          </c:xVal>
          <c:yVal>
            <c:numRef>
              <c:f>[0]!Rémunération</c:f>
              <c:numCache>
                <c:formatCode>#,##0.00</c:formatCode>
                <c:ptCount val="42"/>
                <c:pt idx="0">
                  <c:v>95290</c:v>
                </c:pt>
                <c:pt idx="1">
                  <c:v>85731</c:v>
                </c:pt>
                <c:pt idx="2">
                  <c:v>89175</c:v>
                </c:pt>
                <c:pt idx="3">
                  <c:v>80668</c:v>
                </c:pt>
                <c:pt idx="4">
                  <c:v>73185</c:v>
                </c:pt>
                <c:pt idx="5">
                  <c:v>88400</c:v>
                </c:pt>
                <c:pt idx="6">
                  <c:v>78910</c:v>
                </c:pt>
                <c:pt idx="7">
                  <c:v>86832</c:v>
                </c:pt>
                <c:pt idx="8">
                  <c:v>80319</c:v>
                </c:pt>
                <c:pt idx="9">
                  <c:v>74750</c:v>
                </c:pt>
                <c:pt idx="10">
                  <c:v>77988</c:v>
                </c:pt>
                <c:pt idx="11">
                  <c:v>94001</c:v>
                </c:pt>
                <c:pt idx="12">
                  <c:v>90704.4</c:v>
                </c:pt>
                <c:pt idx="13">
                  <c:v>93010</c:v>
                </c:pt>
                <c:pt idx="14">
                  <c:v>91790</c:v>
                </c:pt>
                <c:pt idx="15">
                  <c:v>91200</c:v>
                </c:pt>
                <c:pt idx="16">
                  <c:v>90000</c:v>
                </c:pt>
                <c:pt idx="17">
                  <c:v>76045</c:v>
                </c:pt>
                <c:pt idx="18">
                  <c:v>95940</c:v>
                </c:pt>
                <c:pt idx="19">
                  <c:v>83025</c:v>
                </c:pt>
                <c:pt idx="20">
                  <c:v>72025</c:v>
                </c:pt>
                <c:pt idx="21">
                  <c:v>88437</c:v>
                </c:pt>
                <c:pt idx="22">
                  <c:v>83400</c:v>
                </c:pt>
                <c:pt idx="23">
                  <c:v>75891</c:v>
                </c:pt>
                <c:pt idx="24">
                  <c:v>90036</c:v>
                </c:pt>
                <c:pt idx="25">
                  <c:v>86698</c:v>
                </c:pt>
                <c:pt idx="26">
                  <c:v>75522</c:v>
                </c:pt>
                <c:pt idx="27">
                  <c:v>79827</c:v>
                </c:pt>
                <c:pt idx="28">
                  <c:v>84255</c:v>
                </c:pt>
                <c:pt idx="29">
                  <c:v>85800</c:v>
                </c:pt>
                <c:pt idx="30">
                  <c:v>68880</c:v>
                </c:pt>
                <c:pt idx="31">
                  <c:v>81070</c:v>
                </c:pt>
                <c:pt idx="32">
                  <c:v>64200</c:v>
                </c:pt>
                <c:pt idx="33">
                  <c:v>69840</c:v>
                </c:pt>
                <c:pt idx="34">
                  <c:v>81600</c:v>
                </c:pt>
                <c:pt idx="35">
                  <c:v>76260</c:v>
                </c:pt>
                <c:pt idx="36">
                  <c:v>98160</c:v>
                </c:pt>
                <c:pt idx="37">
                  <c:v>73800</c:v>
                </c:pt>
                <c:pt idx="38">
                  <c:v>87822</c:v>
                </c:pt>
                <c:pt idx="39">
                  <c:v>78390</c:v>
                </c:pt>
                <c:pt idx="40">
                  <c:v>87330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56B-4023-96A3-E6ADB8106E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0281992"/>
        <c:axId val="520282712"/>
      </c:scatterChart>
      <c:valAx>
        <c:axId val="520281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2712"/>
        <c:crosses val="autoZero"/>
        <c:crossBetween val="midCat"/>
      </c:valAx>
      <c:valAx>
        <c:axId val="520282712"/>
        <c:scaling>
          <c:orientation val="minMax"/>
          <c:min val="6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281992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9523</xdr:colOff>
      <xdr:row>1</xdr:row>
      <xdr:rowOff>19048</xdr:rowOff>
    </xdr:from>
    <xdr:to>
      <xdr:col>22</xdr:col>
      <xdr:colOff>190500</xdr:colOff>
      <xdr:row>34</xdr:row>
      <xdr:rowOff>38099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797F56-6719-B5AC-5191-B1462B9C2A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130173</xdr:colOff>
      <xdr:row>20</xdr:row>
      <xdr:rowOff>53973</xdr:rowOff>
    </xdr:from>
    <xdr:to>
      <xdr:col>14</xdr:col>
      <xdr:colOff>207894</xdr:colOff>
      <xdr:row>24</xdr:row>
      <xdr:rowOff>73213</xdr:rowOff>
    </xdr:to>
    <xdr:sp macro="" textlink="'base de travail'!Z2">
      <xdr:nvSpPr>
        <xdr:cNvPr id="3" name="Rectangle 1" hidden="1">
          <a:extLst>
            <a:ext uri="{FF2B5EF4-FFF2-40B4-BE49-F238E27FC236}">
              <a16:creationId xmlns:a16="http://schemas.microsoft.com/office/drawing/2014/main" id="{8C043008-BF5D-43C9-8953-F48DC68F23C2}"/>
            </a:ext>
          </a:extLst>
        </xdr:cNvPr>
        <xdr:cNvSpPr/>
      </xdr:nvSpPr>
      <xdr:spPr>
        <a:xfrm>
          <a:off x="5464173" y="3863973"/>
          <a:ext cx="1601721" cy="7812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4B9F8958-4BE8-43C0-870F-A7C03265D612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Nom : a
Sexe : Homme
Âge : 61 ans
Rémunération : 95 290 €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12698</xdr:colOff>
      <xdr:row>1</xdr:row>
      <xdr:rowOff>19049</xdr:rowOff>
    </xdr:from>
    <xdr:to>
      <xdr:col>16</xdr:col>
      <xdr:colOff>404812</xdr:colOff>
      <xdr:row>39</xdr:row>
      <xdr:rowOff>35719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E56705-A1A9-4D8C-9E25-25E1389BF02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588167</xdr:colOff>
      <xdr:row>12</xdr:row>
      <xdr:rowOff>153987</xdr:rowOff>
    </xdr:from>
    <xdr:to>
      <xdr:col>4</xdr:col>
      <xdr:colOff>634020</xdr:colOff>
      <xdr:row>16</xdr:row>
      <xdr:rowOff>173227</xdr:rowOff>
    </xdr:to>
    <xdr:sp macro="" textlink="'base de travail'!AA2">
      <xdr:nvSpPr>
        <xdr:cNvPr id="3" name="Rectangle 1" hidden="1">
          <a:extLst>
            <a:ext uri="{FF2B5EF4-FFF2-40B4-BE49-F238E27FC236}">
              <a16:creationId xmlns:a16="http://schemas.microsoft.com/office/drawing/2014/main" id="{34C0C59D-F24E-4F6C-8B36-180626DC016D}"/>
            </a:ext>
          </a:extLst>
        </xdr:cNvPr>
        <xdr:cNvSpPr/>
      </xdr:nvSpPr>
      <xdr:spPr>
        <a:xfrm>
          <a:off x="2112167" y="2439987"/>
          <a:ext cx="1569853" cy="78124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6350"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C36B1104-F6F5-4B14-A3F5-7ABBC6E1F2DF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a
Sexe : Homme
Ancienneté : 34 ans
Rémunération : 95290 €</a:t>
          </a:fld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A8C509-188F-438A-B3E1-2807E14A777A}" name="Tableau1" displayName="Tableau1" ref="A2:V43" totalsRowShown="0" headerRowDxfId="26" dataDxfId="24" headerRowBorderDxfId="25" tableBorderDxfId="23" totalsRowBorderDxfId="22">
  <autoFilter ref="A2:V43" xr:uid="{33A8C509-188F-438A-B3E1-2807E14A777A}"/>
  <tableColumns count="22">
    <tableColumn id="1" xr3:uid="{CD6B7A82-0068-49E7-9E4E-B338328EE710}" name="Directeur" dataDxfId="21" dataCellStyle="Normal 7"/>
    <tableColumn id="2" xr3:uid="{31190053-ACE7-4B0C-8C97-D0B909AADC10}" name="Entreprise" dataDxfId="20" dataCellStyle="Normal 7"/>
    <tableColumn id="3" xr3:uid="{B87B34F7-4FBD-47C9-A624-2BBDF5751C0C}" name="Nom/prénom" dataDxfId="19" dataCellStyle="Normal 7"/>
    <tableColumn id="4" xr3:uid="{DF33DDD6-FB32-48C5-AE86-F85A71A21DA2}" name="Sexe" dataDxfId="18" dataCellStyle="Normal 7"/>
    <tableColumn id="5" xr3:uid="{A6BF10E4-E4A1-49B5-BF90-60E5C256FE3B}" name="Age" dataDxfId="17" dataCellStyle="Normal 7"/>
    <tableColumn id="6" xr3:uid="{5C89ED99-C5BB-4C08-AD69-522742D8BEFD}" name="Anc." dataDxfId="16" dataCellStyle="Normal 7"/>
    <tableColumn id="7" xr3:uid="{E35E2F7F-BA78-4FE4-9A0F-C593CC74F8D4}" name="Position" dataDxfId="15" dataCellStyle="Normal 7"/>
    <tableColumn id="8" xr3:uid="{CE843E36-4828-4D6B-B9A4-2BCD667F422B}" name="Brut mensuel 2025" dataDxfId="14" dataCellStyle="Normal 7"/>
    <tableColumn id="9" xr3:uid="{E1E0F575-9AC9-4653-AC4C-091613D69DAC}" name="Intéressement" dataDxfId="13"/>
    <tableColumn id="10" xr3:uid="{953A501A-EF83-4D79-97B8-A57817C874CF}" name="Participation" dataDxfId="12"/>
    <tableColumn id="11" xr3:uid="{39A7DB8C-7C6F-48AE-8BAE-9FC2963EAE0E}" name="Primes exc" dataDxfId="11"/>
    <tableColumn id="12" xr3:uid="{83FE5881-6A4A-4432-8CD8-2FA8414438AE}" name="Rémuneration Brute 2025" dataDxfId="10">
      <calculatedColumnFormula>(H3*13.4)+I3+J3+K3</calculatedColumnFormula>
    </tableColumn>
    <tableColumn id="13" xr3:uid="{469C48A6-6484-44BA-9DA6-DF4FD71EEA4B}" name="0" dataDxfId="9">
      <calculatedColumnFormula>IF(N3="","",LignesVisibles($N$2:N3))</calculatedColumnFormula>
    </tableColumn>
    <tableColumn id="21" xr3:uid="{98B51476-7DB1-4BC6-879A-227D655CADAF}" name="ChoixDir" dataDxfId="0">
      <calculatedColumnFormula>Tableau1[[#This Row],[Directeur]]</calculatedColumnFormula>
    </tableColumn>
    <tableColumn id="14" xr3:uid="{C0C87C69-66B6-44F1-8DFC-881388A9B867}" name="Homme" dataDxfId="8">
      <calculatedColumnFormula>IF(N3&lt;&gt;"",IF($D3="H",$L3,NA()),"")</calculatedColumnFormula>
    </tableColumn>
    <tableColumn id="15" xr3:uid="{6EA191D9-9FEC-46F1-8A4E-23D110F2B2EE}" name="Femme" dataDxfId="7">
      <calculatedColumnFormula>IF(N3&lt;&gt;"",IF(D3="F",L3,NA()),"")</calculatedColumnFormula>
    </tableColumn>
    <tableColumn id="22" xr3:uid="{FA1DC3CD-F325-45D1-B950-DB9632F5F0C8}" name="Mixte" dataDxfId="6">
      <calculatedColumnFormula>IF(N3&lt;&gt;"",$L3,NA())</calculatedColumnFormula>
    </tableColumn>
    <tableColumn id="16" xr3:uid="{E4AA568B-9623-4591-9835-D7D893899D66}" name="Sexe2" dataDxfId="5">
      <calculatedColumnFormula>IF(N3&lt;&gt;"",IF($D3="H","Homme","Femme"),"")</calculatedColumnFormula>
    </tableColumn>
    <tableColumn id="17" xr3:uid="{3E3C115E-3F88-4058-AC8F-7E3A5B996D77}" name="Entité" dataDxfId="4">
      <calculatedColumnFormula>IF(N3&lt;&gt;"",A3&amp;CHAR(10)&amp;B3,"")</calculatedColumnFormula>
    </tableColumn>
    <tableColumn id="18" xr3:uid="{5DA16219-0CE8-482E-BD00-D8A4861B1118}" name="Concat. Age" dataDxfId="3">
      <calculatedColumnFormula>"Nom : " &amp;'base de travail'!$C$3:$C$43&amp;CHAR(10)&amp;
"Sexe : "&amp;'base de travail'!$R$3:$R$43&amp;CHAR(10)&amp;
"Âge : "&amp;'base de travail'!$E$3:$E$43&amp;" ans"&amp;CHAR(10)&amp;
"Rémunération : "&amp;TEXT('base de travail'!$L$3:$L$43,"# ### €")</calculatedColumnFormula>
    </tableColumn>
    <tableColumn id="19" xr3:uid="{8E9DA591-2BB0-493A-9F65-45B807EA4CBB}" name="Concat. Ancienneté" dataDxfId="2">
      <calculatedColumnFormula>'base de travail'!$C$3:$C$43&amp;CHAR(10)&amp;
"Sexe : "&amp;'base de travail'!$R$3:$R$43&amp;CHAR(10)&amp;
"Ancienneté : "&amp;'base de travail'!$F$3:$F$43&amp;" ans"&amp;CHAR(10)&amp;
"Rémunération : "&amp;'base de travail'!$L$3:$L$43&amp;" €"</calculatedColumnFormula>
    </tableColumn>
    <tableColumn id="20" xr3:uid="{5D37C46F-36D3-4159-912C-697D8D27C521}" name="Concat. Directeur" dataDxfId="1">
      <calculatedColumnFormula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7A145-F1AD-40C2-AD1B-5ED17B5B8E0A}">
  <sheetPr codeName="Feuil1"/>
  <dimension ref="A1:AH79"/>
  <sheetViews>
    <sheetView topLeftCell="A27" workbookViewId="0">
      <selection activeCell="N3" sqref="N3"/>
    </sheetView>
  </sheetViews>
  <sheetFormatPr defaultColWidth="11.42578125" defaultRowHeight="15" x14ac:dyDescent="0.25"/>
  <cols>
    <col min="1" max="1" width="9.140625" bestFit="1" customWidth="1"/>
    <col min="2" max="2" width="25.28515625" bestFit="1" customWidth="1"/>
    <col min="3" max="3" width="12.7109375" bestFit="1" customWidth="1"/>
    <col min="4" max="4" width="5.7109375" bestFit="1" customWidth="1"/>
    <col min="5" max="5" width="4.85546875" bestFit="1" customWidth="1"/>
    <col min="6" max="6" width="5" bestFit="1" customWidth="1"/>
    <col min="7" max="7" width="8.28515625" bestFit="1" customWidth="1"/>
    <col min="8" max="8" width="17.85546875" bestFit="1" customWidth="1"/>
    <col min="9" max="9" width="13.85546875" bestFit="1" customWidth="1"/>
    <col min="10" max="10" width="12.5703125" bestFit="1" customWidth="1"/>
    <col min="11" max="11" width="11.140625" bestFit="1" customWidth="1"/>
    <col min="12" max="12" width="24.28515625" bestFit="1" customWidth="1"/>
    <col min="13" max="13" width="8.7109375" customWidth="1"/>
    <col min="14" max="14" width="8.85546875" customWidth="1"/>
    <col min="15" max="15" width="8" customWidth="1"/>
    <col min="16" max="16" width="7.85546875" customWidth="1"/>
    <col min="17" max="17" width="9.140625" customWidth="1"/>
    <col min="18" max="18" width="8" customWidth="1"/>
    <col min="19" max="19" width="14.7109375" customWidth="1"/>
    <col min="20" max="20" width="57.140625" customWidth="1"/>
    <col min="21" max="21" width="69" customWidth="1"/>
    <col min="22" max="22" width="116.5703125" customWidth="1"/>
    <col min="23" max="23" width="10.85546875" customWidth="1"/>
    <col min="24" max="24" width="12.28515625" customWidth="1"/>
    <col min="25" max="25" width="10.85546875" customWidth="1"/>
    <col min="26" max="26" width="50.85546875" customWidth="1"/>
    <col min="27" max="27" width="57.85546875" customWidth="1"/>
    <col min="28" max="28" width="68.42578125" customWidth="1"/>
    <col min="29" max="29" width="10.85546875" customWidth="1"/>
    <col min="30" max="30" width="21.85546875" customWidth="1"/>
    <col min="31" max="31" width="28.7109375" customWidth="1"/>
    <col min="32" max="32" width="26.7109375" customWidth="1"/>
    <col min="33" max="33" width="10.85546875" customWidth="1"/>
    <col min="34" max="34" width="7.28515625" customWidth="1"/>
    <col min="35" max="53" width="11.42578125" customWidth="1"/>
  </cols>
  <sheetData>
    <row r="1" spans="1:34" x14ac:dyDescent="0.25">
      <c r="X1" s="2" t="s">
        <v>11</v>
      </c>
      <c r="Z1" s="4" t="s">
        <v>4</v>
      </c>
      <c r="AA1" s="4" t="s">
        <v>13</v>
      </c>
      <c r="AB1" s="5" t="s">
        <v>0</v>
      </c>
      <c r="AD1" s="1" t="s">
        <v>12</v>
      </c>
      <c r="AE1" s="1" t="s">
        <v>14</v>
      </c>
      <c r="AF1" s="1" t="s">
        <v>17</v>
      </c>
    </row>
    <row r="2" spans="1:34" ht="25.5" x14ac:dyDescent="0.25">
      <c r="A2" s="8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27</v>
      </c>
      <c r="I2" s="9" t="s">
        <v>7</v>
      </c>
      <c r="J2" s="9" t="s">
        <v>8</v>
      </c>
      <c r="K2" s="9" t="s">
        <v>10</v>
      </c>
      <c r="L2" s="9" t="s">
        <v>28</v>
      </c>
      <c r="M2" s="10" t="s">
        <v>26</v>
      </c>
      <c r="N2" s="10" t="s">
        <v>24</v>
      </c>
      <c r="O2" s="10" t="s">
        <v>20</v>
      </c>
      <c r="P2" s="10" t="s">
        <v>21</v>
      </c>
      <c r="Q2" s="10" t="s">
        <v>25</v>
      </c>
      <c r="R2" s="10" t="s">
        <v>23</v>
      </c>
      <c r="S2" s="10" t="s">
        <v>22</v>
      </c>
      <c r="T2" s="11" t="s">
        <v>16</v>
      </c>
      <c r="U2" s="11" t="s">
        <v>15</v>
      </c>
      <c r="V2" s="12" t="s">
        <v>18</v>
      </c>
      <c r="X2" s="3">
        <v>1</v>
      </c>
      <c r="Z2" s="3" t="str">
        <f>INDEX('base de travail'!$T$3:$T$43,MesPointsIndex)</f>
        <v>Nom : a
Sexe : Homme
Âge : 61 ans
Rémunération : 95 290 €</v>
      </c>
      <c r="AA2" s="3" t="str">
        <f>INDEX('base de travail'!$U$3:$U$43,MesPointsIndex)</f>
        <v>a
Sexe : Homme
Ancienneté : 34 ans
Rémunération : 95290 €</v>
      </c>
      <c r="AB2" s="3" t="str">
        <f>INDEX('base de travail'!$V$3:$V$43,MesPointsIndex)</f>
        <v>a
Sexe : Homme
Directeur : Grenoble
Société : Test1
Rémunération : 95290 €</v>
      </c>
      <c r="AH2" t="str">
        <f t="array" ref="AH2">IFERROR(INDEX(Liste,MATCH(SMALL(IF((COUNTIF(AH$1:AH1,Liste)=0)*(Liste&lt;&gt;""),COUNTIF(Liste,"&lt;"&amp;Liste)),1),IF(Liste&lt;&gt;"",COUNTIF(Liste,"&lt;"&amp;Liste)),0)),"")</f>
        <v>Grenoble</v>
      </c>
    </row>
    <row r="3" spans="1:34" s="14" customFormat="1" x14ac:dyDescent="0.25">
      <c r="A3" s="31" t="s">
        <v>31</v>
      </c>
      <c r="B3" s="32" t="s">
        <v>32</v>
      </c>
      <c r="C3" s="33" t="s">
        <v>33</v>
      </c>
      <c r="D3" s="34" t="s">
        <v>9</v>
      </c>
      <c r="E3" s="95">
        <v>61</v>
      </c>
      <c r="F3" s="35">
        <v>34</v>
      </c>
      <c r="G3" s="34" t="s">
        <v>29</v>
      </c>
      <c r="H3" s="36">
        <v>7330</v>
      </c>
      <c r="I3" s="37"/>
      <c r="J3" s="37"/>
      <c r="K3" s="37"/>
      <c r="L3" s="25">
        <f>(H3*13)+I3+J3+K3</f>
        <v>95290</v>
      </c>
      <c r="M3" s="26">
        <f>IF(N3="","",LignesVisibles($N$2:N3))</f>
        <v>2</v>
      </c>
      <c r="N3" s="107" t="str">
        <f>Tableau1[[#This Row],[Directeur]]</f>
        <v>Grenoble</v>
      </c>
      <c r="O3" s="26">
        <f t="shared" ref="O3" si="0">IF(N3&lt;&gt;"",IF($D3="H",$L3,NA()),"")</f>
        <v>95290</v>
      </c>
      <c r="P3" s="26" t="e">
        <f t="shared" ref="P3" si="1">IF(N3&lt;&gt;"",IF(D3="F",L3,NA()),"")</f>
        <v>#N/A</v>
      </c>
      <c r="Q3" s="26">
        <f t="shared" ref="Q3" si="2">IF(N3&lt;&gt;"",$L3,NA())</f>
        <v>95290</v>
      </c>
      <c r="R3" s="26" t="str">
        <f t="shared" ref="R3" si="3">IF(N3&lt;&gt;"",IF($D3="H","Homme","Femme"),"")</f>
        <v>Homme</v>
      </c>
      <c r="S3" s="26" t="str">
        <f t="shared" ref="S3" si="4">IF(N3&lt;&gt;"",A3&amp;CHAR(10)&amp;B3,"")</f>
        <v>Grenoble
Test1</v>
      </c>
      <c r="T3" s="2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a
Sexe : Homme
Âge : 61 ans
Rémunération : 95 290 €</v>
      </c>
      <c r="U3" s="2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a
Sexe : Homme
Ancienneté : 34 ans
Rémunération : 95290 €</v>
      </c>
      <c r="V3" s="2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a
Sexe : Homme
Directeur : Grenoble
Société : Test1
Rémunération : 95290 €</v>
      </c>
      <c r="AH3" s="14" t="str">
        <f t="array" ref="AH3">IFERROR(INDEX(Liste,MATCH(SMALL(IF((COUNTIF(AH$1:AH2,Liste)=0)*(Liste&lt;&gt;""),COUNTIF(Liste,"&lt;"&amp;Liste)),1),IF(Liste&lt;&gt;"",COUNTIF(Liste,"&lt;"&amp;Liste)),0)),"")</f>
        <v>Lyon</v>
      </c>
    </row>
    <row r="4" spans="1:34" s="14" customFormat="1" x14ac:dyDescent="0.25">
      <c r="A4" s="31" t="s">
        <v>31</v>
      </c>
      <c r="B4" s="32" t="s">
        <v>34</v>
      </c>
      <c r="C4" s="33" t="s">
        <v>35</v>
      </c>
      <c r="D4" s="34" t="s">
        <v>9</v>
      </c>
      <c r="E4" s="95">
        <v>42</v>
      </c>
      <c r="F4" s="34">
        <v>17</v>
      </c>
      <c r="G4" s="34" t="s">
        <v>29</v>
      </c>
      <c r="H4" s="36">
        <v>6970</v>
      </c>
      <c r="I4" s="37"/>
      <c r="J4" s="37"/>
      <c r="K4" s="37"/>
      <c r="L4" s="38">
        <f>(H4*12.3)+I4+J4+K4</f>
        <v>85731</v>
      </c>
      <c r="M4" s="6">
        <f>IF(N4="","",LignesVisibles($N$2:N4))</f>
        <v>3</v>
      </c>
      <c r="N4" s="108" t="str">
        <f>Tableau1[[#This Row],[Directeur]]</f>
        <v>Grenoble</v>
      </c>
      <c r="O4" s="6">
        <f t="shared" ref="O4:O9" si="5">IF(N4&lt;&gt;"",IF($D4="H",$L4,NA()),"")</f>
        <v>85731</v>
      </c>
      <c r="P4" s="6" t="e">
        <f t="shared" ref="P4:P9" si="6">IF(N4&lt;&gt;"",IF(D4="F",L4,NA()),"")</f>
        <v>#N/A</v>
      </c>
      <c r="Q4" s="30">
        <f t="shared" ref="Q4:Q9" si="7">IF(N4&lt;&gt;"",$L4,NA())</f>
        <v>85731</v>
      </c>
      <c r="R4" s="6" t="str">
        <f t="shared" ref="R4:R9" si="8">IF(N4&lt;&gt;"",IF($D4="H","Homme","Femme"),"")</f>
        <v>Homme</v>
      </c>
      <c r="S4" s="6" t="str">
        <f t="shared" ref="S4:S9" si="9">IF(N4&lt;&gt;"",A4&amp;CHAR(10)&amp;B4,"")</f>
        <v>Grenoble
Test2</v>
      </c>
      <c r="T4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b
Sexe : Homme
Âge : 42 ans
Rémunération : 85 731 €</v>
      </c>
      <c r="U4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b
Sexe : Homme
Ancienneté : 17 ans
Rémunération : 85731 €</v>
      </c>
      <c r="V4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b
Sexe : Homme
Directeur : Grenoble
Société : Test2
Rémunération : 85731 €</v>
      </c>
    </row>
    <row r="5" spans="1:34" s="14" customFormat="1" x14ac:dyDescent="0.25">
      <c r="A5" s="31" t="s">
        <v>31</v>
      </c>
      <c r="B5" s="32" t="s">
        <v>36</v>
      </c>
      <c r="C5" s="33" t="s">
        <v>37</v>
      </c>
      <c r="D5" s="34" t="s">
        <v>9</v>
      </c>
      <c r="E5" s="95">
        <v>52</v>
      </c>
      <c r="F5" s="34" t="s">
        <v>26</v>
      </c>
      <c r="G5" s="34"/>
      <c r="H5" s="36">
        <v>7250</v>
      </c>
      <c r="I5" s="37"/>
      <c r="J5" s="37"/>
      <c r="K5" s="37"/>
      <c r="L5" s="38">
        <f>(H5*12.3)+I5+J5+K5</f>
        <v>89175</v>
      </c>
      <c r="M5" s="6">
        <f>IF(N5="","",LignesVisibles($N$2:N5))</f>
        <v>4</v>
      </c>
      <c r="N5" s="108" t="str">
        <f>Tableau1[[#This Row],[Directeur]]</f>
        <v>Grenoble</v>
      </c>
      <c r="O5" s="6">
        <f t="shared" si="5"/>
        <v>89175</v>
      </c>
      <c r="P5" s="6" t="e">
        <f t="shared" si="6"/>
        <v>#N/A</v>
      </c>
      <c r="Q5" s="30">
        <f t="shared" si="7"/>
        <v>89175</v>
      </c>
      <c r="R5" s="6" t="str">
        <f t="shared" si="8"/>
        <v>Homme</v>
      </c>
      <c r="S5" s="6" t="str">
        <f t="shared" si="9"/>
        <v>Grenoble
Test3</v>
      </c>
      <c r="T5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c
Sexe : Homme
Âge : 52 ans
Rémunération : 89 175 €</v>
      </c>
      <c r="U5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c
Sexe : Homme
Ancienneté : 0 ans
Rémunération : 89175 €</v>
      </c>
      <c r="V5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c
Sexe : Homme
Directeur : Grenoble
Société : Test3
Rémunération : 89175 €</v>
      </c>
    </row>
    <row r="6" spans="1:34" s="14" customFormat="1" x14ac:dyDescent="0.25">
      <c r="A6" s="31" t="s">
        <v>31</v>
      </c>
      <c r="B6" s="32" t="s">
        <v>38</v>
      </c>
      <c r="C6" s="33" t="s">
        <v>39</v>
      </c>
      <c r="D6" s="34" t="s">
        <v>9</v>
      </c>
      <c r="E6" s="95">
        <v>41</v>
      </c>
      <c r="F6" s="35">
        <v>10</v>
      </c>
      <c r="G6" s="34" t="s">
        <v>29</v>
      </c>
      <c r="H6" s="36">
        <v>6020</v>
      </c>
      <c r="I6" s="37"/>
      <c r="J6" s="37"/>
      <c r="K6" s="37"/>
      <c r="L6" s="38">
        <f>(H6*13.4)+I6+J6+K6</f>
        <v>80668</v>
      </c>
      <c r="M6" s="6">
        <f>IF(N6="","",LignesVisibles($N$2:N6))</f>
        <v>5</v>
      </c>
      <c r="N6" s="108" t="str">
        <f>Tableau1[[#This Row],[Directeur]]</f>
        <v>Grenoble</v>
      </c>
      <c r="O6" s="6">
        <f t="shared" si="5"/>
        <v>80668</v>
      </c>
      <c r="P6" s="6" t="e">
        <f t="shared" si="6"/>
        <v>#N/A</v>
      </c>
      <c r="Q6" s="30">
        <f t="shared" si="7"/>
        <v>80668</v>
      </c>
      <c r="R6" s="6" t="str">
        <f t="shared" si="8"/>
        <v>Homme</v>
      </c>
      <c r="S6" s="6" t="str">
        <f t="shared" si="9"/>
        <v>Grenoble
Test4</v>
      </c>
      <c r="T6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d
Sexe : Homme
Âge : 41 ans
Rémunération : 80 668 €</v>
      </c>
      <c r="U6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d
Sexe : Homme
Ancienneté : 10 ans
Rémunération : 80668 €</v>
      </c>
      <c r="V6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d
Sexe : Homme
Directeur : Grenoble
Société : Test4
Rémunération : 80668 €</v>
      </c>
    </row>
    <row r="7" spans="1:34" s="14" customFormat="1" x14ac:dyDescent="0.25">
      <c r="A7" s="31" t="s">
        <v>31</v>
      </c>
      <c r="B7" s="32" t="s">
        <v>40</v>
      </c>
      <c r="C7" s="33" t="s">
        <v>41</v>
      </c>
      <c r="D7" s="34" t="s">
        <v>9</v>
      </c>
      <c r="E7" s="95">
        <v>43</v>
      </c>
      <c r="F7" s="35">
        <v>12</v>
      </c>
      <c r="G7" s="34" t="s">
        <v>30</v>
      </c>
      <c r="H7" s="36">
        <v>5950</v>
      </c>
      <c r="I7" s="37"/>
      <c r="J7" s="37"/>
      <c r="K7" s="37"/>
      <c r="L7" s="38">
        <f>(H7*12.3)+I7+J7+K7</f>
        <v>73185</v>
      </c>
      <c r="M7" s="6">
        <f>IF(N7="","",LignesVisibles($N$2:N7))</f>
        <v>6</v>
      </c>
      <c r="N7" s="108" t="str">
        <f>Tableau1[[#This Row],[Directeur]]</f>
        <v>Grenoble</v>
      </c>
      <c r="O7" s="6">
        <f t="shared" si="5"/>
        <v>73185</v>
      </c>
      <c r="P7" s="6" t="e">
        <f t="shared" si="6"/>
        <v>#N/A</v>
      </c>
      <c r="Q7" s="30">
        <f t="shared" si="7"/>
        <v>73185</v>
      </c>
      <c r="R7" s="6" t="str">
        <f t="shared" si="8"/>
        <v>Homme</v>
      </c>
      <c r="S7" s="6" t="str">
        <f t="shared" si="9"/>
        <v>Grenoble
Test5</v>
      </c>
      <c r="T7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e
Sexe : Homme
Âge : 43 ans
Rémunération : 73 185 €</v>
      </c>
      <c r="U7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e
Sexe : Homme
Ancienneté : 12 ans
Rémunération : 73185 €</v>
      </c>
      <c r="V7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e
Sexe : Homme
Directeur : Grenoble
Société : Test5
Rémunération : 73185 €</v>
      </c>
    </row>
    <row r="8" spans="1:34" s="14" customFormat="1" x14ac:dyDescent="0.25">
      <c r="A8" s="31" t="s">
        <v>31</v>
      </c>
      <c r="B8" s="32" t="s">
        <v>42</v>
      </c>
      <c r="C8" s="33" t="s">
        <v>43</v>
      </c>
      <c r="D8" s="34" t="s">
        <v>9</v>
      </c>
      <c r="E8" s="95">
        <v>49</v>
      </c>
      <c r="F8" s="35">
        <v>25</v>
      </c>
      <c r="G8" s="34" t="s">
        <v>29</v>
      </c>
      <c r="H8" s="36">
        <v>6800</v>
      </c>
      <c r="I8" s="37"/>
      <c r="J8" s="37"/>
      <c r="K8" s="37"/>
      <c r="L8" s="38">
        <f>(H8*13)+I8+J8+K8</f>
        <v>88400</v>
      </c>
      <c r="M8" s="6">
        <f>IF(N8="","",LignesVisibles($N$2:N8))</f>
        <v>7</v>
      </c>
      <c r="N8" s="108" t="str">
        <f>Tableau1[[#This Row],[Directeur]]</f>
        <v>Grenoble</v>
      </c>
      <c r="O8" s="6">
        <f t="shared" si="5"/>
        <v>88400</v>
      </c>
      <c r="P8" s="6" t="e">
        <f t="shared" si="6"/>
        <v>#N/A</v>
      </c>
      <c r="Q8" s="30">
        <f t="shared" si="7"/>
        <v>88400</v>
      </c>
      <c r="R8" s="6" t="str">
        <f t="shared" si="8"/>
        <v>Homme</v>
      </c>
      <c r="S8" s="6" t="str">
        <f t="shared" si="9"/>
        <v>Grenoble
Test6</v>
      </c>
      <c r="T8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f
Sexe : Homme
Âge : 49 ans
Rémunération : 88 400 €</v>
      </c>
      <c r="U8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f
Sexe : Homme
Ancienneté : 25 ans
Rémunération : 88400 €</v>
      </c>
      <c r="V8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f
Sexe : Homme
Directeur : Grenoble
Société : Test6
Rémunération : 88400 €</v>
      </c>
    </row>
    <row r="9" spans="1:34" s="14" customFormat="1" x14ac:dyDescent="0.25">
      <c r="A9" s="39" t="s">
        <v>44</v>
      </c>
      <c r="B9" s="32" t="s">
        <v>45</v>
      </c>
      <c r="C9" s="40" t="s">
        <v>46</v>
      </c>
      <c r="D9" s="41" t="s">
        <v>9</v>
      </c>
      <c r="E9" s="96">
        <v>54</v>
      </c>
      <c r="F9" s="42">
        <v>13</v>
      </c>
      <c r="G9" s="41" t="s">
        <v>47</v>
      </c>
      <c r="H9" s="43">
        <v>6070</v>
      </c>
      <c r="I9" s="44"/>
      <c r="J9" s="44"/>
      <c r="K9" s="44"/>
      <c r="L9" s="45">
        <f>(H9*13)+I9+J9+K9</f>
        <v>78910</v>
      </c>
      <c r="M9" s="6">
        <f>IF(N9="","",LignesVisibles($N$2:N9))</f>
        <v>8</v>
      </c>
      <c r="N9" s="108" t="str">
        <f>Tableau1[[#This Row],[Directeur]]</f>
        <v>Lyon</v>
      </c>
      <c r="O9" s="6">
        <f t="shared" si="5"/>
        <v>78910</v>
      </c>
      <c r="P9" s="6" t="e">
        <f t="shared" si="6"/>
        <v>#N/A</v>
      </c>
      <c r="Q9" s="30">
        <f t="shared" si="7"/>
        <v>78910</v>
      </c>
      <c r="R9" s="6" t="str">
        <f t="shared" si="8"/>
        <v>Homme</v>
      </c>
      <c r="S9" s="6" t="str">
        <f t="shared" si="9"/>
        <v>Lyon
Test7</v>
      </c>
      <c r="T9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g
Sexe : Homme
Âge : 54 ans
Rémunération : 78 910 €</v>
      </c>
      <c r="U9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g
Sexe : Homme
Ancienneté : 13 ans
Rémunération : 78910 €</v>
      </c>
      <c r="V9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g
Sexe : Homme
Directeur : Lyon
Société : Test7
Rémunération : 78910 €</v>
      </c>
    </row>
    <row r="10" spans="1:34" s="14" customFormat="1" x14ac:dyDescent="0.25">
      <c r="A10" s="39" t="s">
        <v>44</v>
      </c>
      <c r="B10" s="32" t="s">
        <v>48</v>
      </c>
      <c r="C10" s="40" t="s">
        <v>49</v>
      </c>
      <c r="D10" s="41" t="s">
        <v>9</v>
      </c>
      <c r="E10" s="96">
        <v>49</v>
      </c>
      <c r="F10" s="42">
        <v>22</v>
      </c>
      <c r="G10" s="41" t="s">
        <v>29</v>
      </c>
      <c r="H10" s="43">
        <v>6480</v>
      </c>
      <c r="I10" s="44"/>
      <c r="J10" s="44"/>
      <c r="K10" s="44"/>
      <c r="L10" s="45">
        <f>(H10*13.4)+I10+J10+K10</f>
        <v>86832</v>
      </c>
      <c r="M10" s="6">
        <f>IF(N10="","",LignesVisibles($N$2:N10))</f>
        <v>9</v>
      </c>
      <c r="N10" s="108" t="str">
        <f>Tableau1[[#This Row],[Directeur]]</f>
        <v>Lyon</v>
      </c>
      <c r="O10" s="6">
        <f t="shared" ref="O10:O17" si="10">IF(N10&lt;&gt;"",IF($D10="H",$L10,NA()),"")</f>
        <v>86832</v>
      </c>
      <c r="P10" s="6" t="e">
        <f t="shared" ref="P10:P17" si="11">IF(N10&lt;&gt;"",IF(D10="F",L10,NA()),"")</f>
        <v>#N/A</v>
      </c>
      <c r="Q10" s="30">
        <f t="shared" ref="Q10:Q17" si="12">IF(N10&lt;&gt;"",$L10,NA())</f>
        <v>86832</v>
      </c>
      <c r="R10" s="6" t="str">
        <f t="shared" ref="R10:R17" si="13">IF(N10&lt;&gt;"",IF($D10="H","Homme","Femme"),"")</f>
        <v>Homme</v>
      </c>
      <c r="S10" s="6" t="str">
        <f t="shared" ref="S10:S17" si="14">IF(N10&lt;&gt;"",A10&amp;CHAR(10)&amp;B10,"")</f>
        <v>Lyon
Test8</v>
      </c>
      <c r="T10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h
Sexe : Homme
Âge : 49 ans
Rémunération : 86 832 €</v>
      </c>
      <c r="U10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h
Sexe : Homme
Ancienneté : 22 ans
Rémunération : 86832 €</v>
      </c>
      <c r="V10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h
Sexe : Homme
Directeur : Lyon
Société : Test8
Rémunération : 86832 €</v>
      </c>
    </row>
    <row r="11" spans="1:34" s="14" customFormat="1" x14ac:dyDescent="0.25">
      <c r="A11" s="39" t="s">
        <v>44</v>
      </c>
      <c r="B11" s="32" t="s">
        <v>50</v>
      </c>
      <c r="C11" s="40" t="s">
        <v>51</v>
      </c>
      <c r="D11" s="41" t="s">
        <v>9</v>
      </c>
      <c r="E11" s="96">
        <v>57</v>
      </c>
      <c r="F11" s="41">
        <v>29</v>
      </c>
      <c r="G11" s="41" t="s">
        <v>29</v>
      </c>
      <c r="H11" s="43">
        <v>6530</v>
      </c>
      <c r="I11" s="44"/>
      <c r="J11" s="44"/>
      <c r="K11" s="44"/>
      <c r="L11" s="45">
        <f>(H11*12.3)+I11+J11+K11</f>
        <v>80319</v>
      </c>
      <c r="M11" s="6">
        <f>IF(N11="","",LignesVisibles($N$2:N11))</f>
        <v>10</v>
      </c>
      <c r="N11" s="108" t="str">
        <f>Tableau1[[#This Row],[Directeur]]</f>
        <v>Lyon</v>
      </c>
      <c r="O11" s="6">
        <f t="shared" si="10"/>
        <v>80319</v>
      </c>
      <c r="P11" s="6" t="e">
        <f t="shared" si="11"/>
        <v>#N/A</v>
      </c>
      <c r="Q11" s="30">
        <f t="shared" si="12"/>
        <v>80319</v>
      </c>
      <c r="R11" s="6" t="str">
        <f t="shared" si="13"/>
        <v>Homme</v>
      </c>
      <c r="S11" s="6" t="str">
        <f t="shared" si="14"/>
        <v>Lyon
Test9</v>
      </c>
      <c r="T11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i
Sexe : Homme
Âge : 57 ans
Rémunération : 80 319 €</v>
      </c>
      <c r="U11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i
Sexe : Homme
Ancienneté : 29 ans
Rémunération : 80319 €</v>
      </c>
      <c r="V11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i
Sexe : Homme
Directeur : Lyon
Société : Test9
Rémunération : 80319 €</v>
      </c>
    </row>
    <row r="12" spans="1:34" s="14" customFormat="1" x14ac:dyDescent="0.25">
      <c r="A12" s="39" t="s">
        <v>44</v>
      </c>
      <c r="B12" s="32" t="s">
        <v>52</v>
      </c>
      <c r="C12" s="40" t="s">
        <v>53</v>
      </c>
      <c r="D12" s="41" t="s">
        <v>9</v>
      </c>
      <c r="E12" s="96">
        <v>61</v>
      </c>
      <c r="F12" s="42">
        <v>21</v>
      </c>
      <c r="G12" s="41" t="s">
        <v>30</v>
      </c>
      <c r="H12" s="43">
        <v>5750</v>
      </c>
      <c r="I12" s="44"/>
      <c r="J12" s="44"/>
      <c r="K12" s="44"/>
      <c r="L12" s="45">
        <f>(H12*13)+I12+J12+K12</f>
        <v>74750</v>
      </c>
      <c r="M12" s="6">
        <f>IF(N12="","",LignesVisibles($N$2:N12))</f>
        <v>11</v>
      </c>
      <c r="N12" s="108" t="str">
        <f>Tableau1[[#This Row],[Directeur]]</f>
        <v>Lyon</v>
      </c>
      <c r="O12" s="6">
        <f t="shared" si="10"/>
        <v>74750</v>
      </c>
      <c r="P12" s="6" t="e">
        <f t="shared" si="11"/>
        <v>#N/A</v>
      </c>
      <c r="Q12" s="30">
        <f t="shared" si="12"/>
        <v>74750</v>
      </c>
      <c r="R12" s="6" t="str">
        <f t="shared" si="13"/>
        <v>Homme</v>
      </c>
      <c r="S12" s="6" t="str">
        <f t="shared" si="14"/>
        <v>Lyon
Test10</v>
      </c>
      <c r="T12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j
Sexe : Homme
Âge : 61 ans
Rémunération : 74 750 €</v>
      </c>
      <c r="U12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j
Sexe : Homme
Ancienneté : 21 ans
Rémunération : 74750 €</v>
      </c>
      <c r="V12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j
Sexe : Homme
Directeur : Lyon
Société : Test10
Rémunération : 74750 €</v>
      </c>
    </row>
    <row r="13" spans="1:34" s="14" customFormat="1" x14ac:dyDescent="0.25">
      <c r="A13" s="39" t="s">
        <v>44</v>
      </c>
      <c r="B13" s="32" t="s">
        <v>54</v>
      </c>
      <c r="C13" s="40" t="s">
        <v>55</v>
      </c>
      <c r="D13" s="41" t="s">
        <v>9</v>
      </c>
      <c r="E13" s="96">
        <v>47</v>
      </c>
      <c r="F13" s="42">
        <v>6</v>
      </c>
      <c r="G13" s="41" t="s">
        <v>29</v>
      </c>
      <c r="H13" s="43">
        <v>5820</v>
      </c>
      <c r="I13" s="44"/>
      <c r="J13" s="44"/>
      <c r="K13" s="44"/>
      <c r="L13" s="45">
        <f>(H13*13.4)+I13+J13+K13</f>
        <v>77988</v>
      </c>
      <c r="M13" s="6">
        <f>IF(N13="","",LignesVisibles($N$2:N13))</f>
        <v>12</v>
      </c>
      <c r="N13" s="108" t="str">
        <f>Tableau1[[#This Row],[Directeur]]</f>
        <v>Lyon</v>
      </c>
      <c r="O13" s="6">
        <f t="shared" si="10"/>
        <v>77988</v>
      </c>
      <c r="P13" s="6" t="e">
        <f t="shared" si="11"/>
        <v>#N/A</v>
      </c>
      <c r="Q13" s="30">
        <f t="shared" si="12"/>
        <v>77988</v>
      </c>
      <c r="R13" s="6" t="str">
        <f t="shared" si="13"/>
        <v>Homme</v>
      </c>
      <c r="S13" s="6" t="str">
        <f t="shared" si="14"/>
        <v>Lyon
Test11</v>
      </c>
      <c r="T13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k
Sexe : Homme
Âge : 47 ans
Rémunération : 77 988 €</v>
      </c>
      <c r="U13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k
Sexe : Homme
Ancienneté : 6 ans
Rémunération : 77988 €</v>
      </c>
      <c r="V13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k
Sexe : Homme
Directeur : Lyon
Société : Test11
Rémunération : 77988 €</v>
      </c>
    </row>
    <row r="14" spans="1:34" s="14" customFormat="1" x14ac:dyDescent="0.25">
      <c r="A14" s="39" t="s">
        <v>44</v>
      </c>
      <c r="B14" s="32" t="s">
        <v>56</v>
      </c>
      <c r="C14" s="40" t="s">
        <v>57</v>
      </c>
      <c r="D14" s="41" t="s">
        <v>58</v>
      </c>
      <c r="E14" s="96">
        <v>46</v>
      </c>
      <c r="F14" s="42">
        <v>3</v>
      </c>
      <c r="G14" s="41" t="s">
        <v>29</v>
      </c>
      <c r="H14" s="43">
        <v>7015</v>
      </c>
      <c r="I14" s="44"/>
      <c r="J14" s="44"/>
      <c r="K14" s="44"/>
      <c r="L14" s="45">
        <f>(H14*13.4)+I14+J14+K14</f>
        <v>94001</v>
      </c>
      <c r="M14" s="6">
        <f>IF(N14="","",LignesVisibles($N$2:N14))</f>
        <v>13</v>
      </c>
      <c r="N14" s="108" t="str">
        <f>Tableau1[[#This Row],[Directeur]]</f>
        <v>Lyon</v>
      </c>
      <c r="O14" s="6" t="e">
        <f t="shared" si="10"/>
        <v>#N/A</v>
      </c>
      <c r="P14" s="6" t="e">
        <f t="shared" si="11"/>
        <v>#N/A</v>
      </c>
      <c r="Q14" s="30">
        <f t="shared" si="12"/>
        <v>94001</v>
      </c>
      <c r="R14" s="6" t="str">
        <f t="shared" si="13"/>
        <v>Femme</v>
      </c>
      <c r="S14" s="6" t="str">
        <f t="shared" si="14"/>
        <v>Lyon
Test12</v>
      </c>
      <c r="T14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l
Sexe : Femme
Âge : 46 ans
Rémunération : 94 001 €</v>
      </c>
      <c r="U14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l
Sexe : Femme
Ancienneté : 3 ans
Rémunération : 94001 €</v>
      </c>
      <c r="V14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l
Sexe : Femme
Directeur : Lyon
Société : Test12
Rémunération : 94001 €</v>
      </c>
    </row>
    <row r="15" spans="1:34" s="14" customFormat="1" x14ac:dyDescent="0.25">
      <c r="A15" s="46" t="s">
        <v>59</v>
      </c>
      <c r="B15" s="32" t="s">
        <v>60</v>
      </c>
      <c r="C15" s="47" t="s">
        <v>61</v>
      </c>
      <c r="D15" s="48" t="s">
        <v>9</v>
      </c>
      <c r="E15" s="97">
        <v>60</v>
      </c>
      <c r="F15" s="49">
        <v>2</v>
      </c>
      <c r="G15" s="48" t="s">
        <v>30</v>
      </c>
      <c r="H15" s="50">
        <v>6924</v>
      </c>
      <c r="I15" s="51"/>
      <c r="J15" s="51"/>
      <c r="K15" s="51"/>
      <c r="L15" s="52">
        <f>(H15*13.1)+I15+J15+K15</f>
        <v>90704.4</v>
      </c>
      <c r="M15" s="6">
        <f>IF(N15="","",LignesVisibles($N$2:N15))</f>
        <v>14</v>
      </c>
      <c r="N15" s="108" t="str">
        <f>Tableau1[[#This Row],[Directeur]]</f>
        <v>Marseille</v>
      </c>
      <c r="O15" s="6">
        <f t="shared" si="10"/>
        <v>90704.4</v>
      </c>
      <c r="P15" s="6" t="e">
        <f t="shared" si="11"/>
        <v>#N/A</v>
      </c>
      <c r="Q15" s="30">
        <f t="shared" si="12"/>
        <v>90704.4</v>
      </c>
      <c r="R15" s="6" t="str">
        <f t="shared" si="13"/>
        <v>Homme</v>
      </c>
      <c r="S15" s="6" t="str">
        <f t="shared" si="14"/>
        <v>Marseille
Test13</v>
      </c>
      <c r="T15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m
Sexe : Homme
Âge : 60 ans
Rémunération : 90 704 €</v>
      </c>
      <c r="U15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m
Sexe : Homme
Ancienneté : 2 ans
Rémunération : 90704,4 €</v>
      </c>
      <c r="V15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m
Sexe : Homme
Directeur : Marseille
Société : Test13
Rémunération : 90704,4 €</v>
      </c>
    </row>
    <row r="16" spans="1:34" s="14" customFormat="1" x14ac:dyDescent="0.25">
      <c r="A16" s="46" t="s">
        <v>59</v>
      </c>
      <c r="B16" s="32" t="s">
        <v>62</v>
      </c>
      <c r="C16" s="47" t="s">
        <v>63</v>
      </c>
      <c r="D16" s="48" t="s">
        <v>9</v>
      </c>
      <c r="E16" s="97">
        <v>55</v>
      </c>
      <c r="F16" s="49">
        <v>26</v>
      </c>
      <c r="G16" s="48" t="s">
        <v>64</v>
      </c>
      <c r="H16" s="50">
        <v>7100</v>
      </c>
      <c r="I16" s="51"/>
      <c r="J16" s="51"/>
      <c r="K16" s="51"/>
      <c r="L16" s="52">
        <f>(H16*13.1)+I16+J16+K16</f>
        <v>93010</v>
      </c>
      <c r="M16" s="6">
        <f>IF(N16="","",LignesVisibles($N$2:N16))</f>
        <v>15</v>
      </c>
      <c r="N16" s="108" t="str">
        <f>Tableau1[[#This Row],[Directeur]]</f>
        <v>Marseille</v>
      </c>
      <c r="O16" s="6">
        <f t="shared" si="10"/>
        <v>93010</v>
      </c>
      <c r="P16" s="6" t="e">
        <f t="shared" si="11"/>
        <v>#N/A</v>
      </c>
      <c r="Q16" s="30">
        <f t="shared" si="12"/>
        <v>93010</v>
      </c>
      <c r="R16" s="6" t="str">
        <f t="shared" si="13"/>
        <v>Homme</v>
      </c>
      <c r="S16" s="6" t="str">
        <f t="shared" si="14"/>
        <v>Marseille
Test14</v>
      </c>
      <c r="T16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n
Sexe : Homme
Âge : 55 ans
Rémunération : 93 010 €</v>
      </c>
      <c r="U16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n
Sexe : Homme
Ancienneté : 26 ans
Rémunération : 93010 €</v>
      </c>
      <c r="V16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n
Sexe : Homme
Directeur : Marseille
Société : Test14
Rémunération : 93010 €</v>
      </c>
    </row>
    <row r="17" spans="1:22" s="14" customFormat="1" x14ac:dyDescent="0.25">
      <c r="A17" s="46" t="s">
        <v>59</v>
      </c>
      <c r="B17" s="32" t="s">
        <v>65</v>
      </c>
      <c r="C17" s="53" t="s">
        <v>66</v>
      </c>
      <c r="D17" s="54" t="s">
        <v>9</v>
      </c>
      <c r="E17" s="98">
        <v>52</v>
      </c>
      <c r="F17" s="54">
        <v>1</v>
      </c>
      <c r="G17" s="54" t="s">
        <v>29</v>
      </c>
      <c r="H17" s="55">
        <v>6850</v>
      </c>
      <c r="I17" s="56"/>
      <c r="J17" s="56"/>
      <c r="K17" s="56"/>
      <c r="L17" s="52">
        <f>(H17*13.4)+I17+J17+K17</f>
        <v>91790</v>
      </c>
      <c r="M17" s="6">
        <f>IF(N17="","",LignesVisibles($N$2:N17))</f>
        <v>16</v>
      </c>
      <c r="N17" s="108" t="str">
        <f>Tableau1[[#This Row],[Directeur]]</f>
        <v>Marseille</v>
      </c>
      <c r="O17" s="6">
        <f t="shared" si="10"/>
        <v>91790</v>
      </c>
      <c r="P17" s="6" t="e">
        <f t="shared" si="11"/>
        <v>#N/A</v>
      </c>
      <c r="Q17" s="30">
        <f t="shared" si="12"/>
        <v>91790</v>
      </c>
      <c r="R17" s="6" t="str">
        <f t="shared" si="13"/>
        <v>Homme</v>
      </c>
      <c r="S17" s="6" t="str">
        <f t="shared" si="14"/>
        <v>Marseille
Test15</v>
      </c>
      <c r="T17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o
Sexe : Homme
Âge : 52 ans
Rémunération : 91 790 €</v>
      </c>
      <c r="U17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o
Sexe : Homme
Ancienneté : 1 ans
Rémunération : 91790 €</v>
      </c>
      <c r="V17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o
Sexe : Homme
Directeur : Marseille
Société : Test15
Rémunération : 91790 €</v>
      </c>
    </row>
    <row r="18" spans="1:22" s="14" customFormat="1" x14ac:dyDescent="0.25">
      <c r="A18" s="46" t="s">
        <v>59</v>
      </c>
      <c r="B18" s="32" t="s">
        <v>67</v>
      </c>
      <c r="C18" s="53" t="s">
        <v>68</v>
      </c>
      <c r="D18" s="48" t="s">
        <v>9</v>
      </c>
      <c r="E18" s="97">
        <v>57</v>
      </c>
      <c r="F18" s="48">
        <v>34</v>
      </c>
      <c r="G18" s="48" t="s">
        <v>30</v>
      </c>
      <c r="H18" s="50">
        <v>7600</v>
      </c>
      <c r="I18" s="51"/>
      <c r="J18" s="51"/>
      <c r="K18" s="51"/>
      <c r="L18" s="52">
        <f>(H18*12)+I18+J18+K18</f>
        <v>91200</v>
      </c>
      <c r="M18" s="6">
        <f>IF(N18="","",LignesVisibles($N$2:N18))</f>
        <v>17</v>
      </c>
      <c r="N18" s="108" t="str">
        <f>Tableau1[[#This Row],[Directeur]]</f>
        <v>Marseille</v>
      </c>
      <c r="O18" s="6">
        <f t="shared" ref="O18:O25" si="15">IF(N18&lt;&gt;"",IF($D18="H",$L18,NA()),"")</f>
        <v>91200</v>
      </c>
      <c r="P18" s="6" t="e">
        <f t="shared" ref="P18:P25" si="16">IF(N18&lt;&gt;"",IF(D18="F",L18,NA()),"")</f>
        <v>#N/A</v>
      </c>
      <c r="Q18" s="30">
        <f t="shared" ref="Q18:Q25" si="17">IF(N18&lt;&gt;"",$L18,NA())</f>
        <v>91200</v>
      </c>
      <c r="R18" s="6" t="str">
        <f t="shared" ref="R18:R25" si="18">IF(N18&lt;&gt;"",IF($D18="H","Homme","Femme"),"")</f>
        <v>Homme</v>
      </c>
      <c r="S18" s="6" t="str">
        <f t="shared" ref="S18:S25" si="19">IF(N18&lt;&gt;"",A18&amp;CHAR(10)&amp;B18,"")</f>
        <v>Marseille
Test16</v>
      </c>
      <c r="T18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p
Sexe : Homme
Âge : 57 ans
Rémunération : 91 200 €</v>
      </c>
      <c r="U18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p
Sexe : Homme
Ancienneté : 34 ans
Rémunération : 91200 €</v>
      </c>
      <c r="V18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p
Sexe : Homme
Directeur : Marseille
Société : Test16
Rémunération : 91200 €</v>
      </c>
    </row>
    <row r="19" spans="1:22" s="14" customFormat="1" x14ac:dyDescent="0.25">
      <c r="A19" s="46" t="s">
        <v>59</v>
      </c>
      <c r="B19" s="32" t="s">
        <v>69</v>
      </c>
      <c r="C19" s="47" t="s">
        <v>70</v>
      </c>
      <c r="D19" s="48" t="s">
        <v>9</v>
      </c>
      <c r="E19" s="97">
        <v>54</v>
      </c>
      <c r="F19" s="49"/>
      <c r="G19" s="48"/>
      <c r="H19" s="50">
        <v>7500</v>
      </c>
      <c r="I19" s="51"/>
      <c r="J19" s="51"/>
      <c r="K19" s="51"/>
      <c r="L19" s="52">
        <f>(H19*12)+I19+J19+K19</f>
        <v>90000</v>
      </c>
      <c r="M19" s="6">
        <f>IF(N19="","",LignesVisibles($N$2:N19))</f>
        <v>18</v>
      </c>
      <c r="N19" s="108" t="str">
        <f>Tableau1[[#This Row],[Directeur]]</f>
        <v>Marseille</v>
      </c>
      <c r="O19" s="6">
        <f t="shared" si="15"/>
        <v>90000</v>
      </c>
      <c r="P19" s="6" t="e">
        <f t="shared" si="16"/>
        <v>#N/A</v>
      </c>
      <c r="Q19" s="30">
        <f t="shared" si="17"/>
        <v>90000</v>
      </c>
      <c r="R19" s="6" t="str">
        <f t="shared" si="18"/>
        <v>Homme</v>
      </c>
      <c r="S19" s="6" t="str">
        <f t="shared" si="19"/>
        <v>Marseille
Test17</v>
      </c>
      <c r="T19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q
Sexe : Homme
Âge : 54 ans
Rémunération : 90 000 €</v>
      </c>
      <c r="U19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q
Sexe : Homme
Ancienneté :  ans
Rémunération : 90000 €</v>
      </c>
      <c r="V19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q
Sexe : Homme
Directeur : Marseille
Société : Test17
Rémunération : 90000 €</v>
      </c>
    </row>
    <row r="20" spans="1:22" s="14" customFormat="1" x14ac:dyDescent="0.25">
      <c r="A20" s="46" t="s">
        <v>59</v>
      </c>
      <c r="B20" s="32" t="s">
        <v>71</v>
      </c>
      <c r="C20" s="53" t="s">
        <v>72</v>
      </c>
      <c r="D20" s="48" t="s">
        <v>9</v>
      </c>
      <c r="E20" s="97">
        <v>39</v>
      </c>
      <c r="F20" s="49">
        <v>7</v>
      </c>
      <c r="G20" s="48" t="s">
        <v>29</v>
      </c>
      <c r="H20" s="50">
        <v>5675</v>
      </c>
      <c r="I20" s="51"/>
      <c r="J20" s="51"/>
      <c r="K20" s="51"/>
      <c r="L20" s="52">
        <f>(H20*13.4)+I20+J20+K20</f>
        <v>76045</v>
      </c>
      <c r="M20" s="6">
        <f>IF(N20="","",LignesVisibles($N$2:N20))</f>
        <v>19</v>
      </c>
      <c r="N20" s="108" t="str">
        <f>Tableau1[[#This Row],[Directeur]]</f>
        <v>Marseille</v>
      </c>
      <c r="O20" s="6">
        <f t="shared" si="15"/>
        <v>76045</v>
      </c>
      <c r="P20" s="6" t="e">
        <f t="shared" si="16"/>
        <v>#N/A</v>
      </c>
      <c r="Q20" s="30">
        <f t="shared" si="17"/>
        <v>76045</v>
      </c>
      <c r="R20" s="6" t="str">
        <f t="shared" si="18"/>
        <v>Homme</v>
      </c>
      <c r="S20" s="6" t="str">
        <f t="shared" si="19"/>
        <v>Marseille
Test18</v>
      </c>
      <c r="T20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r
Sexe : Homme
Âge : 39 ans
Rémunération : 76 045 €</v>
      </c>
      <c r="U20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r
Sexe : Homme
Ancienneté : 7 ans
Rémunération : 76045 €</v>
      </c>
      <c r="V20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r
Sexe : Homme
Directeur : Marseille
Société : Test18
Rémunération : 76045 €</v>
      </c>
    </row>
    <row r="21" spans="1:22" s="14" customFormat="1" x14ac:dyDescent="0.25">
      <c r="A21" s="57" t="s">
        <v>73</v>
      </c>
      <c r="B21" s="32" t="s">
        <v>74</v>
      </c>
      <c r="C21" s="58" t="s">
        <v>75</v>
      </c>
      <c r="D21" s="59" t="s">
        <v>9</v>
      </c>
      <c r="E21" s="99">
        <v>61</v>
      </c>
      <c r="F21" s="60">
        <v>17</v>
      </c>
      <c r="G21" s="59" t="s">
        <v>64</v>
      </c>
      <c r="H21" s="61">
        <v>7800</v>
      </c>
      <c r="I21" s="62"/>
      <c r="J21" s="62"/>
      <c r="K21" s="62"/>
      <c r="L21" s="63">
        <f>(H21*12.3)+I21+J21+K21</f>
        <v>95940</v>
      </c>
      <c r="M21" s="6">
        <f>IF(N21="","",LignesVisibles($N$2:N21))</f>
        <v>20</v>
      </c>
      <c r="N21" s="108" t="str">
        <f>Tableau1[[#This Row],[Directeur]]</f>
        <v>Paris</v>
      </c>
      <c r="O21" s="6">
        <f t="shared" si="15"/>
        <v>95940</v>
      </c>
      <c r="P21" s="6" t="e">
        <f t="shared" si="16"/>
        <v>#N/A</v>
      </c>
      <c r="Q21" s="30">
        <f t="shared" si="17"/>
        <v>95940</v>
      </c>
      <c r="R21" s="6" t="str">
        <f t="shared" si="18"/>
        <v>Homme</v>
      </c>
      <c r="S21" s="6" t="str">
        <f t="shared" si="19"/>
        <v>Paris
Test19</v>
      </c>
      <c r="T21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s
Sexe : Homme
Âge : 61 ans
Rémunération : 95 940 €</v>
      </c>
      <c r="U21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s
Sexe : Homme
Ancienneté : 17 ans
Rémunération : 95940 €</v>
      </c>
      <c r="V21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s
Sexe : Homme
Directeur : Paris
Société : Test19
Rémunération : 95940 €</v>
      </c>
    </row>
    <row r="22" spans="1:22" s="14" customFormat="1" x14ac:dyDescent="0.25">
      <c r="A22" s="57" t="s">
        <v>73</v>
      </c>
      <c r="B22" s="32" t="s">
        <v>76</v>
      </c>
      <c r="C22" s="64" t="s">
        <v>77</v>
      </c>
      <c r="D22" s="59" t="s">
        <v>9</v>
      </c>
      <c r="E22" s="99">
        <v>54</v>
      </c>
      <c r="F22" s="60">
        <v>27</v>
      </c>
      <c r="G22" s="59" t="s">
        <v>29</v>
      </c>
      <c r="H22" s="61">
        <v>6750</v>
      </c>
      <c r="I22" s="62"/>
      <c r="J22" s="62"/>
      <c r="K22" s="62"/>
      <c r="L22" s="63">
        <f>(H22*12.3)+I22+J22+K22</f>
        <v>83025</v>
      </c>
      <c r="M22" s="6">
        <f>IF(N22="","",LignesVisibles($N$2:N22))</f>
        <v>21</v>
      </c>
      <c r="N22" s="108" t="str">
        <f>Tableau1[[#This Row],[Directeur]]</f>
        <v>Paris</v>
      </c>
      <c r="O22" s="6">
        <f t="shared" si="15"/>
        <v>83025</v>
      </c>
      <c r="P22" s="6" t="e">
        <f t="shared" si="16"/>
        <v>#N/A</v>
      </c>
      <c r="Q22" s="30">
        <f t="shared" si="17"/>
        <v>83025</v>
      </c>
      <c r="R22" s="6" t="str">
        <f t="shared" si="18"/>
        <v>Homme</v>
      </c>
      <c r="S22" s="6" t="str">
        <f t="shared" si="19"/>
        <v>Paris
Test20</v>
      </c>
      <c r="T22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t
Sexe : Homme
Âge : 54 ans
Rémunération : 83 025 €</v>
      </c>
      <c r="U22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t
Sexe : Homme
Ancienneté : 27 ans
Rémunération : 83025 €</v>
      </c>
      <c r="V22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t
Sexe : Homme
Directeur : Paris
Société : Test20
Rémunération : 83025 €</v>
      </c>
    </row>
    <row r="23" spans="1:22" s="14" customFormat="1" x14ac:dyDescent="0.25">
      <c r="A23" s="57" t="s">
        <v>73</v>
      </c>
      <c r="B23" s="32" t="s">
        <v>78</v>
      </c>
      <c r="C23" s="65" t="s">
        <v>79</v>
      </c>
      <c r="D23" s="66" t="s">
        <v>9</v>
      </c>
      <c r="E23" s="100">
        <v>50</v>
      </c>
      <c r="F23" s="67"/>
      <c r="G23" s="59"/>
      <c r="H23" s="61">
        <v>5762</v>
      </c>
      <c r="I23" s="62"/>
      <c r="J23" s="62"/>
      <c r="K23" s="62"/>
      <c r="L23" s="68">
        <f>(H23*12.5)+I23+J23+K23</f>
        <v>72025</v>
      </c>
      <c r="M23" s="6">
        <f>IF(N23="","",LignesVisibles($N$2:N23))</f>
        <v>22</v>
      </c>
      <c r="N23" s="108" t="str">
        <f>Tableau1[[#This Row],[Directeur]]</f>
        <v>Paris</v>
      </c>
      <c r="O23" s="6">
        <f t="shared" si="15"/>
        <v>72025</v>
      </c>
      <c r="P23" s="6" t="e">
        <f t="shared" si="16"/>
        <v>#N/A</v>
      </c>
      <c r="Q23" s="30">
        <f t="shared" si="17"/>
        <v>72025</v>
      </c>
      <c r="R23" s="6" t="str">
        <f t="shared" si="18"/>
        <v>Homme</v>
      </c>
      <c r="S23" s="6" t="str">
        <f t="shared" si="19"/>
        <v>Paris
Test21</v>
      </c>
      <c r="T23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u
Sexe : Homme
Âge : 50 ans
Rémunération : 72 025 €</v>
      </c>
      <c r="U23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u
Sexe : Homme
Ancienneté :  ans
Rémunération : 72025 €</v>
      </c>
      <c r="V23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u
Sexe : Homme
Directeur : Paris
Société : Test21
Rémunération : 72025 €</v>
      </c>
    </row>
    <row r="24" spans="1:22" s="14" customFormat="1" x14ac:dyDescent="0.25">
      <c r="A24" s="57" t="s">
        <v>73</v>
      </c>
      <c r="B24" s="32" t="s">
        <v>80</v>
      </c>
      <c r="C24" s="65" t="s">
        <v>81</v>
      </c>
      <c r="D24" s="66" t="s">
        <v>9</v>
      </c>
      <c r="E24" s="100">
        <v>51</v>
      </c>
      <c r="F24" s="59">
        <v>23</v>
      </c>
      <c r="G24" s="59" t="s">
        <v>29</v>
      </c>
      <c r="H24" s="61">
        <v>7190</v>
      </c>
      <c r="I24" s="62"/>
      <c r="J24" s="62"/>
      <c r="K24" s="62"/>
      <c r="L24" s="63">
        <f>(H24*12.3)+I24+J24+K24</f>
        <v>88437</v>
      </c>
      <c r="M24" s="6">
        <f>IF(N24="","",LignesVisibles($N$2:N24))</f>
        <v>23</v>
      </c>
      <c r="N24" s="108" t="str">
        <f>Tableau1[[#This Row],[Directeur]]</f>
        <v>Paris</v>
      </c>
      <c r="O24" s="6">
        <f t="shared" si="15"/>
        <v>88437</v>
      </c>
      <c r="P24" s="6" t="e">
        <f t="shared" si="16"/>
        <v>#N/A</v>
      </c>
      <c r="Q24" s="30">
        <f t="shared" si="17"/>
        <v>88437</v>
      </c>
      <c r="R24" s="6" t="str">
        <f t="shared" si="18"/>
        <v>Homme</v>
      </c>
      <c r="S24" s="6" t="str">
        <f t="shared" si="19"/>
        <v>Paris
Test22</v>
      </c>
      <c r="T24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v
Sexe : Homme
Âge : 51 ans
Rémunération : 88 437 €</v>
      </c>
      <c r="U24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v
Sexe : Homme
Ancienneté : 23 ans
Rémunération : 88437 €</v>
      </c>
      <c r="V24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v
Sexe : Homme
Directeur : Paris
Société : Test22
Rémunération : 88437 €</v>
      </c>
    </row>
    <row r="25" spans="1:22" s="14" customFormat="1" x14ac:dyDescent="0.25">
      <c r="A25" s="57" t="s">
        <v>73</v>
      </c>
      <c r="B25" s="32" t="s">
        <v>82</v>
      </c>
      <c r="C25" s="58" t="s">
        <v>83</v>
      </c>
      <c r="D25" s="69" t="s">
        <v>9</v>
      </c>
      <c r="E25" s="101">
        <v>43</v>
      </c>
      <c r="F25" s="69">
        <v>17</v>
      </c>
      <c r="G25" s="69" t="s">
        <v>30</v>
      </c>
      <c r="H25" s="70">
        <v>6950</v>
      </c>
      <c r="I25" s="71"/>
      <c r="J25" s="71"/>
      <c r="K25" s="71"/>
      <c r="L25" s="63">
        <f>(H25*12)+I25+J25+K25</f>
        <v>83400</v>
      </c>
      <c r="M25" s="6">
        <f>IF(N25="","",LignesVisibles($N$2:N25))</f>
        <v>24</v>
      </c>
      <c r="N25" s="108" t="str">
        <f>Tableau1[[#This Row],[Directeur]]</f>
        <v>Paris</v>
      </c>
      <c r="O25" s="6">
        <f t="shared" si="15"/>
        <v>83400</v>
      </c>
      <c r="P25" s="6" t="e">
        <f t="shared" si="16"/>
        <v>#N/A</v>
      </c>
      <c r="Q25" s="30">
        <f t="shared" si="17"/>
        <v>83400</v>
      </c>
      <c r="R25" s="6" t="str">
        <f t="shared" si="18"/>
        <v>Homme</v>
      </c>
      <c r="S25" s="6" t="str">
        <f t="shared" si="19"/>
        <v>Paris
Test23</v>
      </c>
      <c r="T25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w
Sexe : Homme
Âge : 43 ans
Rémunération : 83 400 €</v>
      </c>
      <c r="U25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w
Sexe : Homme
Ancienneté : 17 ans
Rémunération : 83400 €</v>
      </c>
      <c r="V25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w
Sexe : Homme
Directeur : Paris
Société : Test23
Rémunération : 83400 €</v>
      </c>
    </row>
    <row r="26" spans="1:22" s="14" customFormat="1" x14ac:dyDescent="0.25">
      <c r="A26" s="57" t="s">
        <v>73</v>
      </c>
      <c r="B26" s="32" t="s">
        <v>84</v>
      </c>
      <c r="C26" s="72" t="s">
        <v>85</v>
      </c>
      <c r="D26" s="59" t="s">
        <v>9</v>
      </c>
      <c r="E26" s="99">
        <v>41</v>
      </c>
      <c r="F26" s="60">
        <v>13</v>
      </c>
      <c r="G26" s="59" t="s">
        <v>29</v>
      </c>
      <c r="H26" s="61">
        <v>6170</v>
      </c>
      <c r="I26" s="62"/>
      <c r="J26" s="62"/>
      <c r="K26" s="62"/>
      <c r="L26" s="63">
        <f>(H26*12.3)+I26+J26+K26</f>
        <v>75891</v>
      </c>
      <c r="M26" s="6">
        <f>IF(N26="","",LignesVisibles($N$2:N26))</f>
        <v>25</v>
      </c>
      <c r="N26" s="108" t="str">
        <f>Tableau1[[#This Row],[Directeur]]</f>
        <v>Paris</v>
      </c>
      <c r="O26" s="6">
        <f t="shared" ref="O26:O33" si="20">IF(N26&lt;&gt;"",IF($D26="H",$L26,NA()),"")</f>
        <v>75891</v>
      </c>
      <c r="P26" s="6" t="e">
        <f t="shared" ref="P26:P33" si="21">IF(N26&lt;&gt;"",IF(D26="F",L26,NA()),"")</f>
        <v>#N/A</v>
      </c>
      <c r="Q26" s="30">
        <f t="shared" ref="Q26:Q33" si="22">IF(N26&lt;&gt;"",$L26,NA())</f>
        <v>75891</v>
      </c>
      <c r="R26" s="6" t="str">
        <f t="shared" ref="R26:R33" si="23">IF(N26&lt;&gt;"",IF($D26="H","Homme","Femme"),"")</f>
        <v>Homme</v>
      </c>
      <c r="S26" s="6" t="str">
        <f t="shared" ref="S26:S33" si="24">IF(N26&lt;&gt;"",A26&amp;CHAR(10)&amp;B26,"")</f>
        <v>Paris
Test24</v>
      </c>
      <c r="T26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x
Sexe : Homme
Âge : 41 ans
Rémunération : 75 891 €</v>
      </c>
      <c r="U26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x
Sexe : Homme
Ancienneté : 13 ans
Rémunération : 75891 €</v>
      </c>
      <c r="V26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x
Sexe : Homme
Directeur : Paris
Société : Test24
Rémunération : 75891 €</v>
      </c>
    </row>
    <row r="27" spans="1:22" s="14" customFormat="1" x14ac:dyDescent="0.25">
      <c r="A27" s="57" t="s">
        <v>73</v>
      </c>
      <c r="B27" s="32" t="s">
        <v>86</v>
      </c>
      <c r="C27" s="72" t="s">
        <v>87</v>
      </c>
      <c r="D27" s="59" t="s">
        <v>9</v>
      </c>
      <c r="E27" s="99">
        <v>54</v>
      </c>
      <c r="F27" s="60">
        <v>27</v>
      </c>
      <c r="G27" s="59" t="s">
        <v>29</v>
      </c>
      <c r="H27" s="61">
        <v>7320</v>
      </c>
      <c r="I27" s="62"/>
      <c r="J27" s="62"/>
      <c r="K27" s="62"/>
      <c r="L27" s="63">
        <f>(H27*12.3)+I27+J27+K27</f>
        <v>90036</v>
      </c>
      <c r="M27" s="6">
        <f>IF(N27="","",LignesVisibles($N$2:N27))</f>
        <v>26</v>
      </c>
      <c r="N27" s="108" t="str">
        <f>Tableau1[[#This Row],[Directeur]]</f>
        <v>Paris</v>
      </c>
      <c r="O27" s="6">
        <f t="shared" si="20"/>
        <v>90036</v>
      </c>
      <c r="P27" s="6" t="e">
        <f t="shared" si="21"/>
        <v>#N/A</v>
      </c>
      <c r="Q27" s="30">
        <f t="shared" si="22"/>
        <v>90036</v>
      </c>
      <c r="R27" s="6" t="str">
        <f t="shared" si="23"/>
        <v>Homme</v>
      </c>
      <c r="S27" s="6" t="str">
        <f t="shared" si="24"/>
        <v>Paris
Test25</v>
      </c>
      <c r="T27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y
Sexe : Homme
Âge : 54 ans
Rémunération : 90 036 €</v>
      </c>
      <c r="U27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y
Sexe : Homme
Ancienneté : 27 ans
Rémunération : 90036 €</v>
      </c>
      <c r="V27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y
Sexe : Homme
Directeur : Paris
Société : Test25
Rémunération : 90036 €</v>
      </c>
    </row>
    <row r="28" spans="1:22" s="14" customFormat="1" x14ac:dyDescent="0.25">
      <c r="A28" s="73" t="s">
        <v>88</v>
      </c>
      <c r="B28" s="32" t="s">
        <v>89</v>
      </c>
      <c r="C28" s="73" t="s">
        <v>90</v>
      </c>
      <c r="D28" s="74" t="s">
        <v>9</v>
      </c>
      <c r="E28" s="102">
        <v>45</v>
      </c>
      <c r="F28" s="75">
        <v>22</v>
      </c>
      <c r="G28" s="74" t="s">
        <v>29</v>
      </c>
      <c r="H28" s="76">
        <v>6470</v>
      </c>
      <c r="I28" s="77"/>
      <c r="J28" s="77"/>
      <c r="K28" s="77"/>
      <c r="L28" s="78">
        <f>(H28*13.4)+I28+J28+K28</f>
        <v>86698</v>
      </c>
      <c r="M28" s="6">
        <f>IF(N28="","",LignesVisibles($N$2:N28))</f>
        <v>27</v>
      </c>
      <c r="N28" s="108" t="str">
        <f>Tableau1[[#This Row],[Directeur]]</f>
        <v>Strasbourg</v>
      </c>
      <c r="O28" s="6">
        <f t="shared" si="20"/>
        <v>86698</v>
      </c>
      <c r="P28" s="6" t="e">
        <f t="shared" si="21"/>
        <v>#N/A</v>
      </c>
      <c r="Q28" s="30">
        <f t="shared" si="22"/>
        <v>86698</v>
      </c>
      <c r="R28" s="6" t="str">
        <f t="shared" si="23"/>
        <v>Homme</v>
      </c>
      <c r="S28" s="6" t="str">
        <f t="shared" si="24"/>
        <v>Strasbourg
Test26</v>
      </c>
      <c r="T28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z
Sexe : Homme
Âge : 45 ans
Rémunération : 86 698 €</v>
      </c>
      <c r="U28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z
Sexe : Homme
Ancienneté : 22 ans
Rémunération : 86698 €</v>
      </c>
      <c r="V28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z
Sexe : Homme
Directeur : Strasbourg
Société : Test26
Rémunération : 86698 €</v>
      </c>
    </row>
    <row r="29" spans="1:22" s="14" customFormat="1" x14ac:dyDescent="0.25">
      <c r="A29" s="73" t="s">
        <v>88</v>
      </c>
      <c r="B29" s="32" t="s">
        <v>91</v>
      </c>
      <c r="C29" s="79" t="s">
        <v>92</v>
      </c>
      <c r="D29" s="74" t="s">
        <v>9</v>
      </c>
      <c r="E29" s="102">
        <v>44</v>
      </c>
      <c r="F29" s="75">
        <v>21</v>
      </c>
      <c r="G29" s="74" t="s">
        <v>29</v>
      </c>
      <c r="H29" s="76">
        <v>6140</v>
      </c>
      <c r="I29" s="77"/>
      <c r="J29" s="77"/>
      <c r="K29" s="77"/>
      <c r="L29" s="78">
        <f>(H29*12.3)+I29+J29+K29</f>
        <v>75522</v>
      </c>
      <c r="M29" s="6">
        <f>IF(N29="","",LignesVisibles($N$2:N29))</f>
        <v>28</v>
      </c>
      <c r="N29" s="108" t="str">
        <f>Tableau1[[#This Row],[Directeur]]</f>
        <v>Strasbourg</v>
      </c>
      <c r="O29" s="6">
        <f t="shared" si="20"/>
        <v>75522</v>
      </c>
      <c r="P29" s="6" t="e">
        <f t="shared" si="21"/>
        <v>#N/A</v>
      </c>
      <c r="Q29" s="30">
        <f t="shared" si="22"/>
        <v>75522</v>
      </c>
      <c r="R29" s="6" t="str">
        <f t="shared" si="23"/>
        <v>Homme</v>
      </c>
      <c r="S29" s="6" t="str">
        <f t="shared" si="24"/>
        <v>Strasbourg
Test27</v>
      </c>
      <c r="T29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aa
Sexe : Homme
Âge : 44 ans
Rémunération : 75 522 €</v>
      </c>
      <c r="U29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aa
Sexe : Homme
Ancienneté : 21 ans
Rémunération : 75522 €</v>
      </c>
      <c r="V29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aa
Sexe : Homme
Directeur : Strasbourg
Société : Test27
Rémunération : 75522 €</v>
      </c>
    </row>
    <row r="30" spans="1:22" s="14" customFormat="1" x14ac:dyDescent="0.25">
      <c r="A30" s="73" t="s">
        <v>88</v>
      </c>
      <c r="B30" s="32" t="s">
        <v>93</v>
      </c>
      <c r="C30" s="79" t="s">
        <v>94</v>
      </c>
      <c r="D30" s="74" t="s">
        <v>9</v>
      </c>
      <c r="E30" s="102">
        <v>50</v>
      </c>
      <c r="F30" s="75">
        <v>23</v>
      </c>
      <c r="G30" s="74" t="s">
        <v>29</v>
      </c>
      <c r="H30" s="76">
        <v>6490</v>
      </c>
      <c r="I30" s="77"/>
      <c r="J30" s="77"/>
      <c r="K30" s="77"/>
      <c r="L30" s="78">
        <f>(H30*12.3)+I30+J30+K30</f>
        <v>79827</v>
      </c>
      <c r="M30" s="6">
        <f>IF(N30="","",LignesVisibles($N$2:N30))</f>
        <v>29</v>
      </c>
      <c r="N30" s="108" t="str">
        <f>Tableau1[[#This Row],[Directeur]]</f>
        <v>Strasbourg</v>
      </c>
      <c r="O30" s="6">
        <f t="shared" si="20"/>
        <v>79827</v>
      </c>
      <c r="P30" s="6" t="e">
        <f t="shared" si="21"/>
        <v>#N/A</v>
      </c>
      <c r="Q30" s="30">
        <f t="shared" si="22"/>
        <v>79827</v>
      </c>
      <c r="R30" s="6" t="str">
        <f t="shared" si="23"/>
        <v>Homme</v>
      </c>
      <c r="S30" s="6" t="str">
        <f t="shared" si="24"/>
        <v>Strasbourg
Test28</v>
      </c>
      <c r="T30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bb
Sexe : Homme
Âge : 50 ans
Rémunération : 79 827 €</v>
      </c>
      <c r="U30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bb
Sexe : Homme
Ancienneté : 23 ans
Rémunération : 79827 €</v>
      </c>
      <c r="V30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bb
Sexe : Homme
Directeur : Strasbourg
Société : Test28
Rémunération : 79827 €</v>
      </c>
    </row>
    <row r="31" spans="1:22" s="14" customFormat="1" x14ac:dyDescent="0.25">
      <c r="A31" s="73" t="s">
        <v>88</v>
      </c>
      <c r="B31" s="32" t="s">
        <v>95</v>
      </c>
      <c r="C31" s="79" t="s">
        <v>96</v>
      </c>
      <c r="D31" s="74" t="s">
        <v>9</v>
      </c>
      <c r="E31" s="102">
        <v>57</v>
      </c>
      <c r="F31" s="75">
        <v>12</v>
      </c>
      <c r="G31" s="74" t="s">
        <v>29</v>
      </c>
      <c r="H31" s="76">
        <v>6850</v>
      </c>
      <c r="I31" s="77"/>
      <c r="J31" s="77"/>
      <c r="K31" s="77"/>
      <c r="L31" s="78">
        <f>(H31*12.3)+I31+J31+K31</f>
        <v>84255</v>
      </c>
      <c r="M31" s="6">
        <f>IF(N31="","",LignesVisibles($N$2:N31))</f>
        <v>30</v>
      </c>
      <c r="N31" s="108" t="str">
        <f>Tableau1[[#This Row],[Directeur]]</f>
        <v>Strasbourg</v>
      </c>
      <c r="O31" s="6">
        <f t="shared" si="20"/>
        <v>84255</v>
      </c>
      <c r="P31" s="6" t="e">
        <f t="shared" si="21"/>
        <v>#N/A</v>
      </c>
      <c r="Q31" s="30">
        <f t="shared" si="22"/>
        <v>84255</v>
      </c>
      <c r="R31" s="6" t="str">
        <f t="shared" si="23"/>
        <v>Homme</v>
      </c>
      <c r="S31" s="6" t="str">
        <f t="shared" si="24"/>
        <v>Strasbourg
Test29</v>
      </c>
      <c r="T31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cc
Sexe : Homme
Âge : 57 ans
Rémunération : 84 255 €</v>
      </c>
      <c r="U31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cc
Sexe : Homme
Ancienneté : 12 ans
Rémunération : 84255 €</v>
      </c>
      <c r="V31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cc
Sexe : Homme
Directeur : Strasbourg
Société : Test29
Rémunération : 84255 €</v>
      </c>
    </row>
    <row r="32" spans="1:22" s="14" customFormat="1" x14ac:dyDescent="0.25">
      <c r="A32" s="73" t="s">
        <v>88</v>
      </c>
      <c r="B32" s="32" t="s">
        <v>97</v>
      </c>
      <c r="C32" s="79" t="s">
        <v>98</v>
      </c>
      <c r="D32" s="74" t="s">
        <v>9</v>
      </c>
      <c r="E32" s="102">
        <v>51</v>
      </c>
      <c r="F32" s="75">
        <v>10</v>
      </c>
      <c r="G32" s="74"/>
      <c r="H32" s="76">
        <v>7150</v>
      </c>
      <c r="I32" s="77"/>
      <c r="J32" s="77"/>
      <c r="K32" s="77"/>
      <c r="L32" s="78">
        <f>(H32*12)+I32+J32+K32</f>
        <v>85800</v>
      </c>
      <c r="M32" s="6">
        <f>IF(N32="","",LignesVisibles($N$2:N32))</f>
        <v>31</v>
      </c>
      <c r="N32" s="108" t="str">
        <f>Tableau1[[#This Row],[Directeur]]</f>
        <v>Strasbourg</v>
      </c>
      <c r="O32" s="6">
        <f t="shared" si="20"/>
        <v>85800</v>
      </c>
      <c r="P32" s="6" t="e">
        <f t="shared" si="21"/>
        <v>#N/A</v>
      </c>
      <c r="Q32" s="30">
        <f t="shared" si="22"/>
        <v>85800</v>
      </c>
      <c r="R32" s="6" t="str">
        <f t="shared" si="23"/>
        <v>Homme</v>
      </c>
      <c r="S32" s="6" t="str">
        <f t="shared" si="24"/>
        <v>Strasbourg
Test30</v>
      </c>
      <c r="T32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dd
Sexe : Homme
Âge : 51 ans
Rémunération : 85 800 €</v>
      </c>
      <c r="U32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dd
Sexe : Homme
Ancienneté : 10 ans
Rémunération : 85800 €</v>
      </c>
      <c r="V32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dd
Sexe : Homme
Directeur : Strasbourg
Société : Test30
Rémunération : 85800 €</v>
      </c>
    </row>
    <row r="33" spans="1:34" s="14" customFormat="1" x14ac:dyDescent="0.25">
      <c r="A33" s="73" t="s">
        <v>88</v>
      </c>
      <c r="B33" s="32" t="s">
        <v>99</v>
      </c>
      <c r="C33" s="79" t="s">
        <v>100</v>
      </c>
      <c r="D33" s="74" t="s">
        <v>19</v>
      </c>
      <c r="E33" s="102">
        <v>43</v>
      </c>
      <c r="F33" s="75"/>
      <c r="G33" s="74" t="s">
        <v>29</v>
      </c>
      <c r="H33" s="76">
        <v>5600</v>
      </c>
      <c r="I33" s="77"/>
      <c r="J33" s="77"/>
      <c r="K33" s="77"/>
      <c r="L33" s="78">
        <f>(H33*12.3)+I33+J33+K33</f>
        <v>68880</v>
      </c>
      <c r="M33" s="6">
        <f>IF(N33="","",LignesVisibles($N$2:N33))</f>
        <v>32</v>
      </c>
      <c r="N33" s="108" t="str">
        <f>Tableau1[[#This Row],[Directeur]]</f>
        <v>Strasbourg</v>
      </c>
      <c r="O33" s="6" t="e">
        <f t="shared" si="20"/>
        <v>#N/A</v>
      </c>
      <c r="P33" s="6">
        <f t="shared" si="21"/>
        <v>68880</v>
      </c>
      <c r="Q33" s="30">
        <f t="shared" si="22"/>
        <v>68880</v>
      </c>
      <c r="R33" s="6" t="str">
        <f t="shared" si="23"/>
        <v>Femme</v>
      </c>
      <c r="S33" s="6" t="str">
        <f t="shared" si="24"/>
        <v>Strasbourg
Test31</v>
      </c>
      <c r="T33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ee
Sexe : Femme
Âge : 43 ans
Rémunération : 68 880 €</v>
      </c>
      <c r="U33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ee
Sexe : Femme
Ancienneté :  ans
Rémunération : 68880 €</v>
      </c>
      <c r="V33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ee
Sexe : Femme
Directeur : Strasbourg
Société : Test31
Rémunération : 68880 €</v>
      </c>
    </row>
    <row r="34" spans="1:34" s="14" customFormat="1" x14ac:dyDescent="0.25">
      <c r="A34" s="80" t="s">
        <v>101</v>
      </c>
      <c r="B34" s="32" t="s">
        <v>102</v>
      </c>
      <c r="C34" s="81" t="s">
        <v>103</v>
      </c>
      <c r="D34" s="82" t="s">
        <v>9</v>
      </c>
      <c r="E34" s="103">
        <v>53</v>
      </c>
      <c r="F34" s="83">
        <v>4</v>
      </c>
      <c r="G34" s="82" t="s">
        <v>29</v>
      </c>
      <c r="H34" s="84">
        <v>6050</v>
      </c>
      <c r="I34" s="85"/>
      <c r="J34" s="85"/>
      <c r="K34" s="85"/>
      <c r="L34" s="86">
        <f>(H34*13.4)+I34++J34+K34</f>
        <v>81070</v>
      </c>
      <c r="M34" s="6">
        <f>IF(N34="","",LignesVisibles($N$2:N34))</f>
        <v>33</v>
      </c>
      <c r="N34" s="108" t="str">
        <f>Tableau1[[#This Row],[Directeur]]</f>
        <v>Nice</v>
      </c>
      <c r="O34" s="6">
        <f t="shared" ref="O34:O41" si="25">IF(N34&lt;&gt;"",IF($D34="H",$L34,NA()),"")</f>
        <v>81070</v>
      </c>
      <c r="P34" s="6" t="e">
        <f t="shared" ref="P34:P41" si="26">IF(N34&lt;&gt;"",IF(D34="F",L34,NA()),"")</f>
        <v>#N/A</v>
      </c>
      <c r="Q34" s="30">
        <f t="shared" ref="Q34:Q41" si="27">IF(N34&lt;&gt;"",$L34,NA())</f>
        <v>81070</v>
      </c>
      <c r="R34" s="6" t="str">
        <f t="shared" ref="R34:R41" si="28">IF(N34&lt;&gt;"",IF($D34="H","Homme","Femme"),"")</f>
        <v>Homme</v>
      </c>
      <c r="S34" s="6" t="str">
        <f t="shared" ref="S34:S41" si="29">IF(N34&lt;&gt;"",A34&amp;CHAR(10)&amp;B34,"")</f>
        <v>Nice
Test32</v>
      </c>
      <c r="T34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ff
Sexe : Homme
Âge : 53 ans
Rémunération : 81 070 €</v>
      </c>
      <c r="U34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ff
Sexe : Homme
Ancienneté : 4 ans
Rémunération : 81070 €</v>
      </c>
      <c r="V34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ff
Sexe : Homme
Directeur : Nice
Société : Test32
Rémunération : 81070 €</v>
      </c>
    </row>
    <row r="35" spans="1:34" s="14" customFormat="1" x14ac:dyDescent="0.25">
      <c r="A35" s="80" t="s">
        <v>101</v>
      </c>
      <c r="B35" s="32" t="s">
        <v>104</v>
      </c>
      <c r="C35" s="81" t="s">
        <v>105</v>
      </c>
      <c r="D35" s="82" t="s">
        <v>9</v>
      </c>
      <c r="E35" s="103">
        <v>49</v>
      </c>
      <c r="F35" s="83">
        <v>1</v>
      </c>
      <c r="G35" s="82" t="s">
        <v>106</v>
      </c>
      <c r="H35" s="84">
        <v>5350</v>
      </c>
      <c r="I35" s="85"/>
      <c r="J35" s="85"/>
      <c r="K35" s="85"/>
      <c r="L35" s="86">
        <f>(H35*12)+I35+J35+K35</f>
        <v>64200</v>
      </c>
      <c r="M35" s="6">
        <f>IF(N35="","",LignesVisibles($N$2:N35))</f>
        <v>34</v>
      </c>
      <c r="N35" s="108" t="str">
        <f>Tableau1[[#This Row],[Directeur]]</f>
        <v>Nice</v>
      </c>
      <c r="O35" s="6">
        <f t="shared" si="25"/>
        <v>64200</v>
      </c>
      <c r="P35" s="6" t="e">
        <f t="shared" si="26"/>
        <v>#N/A</v>
      </c>
      <c r="Q35" s="30">
        <f t="shared" si="27"/>
        <v>64200</v>
      </c>
      <c r="R35" s="6" t="str">
        <f t="shared" si="28"/>
        <v>Homme</v>
      </c>
      <c r="S35" s="6" t="str">
        <f t="shared" si="29"/>
        <v>Nice
Test33</v>
      </c>
      <c r="T35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gg
Sexe : Homme
Âge : 49 ans
Rémunération : 64 200 €</v>
      </c>
      <c r="U35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gg
Sexe : Homme
Ancienneté : 1 ans
Rémunération : 64200 €</v>
      </c>
      <c r="V35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gg
Sexe : Homme
Directeur : Nice
Société : Test33
Rémunération : 64200 €</v>
      </c>
    </row>
    <row r="36" spans="1:34" s="14" customFormat="1" x14ac:dyDescent="0.25">
      <c r="A36" s="80" t="s">
        <v>101</v>
      </c>
      <c r="B36" s="32" t="s">
        <v>107</v>
      </c>
      <c r="C36" s="81" t="s">
        <v>108</v>
      </c>
      <c r="D36" s="82" t="s">
        <v>9</v>
      </c>
      <c r="E36" s="103">
        <v>43</v>
      </c>
      <c r="F36" s="83">
        <v>16</v>
      </c>
      <c r="G36" s="82" t="s">
        <v>30</v>
      </c>
      <c r="H36" s="84">
        <v>5820</v>
      </c>
      <c r="I36" s="85"/>
      <c r="J36" s="85"/>
      <c r="K36" s="85"/>
      <c r="L36" s="86">
        <f>(H36*12)+I36+J36+K36</f>
        <v>69840</v>
      </c>
      <c r="M36" s="6">
        <f>IF(N36="","",LignesVisibles($N$2:N36))</f>
        <v>35</v>
      </c>
      <c r="N36" s="108" t="str">
        <f>Tableau1[[#This Row],[Directeur]]</f>
        <v>Nice</v>
      </c>
      <c r="O36" s="6">
        <f t="shared" si="25"/>
        <v>69840</v>
      </c>
      <c r="P36" s="6" t="e">
        <f t="shared" si="26"/>
        <v>#N/A</v>
      </c>
      <c r="Q36" s="30">
        <f t="shared" si="27"/>
        <v>69840</v>
      </c>
      <c r="R36" s="6" t="str">
        <f t="shared" si="28"/>
        <v>Homme</v>
      </c>
      <c r="S36" s="6" t="str">
        <f t="shared" si="29"/>
        <v>Nice
Test34</v>
      </c>
      <c r="T36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hh
Sexe : Homme
Âge : 43 ans
Rémunération : 69 840 €</v>
      </c>
      <c r="U36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hh
Sexe : Homme
Ancienneté : 16 ans
Rémunération : 69840 €</v>
      </c>
      <c r="V36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hh
Sexe : Homme
Directeur : Nice
Société : Test34
Rémunération : 69840 €</v>
      </c>
    </row>
    <row r="37" spans="1:34" s="14" customFormat="1" x14ac:dyDescent="0.25">
      <c r="A37" s="87" t="s">
        <v>109</v>
      </c>
      <c r="B37" s="32" t="s">
        <v>110</v>
      </c>
      <c r="C37" s="88" t="s">
        <v>111</v>
      </c>
      <c r="D37" s="89" t="s">
        <v>9</v>
      </c>
      <c r="E37" s="104">
        <v>40</v>
      </c>
      <c r="F37" s="90">
        <v>15</v>
      </c>
      <c r="G37" s="89" t="s">
        <v>47</v>
      </c>
      <c r="H37" s="91">
        <v>6800</v>
      </c>
      <c r="I37" s="92"/>
      <c r="J37" s="92"/>
      <c r="K37" s="92"/>
      <c r="L37" s="92">
        <f>(H37*12)+I37+J37+K37</f>
        <v>81600</v>
      </c>
      <c r="M37" s="6">
        <f>IF(N37="","",LignesVisibles($N$2:N37))</f>
        <v>36</v>
      </c>
      <c r="N37" s="108" t="str">
        <f>Tableau1[[#This Row],[Directeur]]</f>
        <v>Toulouse</v>
      </c>
      <c r="O37" s="6">
        <f t="shared" si="25"/>
        <v>81600</v>
      </c>
      <c r="P37" s="6" t="e">
        <f t="shared" si="26"/>
        <v>#N/A</v>
      </c>
      <c r="Q37" s="30">
        <f t="shared" si="27"/>
        <v>81600</v>
      </c>
      <c r="R37" s="6" t="str">
        <f t="shared" si="28"/>
        <v>Homme</v>
      </c>
      <c r="S37" s="6" t="str">
        <f t="shared" si="29"/>
        <v>Toulouse
Test35</v>
      </c>
      <c r="T37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ii
Sexe : Homme
Âge : 40 ans
Rémunération : 81 600 €</v>
      </c>
      <c r="U37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ii
Sexe : Homme
Ancienneté : 15 ans
Rémunération : 81600 €</v>
      </c>
      <c r="V37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ii
Sexe : Homme
Directeur : Toulouse
Société : Test35
Rémunération : 81600 €</v>
      </c>
    </row>
    <row r="38" spans="1:34" s="14" customFormat="1" x14ac:dyDescent="0.25">
      <c r="A38" s="87" t="s">
        <v>109</v>
      </c>
      <c r="B38" s="32" t="s">
        <v>112</v>
      </c>
      <c r="C38" s="88" t="s">
        <v>113</v>
      </c>
      <c r="D38" s="89" t="s">
        <v>9</v>
      </c>
      <c r="E38" s="104">
        <v>40</v>
      </c>
      <c r="F38" s="90">
        <v>16</v>
      </c>
      <c r="G38" s="89" t="s">
        <v>29</v>
      </c>
      <c r="H38" s="91">
        <v>6200</v>
      </c>
      <c r="I38" s="92"/>
      <c r="J38" s="92"/>
      <c r="K38" s="92"/>
      <c r="L38" s="92">
        <f>(H38*12.3)+I38+J38+K38</f>
        <v>76260</v>
      </c>
      <c r="M38" s="6">
        <f>IF(N38="","",LignesVisibles($N$2:N38))</f>
        <v>37</v>
      </c>
      <c r="N38" s="108" t="str">
        <f>Tableau1[[#This Row],[Directeur]]</f>
        <v>Toulouse</v>
      </c>
      <c r="O38" s="6">
        <f t="shared" si="25"/>
        <v>76260</v>
      </c>
      <c r="P38" s="6" t="e">
        <f t="shared" si="26"/>
        <v>#N/A</v>
      </c>
      <c r="Q38" s="30">
        <f t="shared" si="27"/>
        <v>76260</v>
      </c>
      <c r="R38" s="6" t="str">
        <f t="shared" si="28"/>
        <v>Homme</v>
      </c>
      <c r="S38" s="6" t="str">
        <f t="shared" si="29"/>
        <v>Toulouse
Test36</v>
      </c>
      <c r="T38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jj
Sexe : Homme
Âge : 40 ans
Rémunération : 76 260 €</v>
      </c>
      <c r="U38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jj
Sexe : Homme
Ancienneté : 16 ans
Rémunération : 76260 €</v>
      </c>
      <c r="V38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jj
Sexe : Homme
Directeur : Toulouse
Société : Test36
Rémunération : 76260 €</v>
      </c>
    </row>
    <row r="39" spans="1:34" s="14" customFormat="1" x14ac:dyDescent="0.25">
      <c r="A39" s="87" t="s">
        <v>109</v>
      </c>
      <c r="B39" s="32" t="s">
        <v>114</v>
      </c>
      <c r="C39" s="88" t="s">
        <v>115</v>
      </c>
      <c r="D39" s="89" t="s">
        <v>9</v>
      </c>
      <c r="E39" s="104">
        <v>54</v>
      </c>
      <c r="F39" s="90">
        <v>10</v>
      </c>
      <c r="G39" s="89" t="s">
        <v>116</v>
      </c>
      <c r="H39" s="91">
        <v>8180</v>
      </c>
      <c r="I39" s="92"/>
      <c r="J39" s="92"/>
      <c r="K39" s="92"/>
      <c r="L39" s="92">
        <f>(H39*12)+I39+J39+K39</f>
        <v>98160</v>
      </c>
      <c r="M39" s="6">
        <f>IF(N39="","",LignesVisibles($N$2:N39))</f>
        <v>38</v>
      </c>
      <c r="N39" s="108" t="str">
        <f>Tableau1[[#This Row],[Directeur]]</f>
        <v>Toulouse</v>
      </c>
      <c r="O39" s="6">
        <f t="shared" si="25"/>
        <v>98160</v>
      </c>
      <c r="P39" s="6" t="e">
        <f t="shared" si="26"/>
        <v>#N/A</v>
      </c>
      <c r="Q39" s="30">
        <f t="shared" si="27"/>
        <v>98160</v>
      </c>
      <c r="R39" s="6" t="str">
        <f t="shared" si="28"/>
        <v>Homme</v>
      </c>
      <c r="S39" s="6" t="str">
        <f t="shared" si="29"/>
        <v>Toulouse
Test37</v>
      </c>
      <c r="T39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kk
Sexe : Homme
Âge : 54 ans
Rémunération : 98 160 €</v>
      </c>
      <c r="U39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kk
Sexe : Homme
Ancienneté : 10 ans
Rémunération : 98160 €</v>
      </c>
      <c r="V39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kk
Sexe : Homme
Directeur : Toulouse
Société : Test37
Rémunération : 98160 €</v>
      </c>
    </row>
    <row r="40" spans="1:34" s="14" customFormat="1" x14ac:dyDescent="0.25">
      <c r="A40" s="87" t="s">
        <v>109</v>
      </c>
      <c r="B40" s="32" t="s">
        <v>117</v>
      </c>
      <c r="C40" s="88" t="s">
        <v>118</v>
      </c>
      <c r="D40" s="89" t="s">
        <v>19</v>
      </c>
      <c r="E40" s="104">
        <v>45</v>
      </c>
      <c r="F40" s="90">
        <v>11</v>
      </c>
      <c r="G40" s="89" t="s">
        <v>29</v>
      </c>
      <c r="H40" s="91">
        <v>6000</v>
      </c>
      <c r="I40" s="92"/>
      <c r="J40" s="92"/>
      <c r="K40" s="92"/>
      <c r="L40" s="92">
        <f>(H40*12.3)+I40+J40+K40</f>
        <v>73800</v>
      </c>
      <c r="M40" s="6">
        <f>IF(N40="","",LignesVisibles($N$2:N40))</f>
        <v>39</v>
      </c>
      <c r="N40" s="108" t="str">
        <f>Tableau1[[#This Row],[Directeur]]</f>
        <v>Toulouse</v>
      </c>
      <c r="O40" s="6" t="e">
        <f t="shared" si="25"/>
        <v>#N/A</v>
      </c>
      <c r="P40" s="6">
        <f t="shared" si="26"/>
        <v>73800</v>
      </c>
      <c r="Q40" s="30">
        <f t="shared" si="27"/>
        <v>73800</v>
      </c>
      <c r="R40" s="6" t="str">
        <f t="shared" si="28"/>
        <v>Femme</v>
      </c>
      <c r="S40" s="6" t="str">
        <f t="shared" si="29"/>
        <v>Toulouse
Test38</v>
      </c>
      <c r="T40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ll
Sexe : Femme
Âge : 45 ans
Rémunération : 73 800 €</v>
      </c>
      <c r="U40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ll
Sexe : Femme
Ancienneté : 11 ans
Rémunération : 73800 €</v>
      </c>
      <c r="V40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ll
Sexe : Femme
Directeur : Toulouse
Société : Test38
Rémunération : 73800 €</v>
      </c>
    </row>
    <row r="41" spans="1:34" s="14" customFormat="1" x14ac:dyDescent="0.25">
      <c r="A41" s="87" t="s">
        <v>109</v>
      </c>
      <c r="B41" s="32" t="s">
        <v>119</v>
      </c>
      <c r="C41" s="88" t="s">
        <v>120</v>
      </c>
      <c r="D41" s="89" t="s">
        <v>9</v>
      </c>
      <c r="E41" s="104">
        <v>60</v>
      </c>
      <c r="F41" s="90">
        <v>0</v>
      </c>
      <c r="G41" s="89" t="s">
        <v>29</v>
      </c>
      <c r="H41" s="91">
        <v>7140</v>
      </c>
      <c r="I41" s="92"/>
      <c r="J41" s="92"/>
      <c r="K41" s="92"/>
      <c r="L41" s="92">
        <f>(H41*12.3)+I41+J41+K41</f>
        <v>87822</v>
      </c>
      <c r="M41" s="6">
        <f>IF(N41="","",LignesVisibles($N$2:N41))</f>
        <v>40</v>
      </c>
      <c r="N41" s="108" t="str">
        <f>Tableau1[[#This Row],[Directeur]]</f>
        <v>Toulouse</v>
      </c>
      <c r="O41" s="6">
        <f t="shared" si="25"/>
        <v>87822</v>
      </c>
      <c r="P41" s="6" t="e">
        <f t="shared" si="26"/>
        <v>#N/A</v>
      </c>
      <c r="Q41" s="30">
        <f t="shared" si="27"/>
        <v>87822</v>
      </c>
      <c r="R41" s="6" t="str">
        <f t="shared" si="28"/>
        <v>Homme</v>
      </c>
      <c r="S41" s="6" t="str">
        <f t="shared" si="29"/>
        <v>Toulouse
Test39</v>
      </c>
      <c r="T41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mm
Sexe : Homme
Âge : 60 ans
Rémunération : 87 822 €</v>
      </c>
      <c r="U41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mm
Sexe : Homme
Ancienneté : 0 ans
Rémunération : 87822 €</v>
      </c>
      <c r="V41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mm
Sexe : Homme
Directeur : Toulouse
Société : Test39
Rémunération : 87822 €</v>
      </c>
    </row>
    <row r="42" spans="1:34" s="14" customFormat="1" x14ac:dyDescent="0.25">
      <c r="A42" s="87" t="s">
        <v>109</v>
      </c>
      <c r="B42" s="32" t="s">
        <v>121</v>
      </c>
      <c r="C42" s="88" t="s">
        <v>122</v>
      </c>
      <c r="D42" s="89" t="s">
        <v>19</v>
      </c>
      <c r="E42" s="104">
        <v>45</v>
      </c>
      <c r="F42" s="90">
        <v>19</v>
      </c>
      <c r="G42" s="89" t="s">
        <v>29</v>
      </c>
      <c r="H42" s="91">
        <v>5850</v>
      </c>
      <c r="I42" s="92"/>
      <c r="J42" s="92"/>
      <c r="K42" s="92"/>
      <c r="L42" s="92">
        <f>(H42*13.4)+I42+J42+K42</f>
        <v>78390</v>
      </c>
      <c r="M42" s="6">
        <f>IF(N42="","",LignesVisibles($N$2:N42))</f>
        <v>41</v>
      </c>
      <c r="N42" s="108" t="str">
        <f>Tableau1[[#This Row],[Directeur]]</f>
        <v>Toulouse</v>
      </c>
      <c r="O42" s="6" t="e">
        <f t="shared" ref="O42:O43" si="30">IF(N42&lt;&gt;"",IF($D42="H",$L42,NA()),"")</f>
        <v>#N/A</v>
      </c>
      <c r="P42" s="6">
        <f t="shared" ref="P42:P43" si="31">IF(N42&lt;&gt;"",IF(D42="F",L42,NA()),"")</f>
        <v>78390</v>
      </c>
      <c r="Q42" s="30">
        <f t="shared" ref="Q42:Q43" si="32">IF(N42&lt;&gt;"",$L42,NA())</f>
        <v>78390</v>
      </c>
      <c r="R42" s="6" t="str">
        <f t="shared" ref="R42:R43" si="33">IF(N42&lt;&gt;"",IF($D42="H","Homme","Femme"),"")</f>
        <v>Femme</v>
      </c>
      <c r="S42" s="6" t="str">
        <f t="shared" ref="S42:S43" si="34">IF(N42&lt;&gt;"",A42&amp;CHAR(10)&amp;B42,"")</f>
        <v>Toulouse
Test40</v>
      </c>
      <c r="T42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nn
Sexe : Femme
Âge : 45 ans
Rémunération : 78 390 €</v>
      </c>
      <c r="U42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nn
Sexe : Femme
Ancienneté : 19 ans
Rémunération : 78390 €</v>
      </c>
      <c r="V42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nn
Sexe : Femme
Directeur : Toulouse
Société : Test40
Rémunération : 78390 €</v>
      </c>
    </row>
    <row r="43" spans="1:34" s="14" customFormat="1" x14ac:dyDescent="0.25">
      <c r="A43" s="87" t="s">
        <v>109</v>
      </c>
      <c r="B43" s="32" t="s">
        <v>123</v>
      </c>
      <c r="C43" s="93" t="s">
        <v>124</v>
      </c>
      <c r="D43" s="89" t="s">
        <v>9</v>
      </c>
      <c r="E43" s="104">
        <v>60</v>
      </c>
      <c r="F43" s="90">
        <v>36</v>
      </c>
      <c r="G43" s="89" t="s">
        <v>29</v>
      </c>
      <c r="H43" s="91">
        <v>7100</v>
      </c>
      <c r="I43" s="92"/>
      <c r="J43" s="92"/>
      <c r="K43" s="92"/>
      <c r="L43" s="94">
        <f>(H43*12.3)+I43+J43+K43</f>
        <v>87330</v>
      </c>
      <c r="M43" s="6">
        <f>IF(N43="","",LignesVisibles($N$2:N43))</f>
        <v>42</v>
      </c>
      <c r="N43" s="108" t="str">
        <f>Tableau1[[#This Row],[Directeur]]</f>
        <v>Toulouse</v>
      </c>
      <c r="O43" s="6">
        <f t="shared" si="30"/>
        <v>87330</v>
      </c>
      <c r="P43" s="6" t="e">
        <f t="shared" si="31"/>
        <v>#N/A</v>
      </c>
      <c r="Q43" s="30">
        <f t="shared" si="32"/>
        <v>87330</v>
      </c>
      <c r="R43" s="6" t="str">
        <f t="shared" si="33"/>
        <v>Homme</v>
      </c>
      <c r="S43" s="6" t="str">
        <f t="shared" si="34"/>
        <v>Toulouse
Test41</v>
      </c>
      <c r="T43" s="6" t="str">
        <f>"Nom : " &amp;'base de travail'!$C$3:$C$43&amp;CHAR(10)&amp;
"Sexe : "&amp;'base de travail'!$R$3:$R$43&amp;CHAR(10)&amp;
"Âge : "&amp;'base de travail'!$E$3:$E$43&amp;" ans"&amp;CHAR(10)&amp;
"Rémunération : "&amp;TEXT('base de travail'!$L$3:$L$43,"# ### €")</f>
        <v>Nom : oo
Sexe : Homme
Âge : 60 ans
Rémunération : 87 330 €</v>
      </c>
      <c r="U43" s="6" t="str">
        <f>'base de travail'!$C$3:$C$43&amp;CHAR(10)&amp;
"Sexe : "&amp;'base de travail'!$R$3:$R$43&amp;CHAR(10)&amp;
"Ancienneté : "&amp;'base de travail'!$F$3:$F$43&amp;" ans"&amp;CHAR(10)&amp;
"Rémunération : "&amp;'base de travail'!$L$3:$L$43&amp;" €"</f>
        <v>oo
Sexe : Homme
Ancienneté : 36 ans
Rémunération : 87330 €</v>
      </c>
      <c r="V43" s="7" t="str">
        <f>'base de travail'!$C$3:$C$43&amp;CHAR(10)&amp;
"Sexe : "&amp;'base de travail'!$R$3:$R$43&amp;CHAR(10)&amp;
"Directeur : "&amp;'base de travail'!$A$3:$A$43&amp;CHAR(10)&amp;
"Société : "&amp;'base de travail'!$B$3:$B$43&amp;CHAR(10)&amp;
"Rémunération : "&amp;'base de travail'!$L$3:$L$43&amp;" €"</f>
        <v>oo
Sexe : Homme
Directeur : Toulouse
Société : Test41
Rémunération : 87330 €</v>
      </c>
    </row>
    <row r="44" spans="1:34" x14ac:dyDescent="0.25">
      <c r="A44" s="17"/>
      <c r="B44" s="17"/>
      <c r="C44" s="18"/>
      <c r="D44" s="19"/>
      <c r="E44" s="20"/>
      <c r="F44" s="20"/>
      <c r="G44" s="19"/>
      <c r="H44" s="21"/>
      <c r="I44" s="22"/>
      <c r="J44" s="23"/>
      <c r="K44" s="23"/>
      <c r="L44" s="24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34" x14ac:dyDescent="0.25">
      <c r="AH45" t="str">
        <f t="array" ref="AH45">IFERROR(INDEX(Liste,MATCH(SMALL(IF((COUNTIF(AH$1:AH43,Liste)=0)*(Liste&lt;&gt;""),COUNTIF(Liste,"&lt;"&amp;Liste)),1),IF(Liste&lt;&gt;"",COUNTIF(Liste,"&lt;"&amp;Liste)),0)),"")</f>
        <v>Marseille</v>
      </c>
    </row>
    <row r="46" spans="1:34" x14ac:dyDescent="0.25">
      <c r="K46" s="29" t="e">
        <f>AVERAGE(K3:K45)</f>
        <v>#DIV/0!</v>
      </c>
      <c r="L46" s="28">
        <f>SUM(L3:L45)</f>
        <v>3406206.4</v>
      </c>
      <c r="AH46" t="str">
        <f t="array" ref="AH46">IFERROR(INDEX(Liste,MATCH(SMALL(IF((COUNTIF(AH$1:AH45,Liste)=0)*(Liste&lt;&gt;""),COUNTIF(Liste,"&lt;"&amp;Liste)),1),IF(Liste&lt;&gt;"",COUNTIF(Liste,"&lt;"&amp;Liste)),0)),"")</f>
        <v>Nice</v>
      </c>
    </row>
    <row r="47" spans="1:34" x14ac:dyDescent="0.25">
      <c r="K47" s="13"/>
      <c r="AH47" t="str">
        <f t="array" ref="AH47">IFERROR(INDEX(Liste,MATCH(SMALL(IF((COUNTIF(AH$1:AH46,Liste)=0)*(Liste&lt;&gt;""),COUNTIF(Liste,"&lt;"&amp;Liste)),1),IF(Liste&lt;&gt;"",COUNTIF(Liste,"&lt;"&amp;Liste)),0)),"")</f>
        <v>Paris</v>
      </c>
    </row>
    <row r="48" spans="1:34" x14ac:dyDescent="0.25">
      <c r="K48" t="str">
        <f>IFERROR(INDEX(M3:M1030,SMALL(IF(M3:M1030&lt;&gt;"",ROW(M3:M1030)-MIN(ROW(M3:M1030))+1,""),ROWS($A$2:A2))),"")</f>
        <v/>
      </c>
      <c r="AH48" t="str">
        <f t="array" ref="AH48">IFERROR(INDEX(Liste,MATCH(SMALL(IF((COUNTIF(AH$1:AH47,Liste)=0)*(Liste&lt;&gt;""),COUNTIF(Liste,"&lt;"&amp;Liste)),1),IF(Liste&lt;&gt;"",COUNTIF(Liste,"&lt;"&amp;Liste)),0)),"")</f>
        <v>Strasbourg</v>
      </c>
    </row>
    <row r="49" spans="11:34" x14ac:dyDescent="0.25">
      <c r="K49" t="str">
        <f>IFERROR(INDEX($M$3:$M$1030,SMALL(IF($M$3:$M$1030&lt;&gt;"",ROW($M$3:$M$1030)-MIN(ROW($M$3:$M$1030))+1,""),ROWS($A$2:A2))),"")</f>
        <v/>
      </c>
      <c r="AH49" t="str">
        <f t="array" ref="AH49">IFERROR(INDEX(Liste,MATCH(SMALL(IF((COUNTIF(AH$1:AH48,Liste)=0)*(Liste&lt;&gt;""),COUNTIF(Liste,"&lt;"&amp;Liste)),1),IF(Liste&lt;&gt;"",COUNTIF(Liste,"&lt;"&amp;Liste)),0)),"")</f>
        <v>Toulouse</v>
      </c>
    </row>
    <row r="50" spans="11:34" x14ac:dyDescent="0.25">
      <c r="AH50" t="str">
        <f t="array" ref="AH50">IFERROR(INDEX(Liste,MATCH(SMALL(IF((COUNTIF(AH$1:AH49,Liste)=0)*(Liste&lt;&gt;""),COUNTIF(Liste,"&lt;"&amp;Liste)),1),IF(Liste&lt;&gt;"",COUNTIF(Liste,"&lt;"&amp;Liste)),0)),"")</f>
        <v/>
      </c>
    </row>
    <row r="51" spans="11:34" x14ac:dyDescent="0.25">
      <c r="AH51" t="str">
        <f t="array" ref="AH51">IFERROR(INDEX(Liste,MATCH(SMALL(IF((COUNTIF(AH$1:AH50,Liste)=0)*(Liste&lt;&gt;""),COUNTIF(Liste,"&lt;"&amp;Liste)),1),IF(Liste&lt;&gt;"",COUNTIF(Liste,"&lt;"&amp;Liste)),0)),"")</f>
        <v/>
      </c>
    </row>
    <row r="52" spans="11:34" x14ac:dyDescent="0.25">
      <c r="AH52" t="str">
        <f t="array" ref="AH52">IFERROR(INDEX(Liste,MATCH(SMALL(IF((COUNTIF(AH$1:AH51,Liste)=0)*(Liste&lt;&gt;""),COUNTIF(Liste,"&lt;"&amp;Liste)),1),IF(Liste&lt;&gt;"",COUNTIF(Liste,"&lt;"&amp;Liste)),0)),"")</f>
        <v/>
      </c>
    </row>
    <row r="53" spans="11:34" x14ac:dyDescent="0.25">
      <c r="AH53" t="str">
        <f t="array" ref="AH53">IFERROR(INDEX(Liste,MATCH(SMALL(IF((COUNTIF(AH$1:AH52,Liste)=0)*(Liste&lt;&gt;""),COUNTIF(Liste,"&lt;"&amp;Liste)),1),IF(Liste&lt;&gt;"",COUNTIF(Liste,"&lt;"&amp;Liste)),0)),"")</f>
        <v/>
      </c>
    </row>
    <row r="54" spans="11:34" x14ac:dyDescent="0.25">
      <c r="AH54" t="str">
        <f t="array" ref="AH54">IFERROR(INDEX(Liste,MATCH(SMALL(IF((COUNTIF(AH$1:AH53,Liste)=0)*(Liste&lt;&gt;""),COUNTIF(Liste,"&lt;"&amp;Liste)),1),IF(Liste&lt;&gt;"",COUNTIF(Liste,"&lt;"&amp;Liste)),0)),"")</f>
        <v/>
      </c>
    </row>
    <row r="55" spans="11:34" x14ac:dyDescent="0.25">
      <c r="AH55" t="str">
        <f t="array" ref="AH55">IFERROR(INDEX(Liste,MATCH(SMALL(IF((COUNTIF(AH$1:AH54,Liste)=0)*(Liste&lt;&gt;""),COUNTIF(Liste,"&lt;"&amp;Liste)),1),IF(Liste&lt;&gt;"",COUNTIF(Liste,"&lt;"&amp;Liste)),0)),"")</f>
        <v/>
      </c>
    </row>
    <row r="56" spans="11:34" x14ac:dyDescent="0.25">
      <c r="AH56" t="str">
        <f t="array" ref="AH56">IFERROR(INDEX(Liste,MATCH(SMALL(IF((COUNTIF(AH$1:AH55,Liste)=0)*(Liste&lt;&gt;""),COUNTIF(Liste,"&lt;"&amp;Liste)),1),IF(Liste&lt;&gt;"",COUNTIF(Liste,"&lt;"&amp;Liste)),0)),"")</f>
        <v/>
      </c>
    </row>
    <row r="57" spans="11:34" x14ac:dyDescent="0.25">
      <c r="AH57" t="str">
        <f t="array" ref="AH57">IFERROR(INDEX(Liste,MATCH(SMALL(IF((COUNTIF(AH$1:AH56,Liste)=0)*(Liste&lt;&gt;""),COUNTIF(Liste,"&lt;"&amp;Liste)),1),IF(Liste&lt;&gt;"",COUNTIF(Liste,"&lt;"&amp;Liste)),0)),"")</f>
        <v/>
      </c>
    </row>
    <row r="58" spans="11:34" x14ac:dyDescent="0.25">
      <c r="AH58" t="str">
        <f t="array" ref="AH58">IFERROR(INDEX(Liste,MATCH(SMALL(IF((COUNTIF(AH$1:AH57,Liste)=0)*(Liste&lt;&gt;""),COUNTIF(Liste,"&lt;"&amp;Liste)),1),IF(Liste&lt;&gt;"",COUNTIF(Liste,"&lt;"&amp;Liste)),0)),"")</f>
        <v/>
      </c>
    </row>
    <row r="59" spans="11:34" x14ac:dyDescent="0.25">
      <c r="AH59" t="str">
        <f t="array" ref="AH59">IFERROR(INDEX(Liste,MATCH(SMALL(IF((COUNTIF(AH$1:AH58,Liste)=0)*(Liste&lt;&gt;""),COUNTIF(Liste,"&lt;"&amp;Liste)),1),IF(Liste&lt;&gt;"",COUNTIF(Liste,"&lt;"&amp;Liste)),0)),"")</f>
        <v/>
      </c>
    </row>
    <row r="60" spans="11:34" x14ac:dyDescent="0.25">
      <c r="AH60" t="str">
        <f t="array" ref="AH60">IFERROR(INDEX(Liste,MATCH(SMALL(IF((COUNTIF(AH$1:AH59,Liste)=0)*(Liste&lt;&gt;""),COUNTIF(Liste,"&lt;"&amp;Liste)),1),IF(Liste&lt;&gt;"",COUNTIF(Liste,"&lt;"&amp;Liste)),0)),"")</f>
        <v/>
      </c>
    </row>
    <row r="61" spans="11:34" x14ac:dyDescent="0.25">
      <c r="AH61" t="str">
        <f t="array" ref="AH61">IFERROR(INDEX(Liste,MATCH(SMALL(IF((COUNTIF(AH$1:AH60,Liste)=0)*(Liste&lt;&gt;""),COUNTIF(Liste,"&lt;"&amp;Liste)),1),IF(Liste&lt;&gt;"",COUNTIF(Liste,"&lt;"&amp;Liste)),0)),"")</f>
        <v/>
      </c>
    </row>
    <row r="62" spans="11:34" x14ac:dyDescent="0.25">
      <c r="AH62" t="str">
        <f t="array" ref="AH62">IFERROR(INDEX(Liste,MATCH(SMALL(IF((COUNTIF(AH$1:AH61,Liste)=0)*(Liste&lt;&gt;""),COUNTIF(Liste,"&lt;"&amp;Liste)),1),IF(Liste&lt;&gt;"",COUNTIF(Liste,"&lt;"&amp;Liste)),0)),"")</f>
        <v/>
      </c>
    </row>
    <row r="63" spans="11:34" x14ac:dyDescent="0.25">
      <c r="AH63" t="str">
        <f t="array" ref="AH63">IFERROR(INDEX(Liste,MATCH(SMALL(IF((COUNTIF(AH$1:AH62,Liste)=0)*(Liste&lt;&gt;""),COUNTIF(Liste,"&lt;"&amp;Liste)),1),IF(Liste&lt;&gt;"",COUNTIF(Liste,"&lt;"&amp;Liste)),0)),"")</f>
        <v/>
      </c>
    </row>
    <row r="64" spans="11:34" x14ac:dyDescent="0.25">
      <c r="AH64" t="str">
        <f t="array" ref="AH64">IFERROR(INDEX(Liste,MATCH(SMALL(IF((COUNTIF(AH$1:AH63,Liste)=0)*(Liste&lt;&gt;""),COUNTIF(Liste,"&lt;"&amp;Liste)),1),IF(Liste&lt;&gt;"",COUNTIF(Liste,"&lt;"&amp;Liste)),0)),"")</f>
        <v/>
      </c>
    </row>
    <row r="65" spans="34:34" x14ac:dyDescent="0.25">
      <c r="AH65" t="str">
        <f t="array" ref="AH65">IFERROR(INDEX(Liste,MATCH(SMALL(IF((COUNTIF(AH$1:AH64,Liste)=0)*(Liste&lt;&gt;""),COUNTIF(Liste,"&lt;"&amp;Liste)),1),IF(Liste&lt;&gt;"",COUNTIF(Liste,"&lt;"&amp;Liste)),0)),"")</f>
        <v/>
      </c>
    </row>
    <row r="66" spans="34:34" x14ac:dyDescent="0.25">
      <c r="AH66" t="str">
        <f t="array" ref="AH66">IFERROR(INDEX(Liste,MATCH(SMALL(IF((COUNTIF(AH$1:AH65,Liste)=0)*(Liste&lt;&gt;""),COUNTIF(Liste,"&lt;"&amp;Liste)),1),IF(Liste&lt;&gt;"",COUNTIF(Liste,"&lt;"&amp;Liste)),0)),"")</f>
        <v/>
      </c>
    </row>
    <row r="67" spans="34:34" x14ac:dyDescent="0.25">
      <c r="AH67" t="str">
        <f t="array" ref="AH67">IFERROR(INDEX(Liste,MATCH(SMALL(IF((COUNTIF(AH$1:AH66,Liste)=0)*(Liste&lt;&gt;""),COUNTIF(Liste,"&lt;"&amp;Liste)),1),IF(Liste&lt;&gt;"",COUNTIF(Liste,"&lt;"&amp;Liste)),0)),"")</f>
        <v/>
      </c>
    </row>
    <row r="68" spans="34:34" x14ac:dyDescent="0.25">
      <c r="AH68" t="str">
        <f t="array" ref="AH68">IFERROR(INDEX(Liste,MATCH(SMALL(IF((COUNTIF(AH$1:AH67,Liste)=0)*(Liste&lt;&gt;""),COUNTIF(Liste,"&lt;"&amp;Liste)),1),IF(Liste&lt;&gt;"",COUNTIF(Liste,"&lt;"&amp;Liste)),0)),"")</f>
        <v/>
      </c>
    </row>
    <row r="69" spans="34:34" x14ac:dyDescent="0.25">
      <c r="AH69" t="str">
        <f t="array" ref="AH69">IFERROR(INDEX(Liste,MATCH(SMALL(IF((COUNTIF(AH$1:AH68,Liste)=0)*(Liste&lt;&gt;""),COUNTIF(Liste,"&lt;"&amp;Liste)),1),IF(Liste&lt;&gt;"",COUNTIF(Liste,"&lt;"&amp;Liste)),0)),"")</f>
        <v/>
      </c>
    </row>
    <row r="70" spans="34:34" x14ac:dyDescent="0.25">
      <c r="AH70" t="str">
        <f t="array" ref="AH70">IFERROR(INDEX(Liste,MATCH(SMALL(IF((COUNTIF(AH$1:AH69,Liste)=0)*(Liste&lt;&gt;""),COUNTIF(Liste,"&lt;"&amp;Liste)),1),IF(Liste&lt;&gt;"",COUNTIF(Liste,"&lt;"&amp;Liste)),0)),"")</f>
        <v/>
      </c>
    </row>
    <row r="71" spans="34:34" x14ac:dyDescent="0.25">
      <c r="AH71" t="str">
        <f t="array" ref="AH71">IFERROR(INDEX(Liste,MATCH(SMALL(IF((COUNTIF(AH$1:AH70,Liste)=0)*(Liste&lt;&gt;""),COUNTIF(Liste,"&lt;"&amp;Liste)),1),IF(Liste&lt;&gt;"",COUNTIF(Liste,"&lt;"&amp;Liste)),0)),"")</f>
        <v/>
      </c>
    </row>
    <row r="72" spans="34:34" x14ac:dyDescent="0.25">
      <c r="AH72" t="str">
        <f t="array" ref="AH72">IFERROR(INDEX(Liste,MATCH(SMALL(IF((COUNTIF(AH$1:AH71,Liste)=0)*(Liste&lt;&gt;""),COUNTIF(Liste,"&lt;"&amp;Liste)),1),IF(Liste&lt;&gt;"",COUNTIF(Liste,"&lt;"&amp;Liste)),0)),"")</f>
        <v/>
      </c>
    </row>
    <row r="73" spans="34:34" x14ac:dyDescent="0.25">
      <c r="AH73" t="str">
        <f t="array" ref="AH73">IFERROR(INDEX(Liste,MATCH(SMALL(IF((COUNTIF(AH$1:AH72,Liste)=0)*(Liste&lt;&gt;""),COUNTIF(Liste,"&lt;"&amp;Liste)),1),IF(Liste&lt;&gt;"",COUNTIF(Liste,"&lt;"&amp;Liste)),0)),"")</f>
        <v/>
      </c>
    </row>
    <row r="74" spans="34:34" x14ac:dyDescent="0.25">
      <c r="AH74" t="str">
        <f t="array" ref="AH74">IFERROR(INDEX(Liste,MATCH(SMALL(IF((COUNTIF(AH$1:AH73,Liste)=0)*(Liste&lt;&gt;""),COUNTIF(Liste,"&lt;"&amp;Liste)),1),IF(Liste&lt;&gt;"",COUNTIF(Liste,"&lt;"&amp;Liste)),0)),"")</f>
        <v/>
      </c>
    </row>
    <row r="75" spans="34:34" x14ac:dyDescent="0.25">
      <c r="AH75" t="str">
        <f t="array" ref="AH75">IFERROR(INDEX(Liste,MATCH(SMALL(IF((COUNTIF(AH$1:AH74,Liste)=0)*(Liste&lt;&gt;""),COUNTIF(Liste,"&lt;"&amp;Liste)),1),IF(Liste&lt;&gt;"",COUNTIF(Liste,"&lt;"&amp;Liste)),0)),"")</f>
        <v/>
      </c>
    </row>
    <row r="76" spans="34:34" x14ac:dyDescent="0.25">
      <c r="AH76" t="str">
        <f t="array" ref="AH76">IFERROR(INDEX(Liste,MATCH(SMALL(IF((COUNTIF(AH$1:AH75,Liste)=0)*(Liste&lt;&gt;""),COUNTIF(Liste,"&lt;"&amp;Liste)),1),IF(Liste&lt;&gt;"",COUNTIF(Liste,"&lt;"&amp;Liste)),0)),"")</f>
        <v/>
      </c>
    </row>
    <row r="77" spans="34:34" x14ac:dyDescent="0.25">
      <c r="AH77" t="str">
        <f t="array" ref="AH77">IFERROR(INDEX(Liste,MATCH(SMALL(IF((COUNTIF(AH$1:AH76,Liste)=0)*(Liste&lt;&gt;""),COUNTIF(Liste,"&lt;"&amp;Liste)),1),IF(Liste&lt;&gt;"",COUNTIF(Liste,"&lt;"&amp;Liste)),0)),"")</f>
        <v/>
      </c>
    </row>
    <row r="78" spans="34:34" x14ac:dyDescent="0.25">
      <c r="AH78" t="str">
        <f t="array" ref="AH78">IFERROR(INDEX(Liste,MATCH(SMALL(IF((COUNTIF(AH$1:AH77,Liste)=0)*(Liste&lt;&gt;""),COUNTIF(Liste,"&lt;"&amp;Liste)),1),IF(Liste&lt;&gt;"",COUNTIF(Liste,"&lt;"&amp;Liste)),0)),"")</f>
        <v/>
      </c>
    </row>
    <row r="79" spans="34:34" x14ac:dyDescent="0.25">
      <c r="AH79" t="str">
        <f t="array" ref="AH79">IFERROR(INDEX(Liste,MATCH(SMALL(IF((COUNTIF(AH$1:AH78,Liste)=0)*(Liste&lt;&gt;""),COUNTIF(Liste,"&lt;"&amp;Liste)),1),IF(Liste&lt;&gt;"",COUNTIF(Liste,"&lt;"&amp;Liste)),0)),"")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7FD37-4AD2-4D80-B4CC-7746B6DCAF8D}">
  <sheetPr codeName="Feuil2"/>
  <dimension ref="K2:Z7"/>
  <sheetViews>
    <sheetView showGridLines="0" tabSelected="1" topLeftCell="G1" zoomScaleNormal="100" workbookViewId="0">
      <selection activeCell="Y3" sqref="Y3"/>
    </sheetView>
  </sheetViews>
  <sheetFormatPr defaultColWidth="11.42578125" defaultRowHeight="15" x14ac:dyDescent="0.25"/>
  <cols>
    <col min="10" max="10" width="0" hidden="1" customWidth="1"/>
    <col min="11" max="11" width="11.5703125" hidden="1" customWidth="1"/>
    <col min="12" max="12" width="11.85546875" hidden="1" customWidth="1"/>
    <col min="13" max="14" width="0" hidden="1" customWidth="1"/>
  </cols>
  <sheetData>
    <row r="2" spans="11:26" x14ac:dyDescent="0.25">
      <c r="K2" s="15" cm="1">
        <f t="array" ref="K2:L6">LINEST(Tableau1[Rémuneration Brute 2025],Tableau1[Age],,1)</f>
        <v>627.49824316338038</v>
      </c>
      <c r="L2" s="15">
        <v>51672.683049481551</v>
      </c>
    </row>
    <row r="3" spans="11:26" x14ac:dyDescent="0.25">
      <c r="K3">
        <v>165.00099235384022</v>
      </c>
      <c r="L3">
        <v>8330.7867556091296</v>
      </c>
      <c r="Y3" s="106" cm="1">
        <f t="array" ref="Y3:Z7">LINEST(Tableau1[Mixte],Tableau1[Age],1,1)</f>
        <v>627.49824316338038</v>
      </c>
      <c r="Z3" s="106">
        <v>51672.683049481551</v>
      </c>
    </row>
    <row r="4" spans="11:26" x14ac:dyDescent="0.25">
      <c r="K4" s="16">
        <v>0.27052059970170972</v>
      </c>
      <c r="L4">
        <v>7031.2544094270743</v>
      </c>
      <c r="Y4">
        <v>165.00099235384022</v>
      </c>
      <c r="Z4">
        <v>8330.7867556091296</v>
      </c>
    </row>
    <row r="5" spans="11:26" x14ac:dyDescent="0.25">
      <c r="K5">
        <v>14.462784533809414</v>
      </c>
      <c r="L5">
        <v>39</v>
      </c>
      <c r="Y5" s="105">
        <v>0.27052059970170972</v>
      </c>
      <c r="Z5">
        <v>7031.2544094270743</v>
      </c>
    </row>
    <row r="6" spans="11:26" x14ac:dyDescent="0.25">
      <c r="K6">
        <v>715018931.00560427</v>
      </c>
      <c r="L6">
        <v>1928103004.2334194</v>
      </c>
      <c r="Y6">
        <v>14.462784533809414</v>
      </c>
      <c r="Z6">
        <v>39</v>
      </c>
    </row>
    <row r="7" spans="11:26" x14ac:dyDescent="0.25">
      <c r="Y7">
        <v>715018931.00560427</v>
      </c>
      <c r="Z7">
        <v>1928103004.2334194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4E2DA-E5B9-4076-8174-4ABA4A562197}">
  <sheetPr codeName="Feuil3"/>
  <dimension ref="K3:L5"/>
  <sheetViews>
    <sheetView showGridLines="0" zoomScale="80" zoomScaleNormal="80" workbookViewId="0">
      <selection activeCell="G56" sqref="G56"/>
    </sheetView>
  </sheetViews>
  <sheetFormatPr defaultColWidth="11.42578125" defaultRowHeight="15" x14ac:dyDescent="0.25"/>
  <cols>
    <col min="11" max="11" width="11.5703125" bestFit="1" customWidth="1"/>
    <col min="12" max="12" width="11.85546875" bestFit="1" customWidth="1"/>
  </cols>
  <sheetData>
    <row r="3" spans="11:12" x14ac:dyDescent="0.25">
      <c r="K3" s="15" t="e" cm="1">
        <f t="array" ref="K3">LINEST(Tableau1[Rémuneration Brute 2025],Tableau1[Anc.],,1)</f>
        <v>#VALUE!</v>
      </c>
      <c r="L3" s="15"/>
    </row>
    <row r="5" spans="11:12" x14ac:dyDescent="0.25">
      <c r="K5" s="16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338FC1C9215843A7FA9A386D290B40" ma:contentTypeVersion="19" ma:contentTypeDescription="Crée un document." ma:contentTypeScope="" ma:versionID="21d6058191e02f7b5bff40b0a5545839">
  <xsd:schema xmlns:xsd="http://www.w3.org/2001/XMLSchema" xmlns:xs="http://www.w3.org/2001/XMLSchema" xmlns:p="http://schemas.microsoft.com/office/2006/metadata/properties" xmlns:ns2="36e14515-25c9-4447-9c5c-fa90b2dc2b0c" xmlns:ns3="097d74d1-a94c-4957-8f30-a4b5938eb21b" targetNamespace="http://schemas.microsoft.com/office/2006/metadata/properties" ma:root="true" ma:fieldsID="eea26f93a013279c766e7cb57cd64c6d" ns2:_="" ns3:_="">
    <xsd:import namespace="36e14515-25c9-4447-9c5c-fa90b2dc2b0c"/>
    <xsd:import namespace="097d74d1-a94c-4957-8f30-a4b5938eb21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2:MediaServiceAutoKeyPoints" minOccurs="0"/>
                <xsd:element ref="ns2:MediaServiceKeyPoints" minOccurs="0"/>
                <xsd:element ref="ns2:MediaServiceLocation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e14515-25c9-4447-9c5c-fa90b2dc2b0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6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d74d1-a94c-4957-8f30-a4b5938eb21b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80dbc215-04c6-4d5e-8b5f-eb2780192dc3}" ma:internalName="TaxCatchAll" ma:showField="CatchAllData" ma:web="097d74d1-a94c-4957-8f30-a4b5938eb21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97d74d1-a94c-4957-8f30-a4b5938eb21b" xsi:nil="true"/>
    <lcf76f155ced4ddcb4097134ff3c332f xmlns="36e14515-25c9-4447-9c5c-fa90b2dc2b0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44950A1-D242-482E-8E8B-AC57B183799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D84B20-AAAF-44BA-A5A6-56DCD13FBF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e14515-25c9-4447-9c5c-fa90b2dc2b0c"/>
    <ds:schemaRef ds:uri="097d74d1-a94c-4957-8f30-a4b5938eb21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26DCB00-2233-492B-9317-D51A1A26674B}">
  <ds:schemaRefs>
    <ds:schemaRef ds:uri="http://schemas.microsoft.com/office/2006/metadata/properties"/>
    <ds:schemaRef ds:uri="http://schemas.microsoft.com/office/infopath/2007/PartnerControls"/>
    <ds:schemaRef ds:uri="097d74d1-a94c-4957-8f30-a4b5938eb21b"/>
    <ds:schemaRef ds:uri="36e14515-25c9-4447-9c5c-fa90b2dc2b0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base de travail</vt:lpstr>
      <vt:lpstr>rem par age</vt:lpstr>
      <vt:lpstr>rem par ancienneté</vt:lpstr>
      <vt:lpstr>Liste</vt:lpstr>
      <vt:lpstr>MesPointsIndex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BELKASMI Nezha</dc:creator>
  <cp:lastModifiedBy>BSA</cp:lastModifiedBy>
  <dcterms:created xsi:type="dcterms:W3CDTF">2024-04-04T07:37:52Z</dcterms:created>
  <dcterms:modified xsi:type="dcterms:W3CDTF">2026-03-13T11:21:01Z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0x01010073338FC1C9215843A7FA9A386D290B40</vt:lpwstr>
  </property>
  <property fmtid="{D5CDD505-2E9C-101B-9397-08002B2CF9AE}" pid="3" name="MediaServiceImageTags">
    <vt:lpwstr/>
  </property>
</Properties>
</file>