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 codeName="{DD97A8EA-9A9A-E61F-A557-7D5A7D7259C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1F89F0-3E12-4526-B201-414A578F16E1}" xr6:coauthVersionLast="47" xr6:coauthVersionMax="47" xr10:uidLastSave="{00000000-0000-0000-0000-000000000000}"/>
  <bookViews>
    <workbookView xWindow="-120" yWindow="-120" windowWidth="29040" windowHeight="15990" tabRatio="755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9"/>
  <definedNames>
    <definedName name="_xleta.COUNT" hidden="1" xlm="1">#NAME?</definedName>
    <definedName name="_xleta.COUNTIF" hidden="1" xlm="1">#NAME?</definedName>
    <definedName name="_xlpm.debut" hidden="1" xlm="1">#NAME?</definedName>
    <definedName name="_xlpm.m" hidden="1" xlm="1">#NAME?</definedName>
    <definedName name="_xlpm.rng" hidden="1" xlm="1">#NAME?</definedName>
    <definedName name="_xlpm.Trop" hidden="1" xlm="1">#NAME?</definedName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pivotCaches>
    <pivotCache cacheId="43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6" l="1"/>
  <c r="D11" i="6"/>
  <c r="D20" i="6"/>
  <c r="F34" i="6"/>
  <c r="H46" i="6"/>
  <c r="G48" i="6"/>
  <c r="H56" i="6"/>
  <c r="H80" i="6"/>
  <c r="I94" i="6"/>
  <c r="D104" i="6"/>
  <c r="D52" i="6"/>
  <c r="Y2" i="6"/>
  <c r="P497" i="6"/>
  <c r="P312" i="6"/>
  <c r="P546" i="6"/>
  <c r="P609" i="6"/>
  <c r="P516" i="6"/>
  <c r="P432" i="6"/>
  <c r="P344" i="6"/>
  <c r="P166" i="6"/>
  <c r="P80" i="6"/>
  <c r="P343" i="6"/>
  <c r="P521" i="6"/>
  <c r="P422" i="6"/>
  <c r="P500" i="6"/>
  <c r="P639" i="6"/>
  <c r="P111" i="6"/>
  <c r="P402" i="6"/>
  <c r="P128" i="6"/>
  <c r="P515" i="6"/>
  <c r="P10" i="6"/>
  <c r="P287" i="6"/>
  <c r="P207" i="6"/>
  <c r="P564" i="6"/>
  <c r="P256" i="6"/>
  <c r="P150" i="6"/>
  <c r="P162" i="6"/>
  <c r="P661" i="6"/>
  <c r="P504" i="6"/>
  <c r="E1" i="6"/>
  <c r="P396" i="6" s="1"/>
  <c r="F1" i="6"/>
  <c r="P95" i="6" s="1"/>
  <c r="G1" i="6"/>
  <c r="P510" i="6" s="1"/>
  <c r="H1" i="6"/>
  <c r="P358" i="6" s="1"/>
  <c r="I1" i="6"/>
  <c r="P599" i="6" s="1"/>
  <c r="D1" i="6"/>
  <c r="P115" i="6" s="1"/>
  <c r="D9" i="6"/>
  <c r="H17" i="6"/>
  <c r="G18" i="6"/>
  <c r="H30" i="6"/>
  <c r="I37" i="6"/>
  <c r="D38" i="6"/>
  <c r="D45" i="6"/>
  <c r="F50" i="6"/>
  <c r="E54" i="6"/>
  <c r="I58" i="6"/>
  <c r="F61" i="6"/>
  <c r="G66" i="6"/>
  <c r="I70" i="6"/>
  <c r="D78" i="6"/>
  <c r="H82" i="6"/>
  <c r="I89" i="6"/>
  <c r="D90" i="6"/>
  <c r="G106" i="6"/>
  <c r="I13" i="6"/>
  <c r="H13" i="6"/>
  <c r="G13" i="6"/>
  <c r="F13" i="6"/>
  <c r="E13" i="6"/>
  <c r="D13" i="6"/>
  <c r="I5" i="6"/>
  <c r="H5" i="6"/>
  <c r="G5" i="6"/>
  <c r="F5" i="6"/>
  <c r="E5" i="6"/>
  <c r="D5" i="6"/>
  <c r="P352" i="6" l="1"/>
  <c r="P9" i="6"/>
  <c r="P377" i="6"/>
  <c r="P578" i="6"/>
  <c r="P576" i="6"/>
  <c r="P507" i="6"/>
  <c r="P328" i="6"/>
  <c r="P555" i="6"/>
  <c r="P252" i="6"/>
  <c r="P462" i="6"/>
  <c r="P506" i="6"/>
  <c r="P365" i="6"/>
  <c r="P556" i="6"/>
  <c r="P601" i="6"/>
  <c r="P253" i="6"/>
  <c r="P204" i="6"/>
  <c r="P160" i="6"/>
  <c r="P61" i="6"/>
  <c r="P539" i="6"/>
  <c r="P642" i="6"/>
  <c r="P363" i="6"/>
  <c r="P110" i="6"/>
  <c r="P466" i="6"/>
  <c r="P49" i="6"/>
  <c r="P245" i="6"/>
  <c r="P397" i="6"/>
  <c r="P624" i="6"/>
  <c r="P538" i="6"/>
  <c r="P57" i="6"/>
  <c r="P141" i="6"/>
  <c r="P179" i="6"/>
  <c r="P491" i="6"/>
  <c r="P471" i="6"/>
  <c r="P368" i="6"/>
  <c r="P616" i="6"/>
  <c r="P66" i="6"/>
  <c r="P125" i="6"/>
  <c r="P669" i="6"/>
  <c r="P460" i="6"/>
  <c r="P373" i="6"/>
  <c r="P439" i="6"/>
  <c r="P416" i="6"/>
  <c r="P614" i="6"/>
  <c r="P308" i="6"/>
  <c r="P660" i="6"/>
  <c r="P401" i="6"/>
  <c r="P275" i="6"/>
  <c r="P638" i="6"/>
  <c r="P393" i="6"/>
  <c r="P112" i="6"/>
  <c r="P349" i="6"/>
  <c r="P423" i="6"/>
  <c r="P172" i="6"/>
  <c r="P268" i="6"/>
  <c r="P557" i="6"/>
  <c r="P572" i="6"/>
  <c r="P240" i="6"/>
  <c r="P658" i="6"/>
  <c r="P560" i="6"/>
  <c r="P232" i="6"/>
  <c r="P337" i="6"/>
  <c r="P264" i="6"/>
  <c r="P494" i="6"/>
  <c r="P518" i="6"/>
  <c r="P59" i="6"/>
  <c r="P449" i="6"/>
  <c r="P62" i="6"/>
  <c r="P330" i="6"/>
  <c r="P571" i="6"/>
  <c r="P168" i="6"/>
  <c r="P143" i="6"/>
  <c r="P629" i="6"/>
  <c r="P63" i="6"/>
  <c r="P144" i="6"/>
  <c r="P190" i="6"/>
  <c r="P163" i="6"/>
  <c r="P552" i="6"/>
  <c r="P278" i="6"/>
  <c r="P147" i="6"/>
  <c r="P512" i="6"/>
  <c r="P197" i="6"/>
  <c r="P465" i="6"/>
  <c r="P279" i="6"/>
  <c r="P186" i="6"/>
  <c r="P87" i="6"/>
  <c r="P238" i="6"/>
  <c r="P646" i="6"/>
  <c r="P540" i="6"/>
  <c r="P40" i="6"/>
  <c r="P209" i="6"/>
  <c r="P106" i="6"/>
  <c r="P443" i="6"/>
  <c r="P203" i="6"/>
  <c r="P424" i="6"/>
  <c r="P408" i="6"/>
  <c r="P255" i="6"/>
  <c r="P225" i="6"/>
  <c r="P119" i="6"/>
  <c r="P663" i="6"/>
  <c r="P444" i="6"/>
  <c r="P357" i="6"/>
  <c r="P48" i="6"/>
  <c r="P82" i="6"/>
  <c r="P559" i="6"/>
  <c r="P440" i="6"/>
  <c r="P36" i="6"/>
  <c r="P118" i="6"/>
  <c r="P242" i="6"/>
  <c r="P562" i="6"/>
  <c r="P450" i="6"/>
  <c r="P493" i="6"/>
  <c r="P233" i="6"/>
  <c r="P525" i="6"/>
  <c r="P537" i="6"/>
  <c r="P133" i="6"/>
  <c r="P451" i="6"/>
  <c r="P46" i="6"/>
  <c r="P415" i="6"/>
  <c r="P145" i="6"/>
  <c r="P98" i="6"/>
  <c r="P243" i="6"/>
  <c r="P628" i="6"/>
  <c r="P392" i="6"/>
  <c r="P85" i="6"/>
  <c r="P107" i="6"/>
  <c r="P476" i="6"/>
  <c r="P231" i="6"/>
  <c r="P605" i="6"/>
  <c r="P285" i="6"/>
  <c r="P205" i="6"/>
  <c r="P323" i="6"/>
  <c r="P259" i="6"/>
  <c r="P158" i="6"/>
  <c r="P472" i="6"/>
  <c r="P553" i="6"/>
  <c r="P438" i="6"/>
  <c r="P170" i="6"/>
  <c r="P595" i="6"/>
  <c r="P514" i="6"/>
  <c r="P430" i="6"/>
  <c r="P356" i="6"/>
  <c r="P335" i="6"/>
  <c r="P64" i="6"/>
  <c r="P632" i="6"/>
  <c r="P577" i="6"/>
  <c r="P71" i="6"/>
  <c r="P239" i="6"/>
  <c r="P39" i="6"/>
  <c r="P290" i="6"/>
  <c r="P76" i="6"/>
  <c r="P534" i="6"/>
  <c r="P407" i="6"/>
  <c r="P99" i="6"/>
  <c r="P196" i="6"/>
  <c r="P55" i="6"/>
  <c r="P293" i="6"/>
  <c r="P583" i="6"/>
  <c r="P241" i="6"/>
  <c r="P495" i="6"/>
  <c r="P454" i="6"/>
  <c r="P44" i="6"/>
  <c r="P103" i="6"/>
  <c r="P643" i="6"/>
  <c r="P574" i="6"/>
  <c r="P14" i="6"/>
  <c r="P431" i="6"/>
  <c r="P38" i="6"/>
  <c r="P74" i="6"/>
  <c r="P324" i="6"/>
  <c r="P65" i="6"/>
  <c r="P211" i="6"/>
  <c r="P297" i="6"/>
  <c r="P258" i="6"/>
  <c r="P317" i="6"/>
  <c r="P617" i="6"/>
  <c r="P161" i="6"/>
  <c r="P608" i="6"/>
  <c r="P420" i="6"/>
  <c r="P222" i="6"/>
  <c r="P131" i="6"/>
  <c r="P433" i="6"/>
  <c r="P563" i="6"/>
  <c r="P428" i="6"/>
  <c r="P127" i="6"/>
  <c r="P266" i="6"/>
  <c r="P93" i="6"/>
  <c r="P371" i="6"/>
  <c r="P459" i="6"/>
  <c r="P263" i="6"/>
  <c r="P369" i="6"/>
  <c r="P277" i="6"/>
  <c r="P478" i="6"/>
  <c r="P227" i="6"/>
  <c r="P78" i="6"/>
  <c r="P566" i="6"/>
  <c r="P455" i="6"/>
  <c r="P604" i="6"/>
  <c r="P448" i="6"/>
  <c r="P452" i="6"/>
  <c r="P519" i="6"/>
  <c r="P281" i="6"/>
  <c r="P52" i="6"/>
  <c r="P627" i="6"/>
  <c r="P7" i="6"/>
  <c r="P468" i="6"/>
  <c r="P662" i="6"/>
  <c r="P480" i="6"/>
  <c r="P257" i="6"/>
  <c r="P306" i="6"/>
  <c r="P398" i="6"/>
  <c r="P280" i="6"/>
  <c r="P292" i="6"/>
  <c r="P274" i="6"/>
  <c r="P189" i="6"/>
  <c r="P325" i="6"/>
  <c r="P22" i="6"/>
  <c r="P185" i="6"/>
  <c r="P234" i="6"/>
  <c r="P341" i="6"/>
  <c r="P435" i="6"/>
  <c r="P489" i="6"/>
  <c r="P294" i="6"/>
  <c r="P651" i="6"/>
  <c r="P27" i="6"/>
  <c r="P640" i="6"/>
  <c r="P221" i="6"/>
  <c r="P436" i="6"/>
  <c r="P92" i="6"/>
  <c r="P260" i="6"/>
  <c r="P218" i="6"/>
  <c r="P334" i="6"/>
  <c r="P612" i="6"/>
  <c r="P321" i="6"/>
  <c r="P215" i="6"/>
  <c r="P183" i="6"/>
  <c r="P228" i="6"/>
  <c r="P6" i="6"/>
  <c r="P630" i="6"/>
  <c r="P208" i="6"/>
  <c r="P284" i="6"/>
  <c r="P446" i="6"/>
  <c r="P121" i="6"/>
  <c r="P250" i="6"/>
  <c r="P187" i="6"/>
  <c r="P32" i="6"/>
  <c r="P25" i="6"/>
  <c r="P340" i="6"/>
  <c r="P300" i="6"/>
  <c r="P656" i="6"/>
  <c r="P47" i="6"/>
  <c r="P527" i="6"/>
  <c r="P224" i="6"/>
  <c r="P291" i="6"/>
  <c r="P116" i="6"/>
  <c r="P524" i="6"/>
  <c r="P320" i="6"/>
  <c r="P29" i="6"/>
  <c r="P644" i="6"/>
  <c r="P217" i="6"/>
  <c r="P58" i="6"/>
  <c r="P467" i="6"/>
  <c r="P210" i="6"/>
  <c r="P520" i="6"/>
  <c r="P650" i="6"/>
  <c r="P372" i="6"/>
  <c r="P502" i="6"/>
  <c r="P598" i="6"/>
  <c r="P310" i="6"/>
  <c r="P13" i="6"/>
  <c r="P573" i="6"/>
  <c r="P374" i="6"/>
  <c r="P219" i="6"/>
  <c r="P425" i="6"/>
  <c r="P528" i="6"/>
  <c r="P655" i="6"/>
  <c r="P418" i="6"/>
  <c r="P37" i="6"/>
  <c r="P56" i="6"/>
  <c r="P362" i="6"/>
  <c r="P360" i="6"/>
  <c r="P251" i="6"/>
  <c r="P613" i="6"/>
  <c r="P296" i="6"/>
  <c r="P271" i="6"/>
  <c r="P513" i="6"/>
  <c r="P254" i="6"/>
  <c r="P302" i="6"/>
  <c r="P569" i="6"/>
  <c r="P523" i="6"/>
  <c r="P618" i="6"/>
  <c r="P94" i="6"/>
  <c r="P237" i="6"/>
  <c r="P385" i="6"/>
  <c r="P77" i="6"/>
  <c r="P50" i="6"/>
  <c r="P41" i="6"/>
  <c r="P554" i="6"/>
  <c r="P307" i="6"/>
  <c r="P600" i="6"/>
  <c r="P220" i="6"/>
  <c r="P594" i="6"/>
  <c r="P637" i="6"/>
  <c r="P315" i="6"/>
  <c r="P97" i="6"/>
  <c r="P331" i="6"/>
  <c r="P544" i="6"/>
  <c r="P171" i="6"/>
  <c r="P265" i="6"/>
  <c r="P508" i="6"/>
  <c r="P606" i="6"/>
  <c r="P589" i="6"/>
  <c r="P547" i="6"/>
  <c r="P19" i="6"/>
  <c r="P366" i="6"/>
  <c r="P406" i="6"/>
  <c r="P165" i="6"/>
  <c r="P15" i="6"/>
  <c r="P636" i="6"/>
  <c r="P492" i="6"/>
  <c r="P164" i="6"/>
  <c r="P666" i="6"/>
  <c r="P138" i="6"/>
  <c r="P139" i="6"/>
  <c r="P551" i="6"/>
  <c r="P389" i="6"/>
  <c r="P622" i="6"/>
  <c r="P488" i="6"/>
  <c r="P414" i="6"/>
  <c r="P303" i="6"/>
  <c r="P426" i="6"/>
  <c r="P558" i="6"/>
  <c r="P137" i="6"/>
  <c r="P198" i="6"/>
  <c r="P34" i="6"/>
  <c r="P33" i="6"/>
  <c r="P153" i="6"/>
  <c r="P313" i="6"/>
  <c r="P404" i="6"/>
  <c r="P173" i="6"/>
  <c r="P226" i="6"/>
  <c r="P484" i="6"/>
  <c r="P400" i="6"/>
  <c r="P132" i="6"/>
  <c r="P17" i="6"/>
  <c r="P184" i="6"/>
  <c r="P375" i="6"/>
  <c r="P305" i="6"/>
  <c r="P156" i="6"/>
  <c r="P483" i="6"/>
  <c r="P486" i="6"/>
  <c r="P101" i="6"/>
  <c r="P475" i="6"/>
  <c r="P214" i="6"/>
  <c r="P91" i="6"/>
  <c r="P21" i="6"/>
  <c r="P35" i="6"/>
  <c r="P346" i="6"/>
  <c r="P355" i="6"/>
  <c r="P322" i="6"/>
  <c r="P395" i="6"/>
  <c r="P359" i="6"/>
  <c r="P367" i="6"/>
  <c r="P474" i="6"/>
  <c r="P45" i="6"/>
  <c r="P267" i="6"/>
  <c r="P81" i="6"/>
  <c r="P83" i="6"/>
  <c r="P88" i="6"/>
  <c r="P437" i="6"/>
  <c r="P262" i="6"/>
  <c r="P441" i="6"/>
  <c r="P298" i="6"/>
  <c r="P72" i="6"/>
  <c r="P261" i="6"/>
  <c r="P479" i="6"/>
  <c r="P175" i="6"/>
  <c r="P192" i="6"/>
  <c r="P582" i="6"/>
  <c r="P382" i="6"/>
  <c r="P177" i="6"/>
  <c r="P461" i="6"/>
  <c r="P327" i="6"/>
  <c r="P380" i="6"/>
  <c r="P216" i="6"/>
  <c r="P342" i="6"/>
  <c r="P89" i="6"/>
  <c r="P615" i="6"/>
  <c r="P123" i="6"/>
  <c r="P383" i="6"/>
  <c r="P151" i="6"/>
  <c r="P316" i="6"/>
  <c r="P140" i="6"/>
  <c r="P117" i="6"/>
  <c r="P545" i="6"/>
  <c r="P364" i="6"/>
  <c r="P201" i="6"/>
  <c r="P645" i="6"/>
  <c r="P532" i="6"/>
  <c r="P453" i="6"/>
  <c r="P149" i="6"/>
  <c r="P188" i="6"/>
  <c r="P353" i="6"/>
  <c r="P70" i="6"/>
  <c r="P54" i="6"/>
  <c r="P152" i="6"/>
  <c r="P73" i="6"/>
  <c r="P155" i="6"/>
  <c r="P142" i="6"/>
  <c r="P134" i="6"/>
  <c r="P591" i="6"/>
  <c r="P505" i="6"/>
  <c r="P126" i="6"/>
  <c r="P229" i="6"/>
  <c r="P410" i="6"/>
  <c r="P309" i="6"/>
  <c r="P567" i="6"/>
  <c r="P270" i="6"/>
  <c r="P30" i="6"/>
  <c r="P607" i="6"/>
  <c r="P641" i="6"/>
  <c r="P157" i="6"/>
  <c r="P8" i="6"/>
  <c r="P549" i="6"/>
  <c r="P625" i="6"/>
  <c r="P329" i="6"/>
  <c r="P350" i="6"/>
  <c r="P136" i="6"/>
  <c r="P542" i="6"/>
  <c r="P634" i="6"/>
  <c r="P86" i="6"/>
  <c r="P295" i="6"/>
  <c r="P619" i="6"/>
  <c r="P487" i="6"/>
  <c r="P526" i="6"/>
  <c r="P623" i="6"/>
  <c r="P230" i="6"/>
  <c r="P223" i="6"/>
  <c r="P575" i="6"/>
  <c r="P31" i="6"/>
  <c r="P469" i="6"/>
  <c r="P550" i="6"/>
  <c r="P348" i="6"/>
  <c r="P288" i="6"/>
  <c r="P477" i="6"/>
  <c r="P570" i="6"/>
  <c r="P657" i="6"/>
  <c r="P182" i="6"/>
  <c r="P517" i="6"/>
  <c r="P427" i="6"/>
  <c r="P286" i="6"/>
  <c r="P585" i="6"/>
  <c r="P665" i="6"/>
  <c r="P108" i="6"/>
  <c r="P181" i="6"/>
  <c r="P100" i="6"/>
  <c r="P653" i="6"/>
  <c r="P588" i="6"/>
  <c r="P90" i="6"/>
  <c r="P496" i="6"/>
  <c r="P403" i="6"/>
  <c r="P456" i="6"/>
  <c r="P388" i="6"/>
  <c r="P610" i="6"/>
  <c r="P429" i="6"/>
  <c r="P597" i="6"/>
  <c r="P584" i="6"/>
  <c r="P114" i="6"/>
  <c r="P345" i="6"/>
  <c r="P626" i="6"/>
  <c r="P442" i="6"/>
  <c r="P105" i="6"/>
  <c r="P28" i="6"/>
  <c r="P457" i="6"/>
  <c r="P590" i="6"/>
  <c r="P247" i="6"/>
  <c r="P593" i="6"/>
  <c r="P379" i="6"/>
  <c r="P193" i="6"/>
  <c r="P69" i="6"/>
  <c r="P304" i="6"/>
  <c r="P249" i="6"/>
  <c r="P60" i="6"/>
  <c r="P318" i="6"/>
  <c r="P664" i="6"/>
  <c r="P174" i="6"/>
  <c r="P5" i="6"/>
  <c r="P529" i="6"/>
  <c r="P635" i="6"/>
  <c r="P482" i="6"/>
  <c r="P565" i="6"/>
  <c r="P581" i="6"/>
  <c r="P580" i="6"/>
  <c r="P464" i="6"/>
  <c r="P533" i="6"/>
  <c r="P503" i="6"/>
  <c r="P351" i="6"/>
  <c r="P413" i="6"/>
  <c r="P535" i="6"/>
  <c r="P602" i="6"/>
  <c r="P154" i="6"/>
  <c r="P11" i="6"/>
  <c r="P26" i="6"/>
  <c r="P649" i="6"/>
  <c r="P311" i="6"/>
  <c r="P178" i="6"/>
  <c r="P248" i="6"/>
  <c r="P113" i="6"/>
  <c r="P51" i="6"/>
  <c r="P361" i="6"/>
  <c r="P200" i="6"/>
  <c r="P167" i="6"/>
  <c r="P23" i="6"/>
  <c r="P18" i="6"/>
  <c r="P333" i="6"/>
  <c r="P122" i="6"/>
  <c r="P522" i="6"/>
  <c r="P282" i="6"/>
  <c r="P283" i="6"/>
  <c r="P120" i="6"/>
  <c r="P621" i="6"/>
  <c r="P130" i="6"/>
  <c r="P473" i="6"/>
  <c r="P124" i="6"/>
  <c r="P603" i="6"/>
  <c r="P236" i="6"/>
  <c r="P654" i="6"/>
  <c r="P421" i="6"/>
  <c r="P146" i="6"/>
  <c r="P470" i="6"/>
  <c r="P648" i="6"/>
  <c r="P631" i="6"/>
  <c r="P159" i="6"/>
  <c r="P376" i="6"/>
  <c r="P501" i="6"/>
  <c r="P16" i="6"/>
  <c r="P481" i="6"/>
  <c r="P390" i="6"/>
  <c r="P548" i="6"/>
  <c r="P269" i="6"/>
  <c r="P647" i="6"/>
  <c r="P592" i="6"/>
  <c r="P652" i="6"/>
  <c r="P213" i="6"/>
  <c r="P109" i="6"/>
  <c r="P67" i="6"/>
  <c r="P354" i="6"/>
  <c r="P586" i="6"/>
  <c r="P148" i="6"/>
  <c r="P561" i="6"/>
  <c r="P244" i="6"/>
  <c r="P338" i="6"/>
  <c r="P579" i="6"/>
  <c r="P53" i="6"/>
  <c r="P499" i="6"/>
  <c r="P347" i="6"/>
  <c r="P463" i="6"/>
  <c r="P387" i="6"/>
  <c r="P84" i="6"/>
  <c r="P394" i="6"/>
  <c r="P531" i="6"/>
  <c r="P667" i="6"/>
  <c r="P434" i="6"/>
  <c r="P659" i="6"/>
  <c r="P611" i="6"/>
  <c r="P417" i="6"/>
  <c r="P633" i="6"/>
  <c r="P490" i="6"/>
  <c r="P299" i="6"/>
  <c r="P509" i="6"/>
  <c r="P447" i="6"/>
  <c r="P176" i="6"/>
  <c r="P511" i="6"/>
  <c r="P12" i="6"/>
  <c r="P543" i="6"/>
  <c r="P135" i="6"/>
  <c r="P314" i="6"/>
  <c r="P530" i="6"/>
  <c r="P194" i="6"/>
  <c r="P332" i="6"/>
  <c r="P75" i="6"/>
  <c r="P378" i="6"/>
  <c r="P536" i="6"/>
  <c r="P289" i="6"/>
  <c r="P405" i="6"/>
  <c r="P412" i="6"/>
  <c r="P381" i="6"/>
  <c r="P102" i="6"/>
  <c r="P668" i="6"/>
  <c r="P129" i="6"/>
  <c r="P587" i="6"/>
  <c r="P445" i="6"/>
  <c r="P273" i="6"/>
  <c r="P409" i="6"/>
  <c r="P68" i="6"/>
  <c r="P319" i="6"/>
  <c r="P42" i="6"/>
  <c r="P541" i="6"/>
  <c r="P596" i="6"/>
  <c r="P419" i="6"/>
  <c r="P24" i="6"/>
  <c r="P199" i="6"/>
  <c r="P272" i="6"/>
  <c r="P370" i="6"/>
  <c r="P386" i="6"/>
  <c r="P276" i="6"/>
  <c r="P485" i="6"/>
  <c r="P79" i="6"/>
  <c r="P104" i="6"/>
  <c r="P206" i="6"/>
  <c r="P620" i="6"/>
  <c r="P336" i="6"/>
  <c r="P301" i="6"/>
  <c r="P96" i="6"/>
  <c r="P191" i="6"/>
  <c r="P20" i="6"/>
  <c r="P326" i="6"/>
  <c r="P411" i="6"/>
  <c r="P246" i="6"/>
  <c r="P339" i="6"/>
  <c r="P391" i="6"/>
  <c r="P568" i="6"/>
  <c r="P498" i="6"/>
  <c r="P180" i="6"/>
  <c r="P169" i="6"/>
  <c r="P43" i="6"/>
  <c r="P399" i="6"/>
  <c r="P235" i="6"/>
  <c r="P384" i="6"/>
  <c r="P202" i="6"/>
  <c r="P458" i="6"/>
  <c r="P212" i="6"/>
  <c r="P195" i="6"/>
  <c r="F52" i="6"/>
  <c r="E80" i="6"/>
  <c r="G34" i="6"/>
  <c r="E45" i="6"/>
  <c r="G94" i="6"/>
  <c r="D66" i="6"/>
  <c r="F17" i="6"/>
  <c r="G61" i="6"/>
  <c r="H107" i="6"/>
  <c r="D107" i="6"/>
  <c r="E107" i="6"/>
  <c r="F107" i="6"/>
  <c r="I107" i="6"/>
  <c r="G107" i="6"/>
  <c r="H103" i="6"/>
  <c r="D103" i="6"/>
  <c r="G103" i="6"/>
  <c r="I103" i="6"/>
  <c r="F103" i="6"/>
  <c r="E103" i="6"/>
  <c r="H99" i="6"/>
  <c r="D99" i="6"/>
  <c r="E99" i="6"/>
  <c r="I99" i="6"/>
  <c r="G99" i="6"/>
  <c r="F99" i="6"/>
  <c r="H95" i="6"/>
  <c r="D95" i="6"/>
  <c r="G95" i="6"/>
  <c r="F95" i="6"/>
  <c r="E95" i="6"/>
  <c r="I95" i="6"/>
  <c r="H91" i="6"/>
  <c r="D91" i="6"/>
  <c r="E91" i="6"/>
  <c r="I91" i="6"/>
  <c r="G91" i="6"/>
  <c r="F91" i="6"/>
  <c r="H87" i="6"/>
  <c r="D87" i="6"/>
  <c r="G87" i="6"/>
  <c r="E87" i="6"/>
  <c r="I87" i="6"/>
  <c r="F87" i="6"/>
  <c r="H83" i="6"/>
  <c r="D83" i="6"/>
  <c r="E83" i="6"/>
  <c r="G83" i="6"/>
  <c r="F83" i="6"/>
  <c r="I83" i="6"/>
  <c r="H79" i="6"/>
  <c r="D79" i="6"/>
  <c r="G79" i="6"/>
  <c r="I79" i="6"/>
  <c r="F79" i="6"/>
  <c r="E79" i="6"/>
  <c r="H75" i="6"/>
  <c r="D75" i="6"/>
  <c r="E75" i="6"/>
  <c r="F75" i="6"/>
  <c r="I75" i="6"/>
  <c r="G75" i="6"/>
  <c r="H71" i="6"/>
  <c r="D71" i="6"/>
  <c r="G71" i="6"/>
  <c r="I71" i="6"/>
  <c r="F71" i="6"/>
  <c r="E71" i="6"/>
  <c r="H67" i="6"/>
  <c r="D67" i="6"/>
  <c r="E67" i="6"/>
  <c r="I67" i="6"/>
  <c r="G67" i="6"/>
  <c r="F67" i="6"/>
  <c r="H63" i="6"/>
  <c r="D63" i="6"/>
  <c r="G63" i="6"/>
  <c r="F63" i="6"/>
  <c r="E63" i="6"/>
  <c r="I63" i="6"/>
  <c r="H59" i="6"/>
  <c r="D59" i="6"/>
  <c r="E59" i="6"/>
  <c r="I59" i="6"/>
  <c r="G59" i="6"/>
  <c r="F59" i="6"/>
  <c r="H55" i="6"/>
  <c r="D55" i="6"/>
  <c r="G55" i="6"/>
  <c r="E55" i="6"/>
  <c r="I55" i="6"/>
  <c r="F55" i="6"/>
  <c r="G51" i="6"/>
  <c r="I51" i="6"/>
  <c r="D51" i="6"/>
  <c r="H51" i="6"/>
  <c r="F51" i="6"/>
  <c r="E51" i="6"/>
  <c r="G47" i="6"/>
  <c r="F47" i="6"/>
  <c r="E47" i="6"/>
  <c r="I47" i="6"/>
  <c r="H47" i="6"/>
  <c r="D47" i="6"/>
  <c r="G43" i="6"/>
  <c r="I43" i="6"/>
  <c r="D43" i="6"/>
  <c r="H43" i="6"/>
  <c r="F43" i="6"/>
  <c r="E43" i="6"/>
  <c r="G39" i="6"/>
  <c r="F39" i="6"/>
  <c r="E39" i="6"/>
  <c r="D39" i="6"/>
  <c r="I39" i="6"/>
  <c r="H39" i="6"/>
  <c r="G35" i="6"/>
  <c r="I35" i="6"/>
  <c r="D35" i="6"/>
  <c r="H35" i="6"/>
  <c r="F35" i="6"/>
  <c r="E35" i="6"/>
  <c r="G31" i="6"/>
  <c r="F31" i="6"/>
  <c r="E31" i="6"/>
  <c r="I31" i="6"/>
  <c r="H31" i="6"/>
  <c r="D31" i="6"/>
  <c r="G27" i="6"/>
  <c r="I27" i="6"/>
  <c r="D27" i="6"/>
  <c r="H27" i="6"/>
  <c r="F27" i="6"/>
  <c r="E27" i="6"/>
  <c r="G23" i="6"/>
  <c r="F23" i="6"/>
  <c r="E23" i="6"/>
  <c r="D23" i="6"/>
  <c r="I23" i="6"/>
  <c r="H23" i="6"/>
  <c r="G19" i="6"/>
  <c r="I19" i="6"/>
  <c r="D19" i="6"/>
  <c r="H19" i="6"/>
  <c r="F19" i="6"/>
  <c r="E19" i="6"/>
  <c r="G15" i="6"/>
  <c r="F15" i="6"/>
  <c r="I15" i="6"/>
  <c r="H15" i="6"/>
  <c r="E15" i="6"/>
  <c r="D15" i="6"/>
  <c r="I10" i="6"/>
  <c r="E10" i="6"/>
  <c r="F10" i="6"/>
  <c r="H10" i="6"/>
  <c r="G10" i="6"/>
  <c r="D10" i="6"/>
  <c r="D6" i="6"/>
  <c r="I6" i="6"/>
  <c r="E6" i="6"/>
  <c r="H6" i="6"/>
  <c r="G6" i="6"/>
  <c r="F6" i="6"/>
  <c r="H105" i="6"/>
  <c r="D105" i="6"/>
  <c r="F105" i="6"/>
  <c r="I105" i="6"/>
  <c r="G105" i="6"/>
  <c r="E105" i="6"/>
  <c r="H101" i="6"/>
  <c r="D101" i="6"/>
  <c r="I101" i="6"/>
  <c r="F101" i="6"/>
  <c r="E101" i="6"/>
  <c r="G101" i="6"/>
  <c r="H97" i="6"/>
  <c r="D97" i="6"/>
  <c r="F97" i="6"/>
  <c r="I97" i="6"/>
  <c r="G97" i="6"/>
  <c r="E97" i="6"/>
  <c r="H93" i="6"/>
  <c r="D93" i="6"/>
  <c r="I93" i="6"/>
  <c r="E93" i="6"/>
  <c r="G93" i="6"/>
  <c r="F93" i="6"/>
  <c r="H89" i="6"/>
  <c r="D89" i="6"/>
  <c r="F89" i="6"/>
  <c r="G89" i="6"/>
  <c r="E89" i="6"/>
  <c r="H85" i="6"/>
  <c r="D85" i="6"/>
  <c r="I85" i="6"/>
  <c r="G85" i="6"/>
  <c r="H81" i="6"/>
  <c r="D81" i="6"/>
  <c r="F81" i="6"/>
  <c r="E81" i="6"/>
  <c r="I81" i="6"/>
  <c r="G81" i="6"/>
  <c r="H77" i="6"/>
  <c r="D77" i="6"/>
  <c r="I77" i="6"/>
  <c r="G77" i="6"/>
  <c r="F77" i="6"/>
  <c r="E77" i="6"/>
  <c r="H73" i="6"/>
  <c r="D73" i="6"/>
  <c r="F73" i="6"/>
  <c r="I73" i="6"/>
  <c r="G73" i="6"/>
  <c r="E73" i="6"/>
  <c r="H69" i="6"/>
  <c r="D69" i="6"/>
  <c r="I69" i="6"/>
  <c r="F69" i="6"/>
  <c r="E69" i="6"/>
  <c r="G69" i="6"/>
  <c r="H65" i="6"/>
  <c r="D65" i="6"/>
  <c r="F65" i="6"/>
  <c r="I65" i="6"/>
  <c r="G65" i="6"/>
  <c r="E65" i="6"/>
  <c r="H61" i="6"/>
  <c r="D61" i="6"/>
  <c r="I61" i="6"/>
  <c r="E61" i="6"/>
  <c r="H57" i="6"/>
  <c r="D57" i="6"/>
  <c r="F57" i="6"/>
  <c r="G57" i="6"/>
  <c r="E57" i="6"/>
  <c r="I57" i="6"/>
  <c r="H53" i="6"/>
  <c r="D53" i="6"/>
  <c r="I53" i="6"/>
  <c r="G53" i="6"/>
  <c r="F53" i="6"/>
  <c r="E53" i="6"/>
  <c r="G49" i="6"/>
  <c r="E49" i="6"/>
  <c r="I49" i="6"/>
  <c r="D49" i="6"/>
  <c r="H49" i="6"/>
  <c r="F49" i="6"/>
  <c r="G45" i="6"/>
  <c r="H45" i="6"/>
  <c r="F45" i="6"/>
  <c r="I45" i="6"/>
  <c r="G41" i="6"/>
  <c r="E41" i="6"/>
  <c r="I41" i="6"/>
  <c r="D41" i="6"/>
  <c r="G37" i="6"/>
  <c r="H37" i="6"/>
  <c r="F37" i="6"/>
  <c r="E37" i="6"/>
  <c r="D37" i="6"/>
  <c r="G33" i="6"/>
  <c r="E33" i="6"/>
  <c r="I33" i="6"/>
  <c r="D33" i="6"/>
  <c r="H33" i="6"/>
  <c r="F33" i="6"/>
  <c r="G29" i="6"/>
  <c r="H29" i="6"/>
  <c r="F29" i="6"/>
  <c r="I29" i="6"/>
  <c r="E29" i="6"/>
  <c r="D29" i="6"/>
  <c r="G25" i="6"/>
  <c r="E25" i="6"/>
  <c r="I25" i="6"/>
  <c r="D25" i="6"/>
  <c r="H25" i="6"/>
  <c r="F25" i="6"/>
  <c r="G21" i="6"/>
  <c r="H21" i="6"/>
  <c r="F21" i="6"/>
  <c r="E21" i="6"/>
  <c r="D21" i="6"/>
  <c r="I21" i="6"/>
  <c r="G17" i="6"/>
  <c r="E17" i="6"/>
  <c r="D17" i="6"/>
  <c r="I17" i="6"/>
  <c r="I12" i="6"/>
  <c r="E12" i="6"/>
  <c r="D12" i="6"/>
  <c r="H12" i="6"/>
  <c r="F12" i="6"/>
  <c r="I8" i="6"/>
  <c r="E8" i="6"/>
  <c r="G8" i="6"/>
  <c r="F8" i="6"/>
  <c r="D8" i="6"/>
  <c r="F41" i="6"/>
  <c r="E85" i="6"/>
  <c r="F108" i="6"/>
  <c r="I108" i="6"/>
  <c r="D108" i="6"/>
  <c r="H108" i="6"/>
  <c r="G108" i="6"/>
  <c r="E108" i="6"/>
  <c r="F104" i="6"/>
  <c r="G104" i="6"/>
  <c r="I104" i="6"/>
  <c r="H104" i="6"/>
  <c r="F100" i="6"/>
  <c r="I100" i="6"/>
  <c r="D100" i="6"/>
  <c r="E100" i="6"/>
  <c r="H100" i="6"/>
  <c r="G100" i="6"/>
  <c r="F96" i="6"/>
  <c r="G96" i="6"/>
  <c r="H96" i="6"/>
  <c r="E96" i="6"/>
  <c r="D96" i="6"/>
  <c r="I96" i="6"/>
  <c r="F92" i="6"/>
  <c r="I92" i="6"/>
  <c r="D92" i="6"/>
  <c r="H92" i="6"/>
  <c r="G92" i="6"/>
  <c r="E92" i="6"/>
  <c r="F88" i="6"/>
  <c r="G88" i="6"/>
  <c r="E88" i="6"/>
  <c r="D88" i="6"/>
  <c r="I88" i="6"/>
  <c r="H88" i="6"/>
  <c r="F84" i="6"/>
  <c r="I84" i="6"/>
  <c r="D84" i="6"/>
  <c r="H84" i="6"/>
  <c r="G84" i="6"/>
  <c r="E84" i="6"/>
  <c r="F80" i="6"/>
  <c r="G80" i="6"/>
  <c r="D80" i="6"/>
  <c r="I80" i="6"/>
  <c r="F76" i="6"/>
  <c r="I76" i="6"/>
  <c r="D76" i="6"/>
  <c r="G76" i="6"/>
  <c r="E76" i="6"/>
  <c r="H76" i="6"/>
  <c r="F72" i="6"/>
  <c r="G72" i="6"/>
  <c r="I72" i="6"/>
  <c r="H72" i="6"/>
  <c r="E72" i="6"/>
  <c r="D72" i="6"/>
  <c r="F68" i="6"/>
  <c r="I68" i="6"/>
  <c r="D68" i="6"/>
  <c r="E68" i="6"/>
  <c r="H68" i="6"/>
  <c r="G68" i="6"/>
  <c r="F64" i="6"/>
  <c r="G64" i="6"/>
  <c r="H64" i="6"/>
  <c r="E64" i="6"/>
  <c r="I64" i="6"/>
  <c r="D64" i="6"/>
  <c r="F60" i="6"/>
  <c r="I60" i="6"/>
  <c r="D60" i="6"/>
  <c r="H60" i="6"/>
  <c r="G60" i="6"/>
  <c r="E60" i="6"/>
  <c r="F56" i="6"/>
  <c r="G56" i="6"/>
  <c r="E56" i="6"/>
  <c r="D56" i="6"/>
  <c r="I52" i="6"/>
  <c r="E52" i="6"/>
  <c r="H52" i="6"/>
  <c r="G52" i="6"/>
  <c r="I48" i="6"/>
  <c r="E48" i="6"/>
  <c r="F48" i="6"/>
  <c r="D48" i="6"/>
  <c r="I44" i="6"/>
  <c r="E44" i="6"/>
  <c r="H44" i="6"/>
  <c r="G44" i="6"/>
  <c r="F44" i="6"/>
  <c r="D44" i="6"/>
  <c r="I40" i="6"/>
  <c r="E40" i="6"/>
  <c r="F40" i="6"/>
  <c r="D40" i="6"/>
  <c r="H40" i="6"/>
  <c r="G40" i="6"/>
  <c r="I36" i="6"/>
  <c r="E36" i="6"/>
  <c r="H36" i="6"/>
  <c r="G36" i="6"/>
  <c r="F36" i="6"/>
  <c r="D36" i="6"/>
  <c r="I32" i="6"/>
  <c r="E32" i="6"/>
  <c r="F32" i="6"/>
  <c r="D32" i="6"/>
  <c r="H32" i="6"/>
  <c r="G32" i="6"/>
  <c r="I28" i="6"/>
  <c r="E28" i="6"/>
  <c r="H28" i="6"/>
  <c r="G28" i="6"/>
  <c r="F28" i="6"/>
  <c r="D28" i="6"/>
  <c r="I24" i="6"/>
  <c r="E24" i="6"/>
  <c r="F24" i="6"/>
  <c r="D24" i="6"/>
  <c r="H24" i="6"/>
  <c r="G24" i="6"/>
  <c r="I20" i="6"/>
  <c r="E20" i="6"/>
  <c r="H20" i="6"/>
  <c r="G20" i="6"/>
  <c r="I16" i="6"/>
  <c r="E16" i="6"/>
  <c r="F16" i="6"/>
  <c r="H16" i="6"/>
  <c r="G16" i="6"/>
  <c r="D16" i="6"/>
  <c r="G11" i="6"/>
  <c r="E11" i="6"/>
  <c r="I11" i="6"/>
  <c r="H11" i="6"/>
  <c r="F11" i="6"/>
  <c r="G7" i="6"/>
  <c r="H7" i="6"/>
  <c r="E7" i="6"/>
  <c r="D7" i="6"/>
  <c r="F7" i="6"/>
  <c r="I7" i="6"/>
  <c r="G12" i="6"/>
  <c r="F20" i="6"/>
  <c r="H41" i="6"/>
  <c r="H48" i="6"/>
  <c r="I56" i="6"/>
  <c r="F85" i="6"/>
  <c r="E104" i="6"/>
  <c r="F106" i="6"/>
  <c r="E106" i="6"/>
  <c r="D106" i="6"/>
  <c r="I106" i="6"/>
  <c r="F102" i="6"/>
  <c r="H102" i="6"/>
  <c r="G102" i="6"/>
  <c r="E102" i="6"/>
  <c r="I102" i="6"/>
  <c r="F98" i="6"/>
  <c r="E98" i="6"/>
  <c r="I98" i="6"/>
  <c r="H98" i="6"/>
  <c r="G98" i="6"/>
  <c r="D98" i="6"/>
  <c r="F94" i="6"/>
  <c r="H94" i="6"/>
  <c r="E94" i="6"/>
  <c r="D94" i="6"/>
  <c r="F90" i="6"/>
  <c r="E90" i="6"/>
  <c r="H90" i="6"/>
  <c r="G90" i="6"/>
  <c r="I90" i="6"/>
  <c r="F86" i="6"/>
  <c r="H86" i="6"/>
  <c r="D86" i="6"/>
  <c r="I86" i="6"/>
  <c r="G86" i="6"/>
  <c r="E86" i="6"/>
  <c r="F82" i="6"/>
  <c r="E82" i="6"/>
  <c r="G82" i="6"/>
  <c r="D82" i="6"/>
  <c r="F78" i="6"/>
  <c r="H78" i="6"/>
  <c r="I78" i="6"/>
  <c r="G78" i="6"/>
  <c r="F74" i="6"/>
  <c r="E74" i="6"/>
  <c r="D74" i="6"/>
  <c r="I74" i="6"/>
  <c r="H74" i="6"/>
  <c r="G74" i="6"/>
  <c r="F70" i="6"/>
  <c r="H70" i="6"/>
  <c r="G70" i="6"/>
  <c r="E70" i="6"/>
  <c r="D70" i="6"/>
  <c r="F66" i="6"/>
  <c r="E66" i="6"/>
  <c r="I66" i="6"/>
  <c r="H66" i="6"/>
  <c r="F62" i="6"/>
  <c r="H62" i="6"/>
  <c r="E62" i="6"/>
  <c r="D62" i="6"/>
  <c r="I62" i="6"/>
  <c r="G62" i="6"/>
  <c r="F58" i="6"/>
  <c r="E58" i="6"/>
  <c r="H58" i="6"/>
  <c r="G58" i="6"/>
  <c r="D58" i="6"/>
  <c r="F54" i="6"/>
  <c r="H54" i="6"/>
  <c r="D54" i="6"/>
  <c r="I54" i="6"/>
  <c r="I50" i="6"/>
  <c r="E50" i="6"/>
  <c r="D50" i="6"/>
  <c r="H50" i="6"/>
  <c r="I46" i="6"/>
  <c r="E46" i="6"/>
  <c r="G46" i="6"/>
  <c r="F46" i="6"/>
  <c r="D46" i="6"/>
  <c r="I42" i="6"/>
  <c r="E42" i="6"/>
  <c r="D42" i="6"/>
  <c r="H42" i="6"/>
  <c r="G42" i="6"/>
  <c r="F42" i="6"/>
  <c r="I38" i="6"/>
  <c r="E38" i="6"/>
  <c r="G38" i="6"/>
  <c r="F38" i="6"/>
  <c r="H38" i="6"/>
  <c r="I34" i="6"/>
  <c r="E34" i="6"/>
  <c r="D34" i="6"/>
  <c r="H34" i="6"/>
  <c r="I30" i="6"/>
  <c r="E30" i="6"/>
  <c r="G30" i="6"/>
  <c r="F30" i="6"/>
  <c r="D30" i="6"/>
  <c r="I26" i="6"/>
  <c r="E26" i="6"/>
  <c r="D26" i="6"/>
  <c r="H26" i="6"/>
  <c r="G26" i="6"/>
  <c r="F26" i="6"/>
  <c r="I22" i="6"/>
  <c r="E22" i="6"/>
  <c r="G22" i="6"/>
  <c r="F22" i="6"/>
  <c r="H22" i="6"/>
  <c r="I18" i="6"/>
  <c r="E18" i="6"/>
  <c r="D18" i="6"/>
  <c r="F18" i="6"/>
  <c r="I14" i="6"/>
  <c r="E14" i="6"/>
  <c r="G14" i="6"/>
  <c r="H14" i="6"/>
  <c r="F14" i="6"/>
  <c r="G9" i="6"/>
  <c r="F9" i="6"/>
  <c r="H9" i="6"/>
  <c r="E9" i="6"/>
  <c r="I9" i="6"/>
  <c r="D14" i="6"/>
  <c r="H18" i="6"/>
  <c r="D22" i="6"/>
  <c r="G50" i="6"/>
  <c r="G54" i="6"/>
  <c r="E78" i="6"/>
  <c r="I82" i="6"/>
  <c r="D102" i="6"/>
  <c r="H106" i="6"/>
  <c r="B5" i="10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13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22" i="8"/>
  <c r="B13" i="8"/>
  <c r="D13" i="8"/>
  <c r="E6" i="8"/>
  <c r="G2" i="10" l="1"/>
  <c r="F5" i="10"/>
  <c r="F4" i="10"/>
  <c r="D7" i="8"/>
  <c r="D14" i="8"/>
  <c r="C7" i="8"/>
  <c r="C23" i="8"/>
  <c r="C14" i="8"/>
  <c r="E7" i="8"/>
  <c r="E13" i="8"/>
  <c r="E14" i="8" s="1"/>
  <c r="F6" i="8"/>
  <c r="F7" i="8" s="1"/>
  <c r="C35" i="8"/>
  <c r="C36" i="8" s="1"/>
  <c r="B22" i="8"/>
  <c r="D22" i="8"/>
  <c r="D23" i="8" s="1"/>
  <c r="B7" i="7"/>
  <c r="G4" i="10" l="1"/>
  <c r="G5" i="10"/>
  <c r="G6" i="8"/>
  <c r="G7" i="8" s="1"/>
  <c r="F13" i="8"/>
  <c r="F14" i="8" s="1"/>
  <c r="E22" i="8"/>
  <c r="E23" i="8" s="1"/>
  <c r="D35" i="8"/>
  <c r="D36" i="8" s="1"/>
  <c r="C51" i="8"/>
  <c r="C52" i="8" s="1"/>
  <c r="B35" i="8"/>
  <c r="C7" i="7"/>
  <c r="B6" i="7"/>
  <c r="C65" i="8" l="1"/>
  <c r="C66" i="8" s="1"/>
  <c r="D51" i="8"/>
  <c r="D52" i="8" s="1"/>
  <c r="B51" i="8"/>
  <c r="E35" i="8"/>
  <c r="E36" i="8" s="1"/>
  <c r="F22" i="8"/>
  <c r="F23" i="8" s="1"/>
  <c r="G13" i="8"/>
  <c r="G14" i="8" s="1"/>
  <c r="H6" i="8"/>
  <c r="H7" i="8" s="1"/>
  <c r="D7" i="7"/>
  <c r="I6" i="8" l="1"/>
  <c r="I7" i="8" s="1"/>
  <c r="E51" i="8"/>
  <c r="E52" i="8" s="1"/>
  <c r="H13" i="8"/>
  <c r="H14" i="8" s="1"/>
  <c r="G22" i="8"/>
  <c r="G23" i="8" s="1"/>
  <c r="F35" i="8"/>
  <c r="F36" i="8" s="1"/>
  <c r="B65" i="8"/>
  <c r="D65" i="8"/>
  <c r="D66" i="8" s="1"/>
  <c r="E7" i="7"/>
  <c r="G35" i="8" l="1"/>
  <c r="G36" i="8" s="1"/>
  <c r="E65" i="8"/>
  <c r="E66" i="8" s="1"/>
  <c r="H22" i="8"/>
  <c r="H23" i="8" s="1"/>
  <c r="I13" i="8"/>
  <c r="I14" i="8" s="1"/>
  <c r="F51" i="8"/>
  <c r="F52" i="8" s="1"/>
  <c r="F7" i="7"/>
  <c r="H35" i="8" l="1"/>
  <c r="H36" i="8" s="1"/>
  <c r="F65" i="8"/>
  <c r="F66" i="8" s="1"/>
  <c r="G51" i="8"/>
  <c r="G52" i="8" s="1"/>
  <c r="I22" i="8"/>
  <c r="I23" i="8" s="1"/>
  <c r="G7" i="7"/>
  <c r="H51" i="8" l="1"/>
  <c r="H52" i="8" s="1"/>
  <c r="G65" i="8"/>
  <c r="G66" i="8" s="1"/>
  <c r="I35" i="8"/>
  <c r="I36" i="8" s="1"/>
  <c r="H7" i="7"/>
  <c r="I51" i="8" l="1"/>
  <c r="I52" i="8" s="1"/>
  <c r="H65" i="8"/>
  <c r="H66" i="8" s="1"/>
  <c r="H6" i="7"/>
  <c r="I65" i="8" l="1"/>
  <c r="I66" i="8" s="1"/>
  <c r="Q337" i="6" l="1" a="1"/>
  <c r="Q337" i="6" s="1"/>
  <c r="U337" i="6" l="1"/>
  <c r="Q185" i="6" l="1" a="1"/>
  <c r="Q185" i="6" s="1"/>
  <c r="U185" i="6" l="1"/>
  <c r="Q7" i="6" l="1" a="1"/>
  <c r="Q7" i="6" s="1"/>
  <c r="U7" i="6" l="1"/>
  <c r="Q61" i="6" l="1" a="1"/>
  <c r="Q61" i="6" s="1"/>
  <c r="U61" i="6" l="1"/>
  <c r="Q12" i="6" l="1" a="1"/>
  <c r="Q12" i="6" s="1"/>
  <c r="Q381" i="6" l="1" a="1"/>
  <c r="Q381" i="6" s="1"/>
  <c r="Q140" i="6" l="1" a="1"/>
  <c r="Q140" i="6" s="1"/>
  <c r="U12" i="6" l="1"/>
  <c r="Q34" i="6" l="1" a="1"/>
  <c r="Q34" i="6" s="1"/>
  <c r="U381" i="6" l="1"/>
  <c r="U34" i="6" l="1"/>
  <c r="U140" i="6" l="1"/>
  <c r="Q125" i="6" l="1" a="1"/>
  <c r="Q125" i="6" s="1"/>
  <c r="Q284" i="6" l="1" a="1"/>
  <c r="Q284" i="6" s="1"/>
  <c r="Q124" i="6" l="1" a="1"/>
  <c r="Q124" i="6" s="1"/>
  <c r="U125" i="6" l="1"/>
  <c r="U284" i="6" l="1"/>
  <c r="U124" i="6" l="1"/>
  <c r="Q206" i="6" l="1" a="1"/>
  <c r="Q206" i="6" s="1"/>
  <c r="Q137" i="6" l="1" a="1"/>
  <c r="Q137" i="6" s="1"/>
  <c r="U206" i="6" l="1"/>
  <c r="Q129" i="6" l="1" a="1"/>
  <c r="Q129" i="6" s="1"/>
  <c r="Q83" i="6" l="1" a="1"/>
  <c r="Q83" i="6" s="1"/>
  <c r="Q338" i="6" l="1" a="1"/>
  <c r="Q338" i="6" s="1"/>
  <c r="U129" i="6" l="1"/>
  <c r="U137" i="6" l="1"/>
  <c r="U83" i="6" l="1"/>
  <c r="Q222" i="6" l="1" a="1"/>
  <c r="Q222" i="6" s="1"/>
  <c r="U338" i="6" l="1"/>
  <c r="Q282" i="6" l="1" a="1"/>
  <c r="Q282" i="6" s="1"/>
  <c r="U222" i="6" l="1"/>
  <c r="U282" i="6" l="1"/>
  <c r="Q317" i="6" l="1" a="1"/>
  <c r="Q317" i="6" s="1"/>
  <c r="Q419" i="6" l="1" a="1"/>
  <c r="Q419" i="6" s="1"/>
  <c r="U317" i="6" l="1"/>
  <c r="Q299" i="6" l="1" a="1"/>
  <c r="Q299" i="6" s="1"/>
  <c r="Q138" i="6" l="1" a="1"/>
  <c r="Q138" i="6" s="1"/>
  <c r="Q6" i="6" l="1" a="1"/>
  <c r="Q6" i="6" s="1"/>
  <c r="U419" i="6" l="1"/>
  <c r="Q54" i="6" l="1" a="1"/>
  <c r="Q54" i="6" s="1"/>
  <c r="U6" i="6" l="1"/>
  <c r="Q101" i="6" l="1" a="1"/>
  <c r="Q101" i="6" s="1"/>
  <c r="U299" i="6" l="1"/>
  <c r="Q397" i="6" l="1" a="1"/>
  <c r="Q397" i="6" s="1"/>
  <c r="Q202" i="6" l="1" a="1"/>
  <c r="Q202" i="6" s="1"/>
  <c r="Q169" i="6" l="1" a="1"/>
  <c r="Q169" i="6" s="1"/>
  <c r="U138" i="6" l="1"/>
  <c r="Q368" i="6" l="1" a="1"/>
  <c r="Q368" i="6" s="1"/>
  <c r="U101" i="6" l="1"/>
  <c r="Q88" i="6" l="1" a="1"/>
  <c r="Q88" i="6" s="1"/>
  <c r="U397" i="6" l="1"/>
  <c r="Q184" i="6" l="1" a="1"/>
  <c r="Q184" i="6" s="1"/>
  <c r="U54" i="6" l="1"/>
  <c r="Q380" i="6" l="1" a="1"/>
  <c r="Q380" i="6" s="1"/>
  <c r="Q62" i="6" l="1" a="1"/>
  <c r="Q62" i="6" s="1"/>
  <c r="U368" i="6" l="1"/>
  <c r="Q379" i="6" l="1" a="1"/>
  <c r="Q379" i="6" s="1"/>
  <c r="Q126" i="6" l="1" a="1"/>
  <c r="Q126" i="6" s="1"/>
  <c r="U62" i="6" l="1"/>
  <c r="Q300" i="6" l="1" a="1"/>
  <c r="Q300" i="6" s="1"/>
  <c r="U169" i="6" l="1"/>
  <c r="Q283" i="6" l="1" a="1"/>
  <c r="Q283" i="6" s="1"/>
  <c r="U202" i="6" l="1"/>
  <c r="Q89" i="6" l="1" a="1"/>
  <c r="Q89" i="6" s="1"/>
  <c r="Q339" i="6" l="1" a="1"/>
  <c r="Q339" i="6" s="1"/>
  <c r="U88" i="6" l="1"/>
  <c r="U379" i="6" l="1"/>
  <c r="Q122" i="6" l="1" a="1"/>
  <c r="Q122" i="6" s="1"/>
  <c r="U380" i="6" l="1"/>
  <c r="Q87" i="6" l="1" a="1"/>
  <c r="Q87" i="6" s="1"/>
  <c r="Q272" i="6" l="1" a="1"/>
  <c r="Q272" i="6" s="1"/>
  <c r="U126" i="6" l="1"/>
  <c r="Q40" i="6" l="1" a="1"/>
  <c r="Q40" i="6" s="1"/>
  <c r="U300" i="6" l="1"/>
  <c r="Q13" i="6" l="1" a="1"/>
  <c r="Q13" i="6" s="1"/>
  <c r="Q398" i="6" l="1" a="1"/>
  <c r="Q398" i="6" s="1"/>
  <c r="U283" i="6" l="1"/>
  <c r="U272" i="6" l="1"/>
  <c r="Q201" i="6" l="1" a="1"/>
  <c r="Q201" i="6" s="1"/>
  <c r="U398" i="6" l="1"/>
  <c r="Q220" i="6" l="1" a="1"/>
  <c r="Q220" i="6" s="1"/>
  <c r="U89" i="6" l="1"/>
  <c r="Q9" i="6" l="1" a="1"/>
  <c r="Q9" i="6" s="1"/>
  <c r="U339" i="6" l="1"/>
  <c r="Q32" i="6" l="1" a="1"/>
  <c r="Q32" i="6" s="1"/>
  <c r="U122" i="6" l="1"/>
  <c r="Q127" i="6" l="1" a="1"/>
  <c r="Q127" i="6" s="1"/>
  <c r="Q221" i="6" l="1" a="1"/>
  <c r="Q221" i="6" s="1"/>
  <c r="U40" i="6" l="1"/>
  <c r="Q60" i="6" l="1" a="1"/>
  <c r="Q60" i="6" s="1"/>
  <c r="U201" i="6" l="1"/>
  <c r="Q11" i="6" l="1" a="1"/>
  <c r="Q11" i="6" s="1"/>
  <c r="Q99" i="6" l="1" a="1"/>
  <c r="Q99" i="6" s="1"/>
  <c r="U220" i="6" l="1"/>
  <c r="Q369" i="6" l="1" a="1"/>
  <c r="Q369" i="6" s="1"/>
  <c r="U9" i="6" l="1"/>
  <c r="Q205" i="6" l="1" a="1"/>
  <c r="Q205" i="6" s="1"/>
  <c r="U11" i="6" l="1"/>
  <c r="Q102" i="6" l="1" a="1"/>
  <c r="Q102" i="6" s="1"/>
  <c r="Q90" i="6" l="1" a="1"/>
  <c r="Q90" i="6" s="1"/>
  <c r="Q33" i="6" l="1" a="1"/>
  <c r="Q33" i="6" s="1"/>
  <c r="U369" i="6" l="1"/>
  <c r="U127" i="6" l="1"/>
  <c r="Q100" i="6" l="1" a="1"/>
  <c r="Q100" i="6" s="1"/>
  <c r="Q420" i="6" l="1" a="1"/>
  <c r="Q420" i="6" s="1"/>
  <c r="Q139" i="6" l="1" a="1"/>
  <c r="Q139" i="6" s="1"/>
  <c r="U184" i="6" l="1"/>
  <c r="Q301" i="6" l="1" a="1"/>
  <c r="Q301" i="6" s="1"/>
  <c r="U221" i="6" l="1"/>
  <c r="U60" i="6" l="1"/>
  <c r="U420" i="6" l="1"/>
  <c r="Q377" i="6" l="1" a="1"/>
  <c r="Q377" i="6" s="1"/>
  <c r="Q271" i="6" l="1" a="1"/>
  <c r="Q271" i="6" s="1"/>
  <c r="U99" i="6" l="1"/>
  <c r="Q84" i="6" l="1" a="1"/>
  <c r="Q84" i="6" s="1"/>
  <c r="U102" i="6" l="1"/>
  <c r="Q171" i="6" l="1" a="1"/>
  <c r="Q171" i="6" s="1"/>
  <c r="U205" i="6" l="1"/>
  <c r="Q207" i="6" l="1" a="1"/>
  <c r="Q207" i="6" s="1"/>
  <c r="Q204" i="6" l="1" a="1"/>
  <c r="Q204" i="6" s="1"/>
  <c r="U100" i="6" l="1"/>
  <c r="U377" i="6" l="1"/>
  <c r="Q29" i="6" l="1" a="1"/>
  <c r="Q29" i="6" s="1"/>
  <c r="U87" i="6" l="1"/>
  <c r="U13" i="6" l="1"/>
  <c r="Q8" i="6" l="1" a="1"/>
  <c r="Q8" i="6" s="1"/>
  <c r="U84" i="6" l="1"/>
  <c r="Q128" i="6" l="1" a="1"/>
  <c r="Q128" i="6" s="1"/>
  <c r="U171" i="6" l="1"/>
  <c r="Q31" i="6" l="1" a="1"/>
  <c r="Q31" i="6" s="1"/>
  <c r="U207" i="6" l="1"/>
  <c r="Q38" i="6" l="1" a="1"/>
  <c r="Q38" i="6" s="1"/>
  <c r="Q170" i="6" l="1" a="1"/>
  <c r="Q170" i="6" s="1"/>
  <c r="U204" i="6" l="1"/>
  <c r="Q59" i="6" l="1" a="1"/>
  <c r="Q59" i="6" s="1"/>
  <c r="U32" i="6" l="1"/>
  <c r="Q219" i="6" l="1" a="1"/>
  <c r="Q219" i="6" s="1"/>
  <c r="U8" i="6" l="1"/>
  <c r="Q203" i="6" l="1" a="1"/>
  <c r="Q203" i="6" s="1"/>
  <c r="U31" i="6" l="1"/>
  <c r="Q86" i="6" l="1" a="1"/>
  <c r="Q86" i="6" s="1"/>
  <c r="U170" i="6" l="1"/>
  <c r="Q223" i="6" l="1" a="1"/>
  <c r="Q223" i="6" s="1"/>
  <c r="U90" i="6" l="1"/>
  <c r="U59" i="6" l="1"/>
  <c r="Q316" i="6" l="1" a="1"/>
  <c r="Q316" i="6" s="1"/>
  <c r="Q5" i="6" l="1" a="1"/>
  <c r="Q5" i="6" s="1"/>
  <c r="U219" i="6" l="1"/>
  <c r="Q298" i="6" l="1" a="1"/>
  <c r="Q298" i="6" s="1"/>
  <c r="U301" i="6" l="1"/>
  <c r="Q432" i="6" l="1" a="1"/>
  <c r="Q432" i="6" s="1"/>
  <c r="U203" i="6" l="1"/>
  <c r="Q378" i="6" l="1" a="1"/>
  <c r="Q378" i="6" s="1"/>
  <c r="U271" i="6" l="1"/>
  <c r="Q28" i="6" l="1" a="1"/>
  <c r="Q28" i="6" s="1"/>
  <c r="U316" i="6" l="1"/>
  <c r="Q431" i="6" l="1" a="1"/>
  <c r="Q431" i="6" s="1"/>
  <c r="U298" i="6" l="1"/>
  <c r="Q21" i="6" l="1" a="1"/>
  <c r="Q21" i="6" s="1"/>
  <c r="U378" i="6" l="1"/>
  <c r="Q186" i="6" l="1" a="1"/>
  <c r="Q186" i="6" s="1"/>
  <c r="Q123" i="6" l="1" a="1"/>
  <c r="Q123" i="6" s="1"/>
  <c r="U128" i="6" l="1"/>
  <c r="U38" i="6" l="1"/>
  <c r="Q39" i="6" l="1" a="1"/>
  <c r="Q39" i="6" s="1"/>
  <c r="Q183" i="6" l="1" a="1"/>
  <c r="Q183" i="6" s="1"/>
  <c r="U223" i="6" l="1"/>
  <c r="Q53" i="6" l="1" a="1"/>
  <c r="Q53" i="6" s="1"/>
  <c r="U33" i="6" l="1"/>
  <c r="U139" i="6" l="1"/>
  <c r="Q141" i="6" l="1" a="1"/>
  <c r="Q141" i="6" s="1"/>
  <c r="U431" i="6" l="1"/>
  <c r="Q30" i="6" l="1" a="1"/>
  <c r="Q30" i="6" s="1"/>
  <c r="U29" i="6" l="1"/>
  <c r="U186" i="6" l="1"/>
  <c r="U183" i="6" l="1"/>
  <c r="U86" i="6" l="1"/>
  <c r="U5" i="6" l="1"/>
  <c r="R5" i="6" l="1"/>
  <c r="S5" i="6" s="1"/>
  <c r="R6" i="6" s="1"/>
  <c r="S6" i="6" s="1"/>
  <c r="Q14" i="6" l="1" a="1"/>
  <c r="Q14" i="6" s="1"/>
  <c r="T6" i="6"/>
  <c r="R7" i="6"/>
  <c r="S7" i="6" s="1"/>
  <c r="Q10" i="6" a="1"/>
  <c r="Q10" i="6" s="1"/>
  <c r="T5" i="6"/>
  <c r="Q15" i="6" l="1" a="1"/>
  <c r="Q15" i="6" s="1"/>
  <c r="T7" i="6"/>
  <c r="R8" i="6"/>
  <c r="S8" i="6" s="1"/>
  <c r="R9" i="6" l="1"/>
  <c r="S9" i="6" s="1"/>
  <c r="Q16" i="6" a="1"/>
  <c r="Q16" i="6" s="1"/>
  <c r="T8" i="6"/>
  <c r="Q17" i="6" l="1" a="1"/>
  <c r="Q17" i="6" s="1"/>
  <c r="T9" i="6"/>
  <c r="R10" i="6"/>
  <c r="U10" i="6" l="1"/>
  <c r="S10" i="6"/>
  <c r="R11" i="6" l="1"/>
  <c r="S11" i="6" s="1"/>
  <c r="T10" i="6"/>
  <c r="Q22" i="6" a="1"/>
  <c r="Q22" i="6" s="1"/>
  <c r="Q18" i="6" l="1" a="1"/>
  <c r="Q18" i="6" s="1"/>
  <c r="T11" i="6"/>
  <c r="R12" i="6"/>
  <c r="S12" i="6" s="1"/>
  <c r="Q19" i="6" l="1" a="1"/>
  <c r="Q19" i="6" s="1"/>
  <c r="T12" i="6"/>
  <c r="R13" i="6"/>
  <c r="S13" i="6" s="1"/>
  <c r="R14" i="6" l="1"/>
  <c r="Q20" i="6" a="1"/>
  <c r="Q20" i="6" s="1"/>
  <c r="T13" i="6"/>
  <c r="U432" i="6"/>
  <c r="S14" i="6" l="1"/>
  <c r="U14" i="6"/>
  <c r="Q24" i="6" l="1" a="1"/>
  <c r="Q24" i="6" s="1"/>
  <c r="T14" i="6"/>
  <c r="R15" i="6"/>
  <c r="S15" i="6" l="1"/>
  <c r="U15" i="6"/>
  <c r="Q25" i="6" l="1" a="1"/>
  <c r="Q25" i="6" s="1"/>
  <c r="T15" i="6"/>
  <c r="R16" i="6"/>
  <c r="U16" i="6" l="1"/>
  <c r="S16" i="6"/>
  <c r="R17" i="6" l="1"/>
  <c r="Q26" i="6" a="1"/>
  <c r="Q26" i="6" s="1"/>
  <c r="T16" i="6"/>
  <c r="U17" i="6" l="1"/>
  <c r="S17" i="6"/>
  <c r="Q27" i="6" l="1" a="1"/>
  <c r="Q27" i="6" s="1"/>
  <c r="T17" i="6"/>
  <c r="R18" i="6"/>
  <c r="U18" i="6" l="1"/>
  <c r="S18" i="6"/>
  <c r="Q35" i="6" l="1" a="1"/>
  <c r="Q35" i="6" s="1"/>
  <c r="T18" i="6"/>
  <c r="R19" i="6"/>
  <c r="S19" i="6" l="1"/>
  <c r="U19" i="6"/>
  <c r="Q36" i="6" l="1" a="1"/>
  <c r="Q36" i="6" s="1"/>
  <c r="T19" i="6"/>
  <c r="R20" i="6"/>
  <c r="S20" i="6" l="1"/>
  <c r="U20" i="6"/>
  <c r="Q37" i="6" l="1" a="1"/>
  <c r="Q37" i="6" s="1"/>
  <c r="T20" i="6"/>
  <c r="U28" i="6"/>
  <c r="U21" i="6" l="1"/>
  <c r="R21" i="6" l="1"/>
  <c r="S21" i="6" s="1"/>
  <c r="R22" i="6" s="1"/>
  <c r="S22" i="6" l="1"/>
  <c r="U22" i="6"/>
  <c r="Q23" i="6" a="1"/>
  <c r="Q23" i="6" s="1"/>
  <c r="R23" i="6"/>
  <c r="T21" i="6"/>
  <c r="Q52" i="6" l="1" a="1"/>
  <c r="Q52" i="6" s="1"/>
  <c r="T22" i="6"/>
  <c r="S23" i="6"/>
  <c r="R24" i="6" s="1"/>
  <c r="U23" i="6"/>
  <c r="S24" i="6" l="1"/>
  <c r="U24" i="6"/>
  <c r="Q48" i="6" a="1"/>
  <c r="Q48" i="6" s="1"/>
  <c r="T23" i="6"/>
  <c r="Q55" i="6" l="1" a="1"/>
  <c r="Q55" i="6" s="1"/>
  <c r="T24" i="6"/>
  <c r="R25" i="6"/>
  <c r="S25" i="6" l="1"/>
  <c r="U25" i="6"/>
  <c r="Q56" i="6" l="1" a="1"/>
  <c r="Q56" i="6" s="1"/>
  <c r="T25" i="6"/>
  <c r="R26" i="6"/>
  <c r="U26" i="6" l="1"/>
  <c r="S26" i="6"/>
  <c r="R27" i="6" l="1"/>
  <c r="Q57" i="6" a="1"/>
  <c r="Q57" i="6" s="1"/>
  <c r="T26" i="6"/>
  <c r="S27" i="6" l="1"/>
  <c r="U27" i="6"/>
  <c r="Q58" i="6" l="1" a="1"/>
  <c r="Q58" i="6" s="1"/>
  <c r="T27" i="6"/>
  <c r="R28" i="6"/>
  <c r="S28" i="6" s="1"/>
  <c r="R29" i="6" l="1"/>
  <c r="S29" i="6" s="1"/>
  <c r="Q41" i="6" a="1"/>
  <c r="Q41" i="6" s="1"/>
  <c r="T28" i="6"/>
  <c r="Q42" i="6" l="1" a="1"/>
  <c r="Q42" i="6" s="1"/>
  <c r="T29" i="6"/>
  <c r="U123" i="6"/>
  <c r="U39" i="6" l="1"/>
  <c r="U53" i="6" l="1"/>
  <c r="U141" i="6" l="1"/>
  <c r="R30" i="6" l="1"/>
  <c r="S30" i="6" l="1"/>
  <c r="U30" i="6"/>
  <c r="Q43" i="6" l="1" a="1"/>
  <c r="Q43" i="6" s="1"/>
  <c r="R31" i="6"/>
  <c r="S31" i="6" s="1"/>
  <c r="T30" i="6"/>
  <c r="R32" i="6" l="1"/>
  <c r="S32" i="6" s="1"/>
  <c r="Q44" i="6" a="1"/>
  <c r="Q44" i="6" s="1"/>
  <c r="T31" i="6"/>
  <c r="Q45" i="6" l="1" a="1"/>
  <c r="Q45" i="6" s="1"/>
  <c r="T32" i="6"/>
  <c r="R33" i="6"/>
  <c r="S33" i="6" s="1"/>
  <c r="R34" i="6" l="1"/>
  <c r="S34" i="6" s="1"/>
  <c r="Q46" i="6" a="1"/>
  <c r="Q46" i="6" s="1"/>
  <c r="T33" i="6"/>
  <c r="R35" i="6" l="1"/>
  <c r="Q47" i="6" a="1"/>
  <c r="Q47" i="6" s="1"/>
  <c r="T34" i="6"/>
  <c r="U35" i="6" l="1"/>
  <c r="S35" i="6"/>
  <c r="Q65" i="6" l="1" a="1"/>
  <c r="Q65" i="6" s="1"/>
  <c r="T35" i="6"/>
  <c r="R36" i="6"/>
  <c r="S36" i="6" l="1"/>
  <c r="U36" i="6"/>
  <c r="Q66" i="6" l="1" a="1"/>
  <c r="Q66" i="6" s="1"/>
  <c r="T36" i="6"/>
  <c r="R37" i="6"/>
  <c r="S37" i="6" l="1"/>
  <c r="U37" i="6"/>
  <c r="Q67" i="6" l="1" a="1"/>
  <c r="Q67" i="6" s="1"/>
  <c r="T37" i="6"/>
  <c r="R38" i="6"/>
  <c r="S38" i="6" s="1"/>
  <c r="Q49" i="6" l="1" a="1"/>
  <c r="Q49" i="6" s="1"/>
  <c r="T38" i="6"/>
  <c r="R39" i="6"/>
  <c r="S39" i="6" s="1"/>
  <c r="Q50" i="6" l="1" a="1"/>
  <c r="Q50" i="6" s="1"/>
  <c r="R40" i="6"/>
  <c r="S40" i="6" s="1"/>
  <c r="T39" i="6"/>
  <c r="Q51" i="6" l="1" a="1"/>
  <c r="Q51" i="6" s="1"/>
  <c r="T40" i="6"/>
  <c r="R41" i="6"/>
  <c r="S41" i="6" l="1"/>
  <c r="U41" i="6"/>
  <c r="R42" i="6" l="1"/>
  <c r="Q68" i="6" a="1"/>
  <c r="Q68" i="6" s="1"/>
  <c r="T41" i="6"/>
  <c r="S42" i="6" l="1"/>
  <c r="U42" i="6"/>
  <c r="Q69" i="6" l="1" a="1"/>
  <c r="Q69" i="6" s="1"/>
  <c r="T42" i="6"/>
  <c r="R43" i="6"/>
  <c r="S43" i="6" l="1"/>
  <c r="U43" i="6"/>
  <c r="Q70" i="6" l="1" a="1"/>
  <c r="Q70" i="6" s="1"/>
  <c r="R44" i="6"/>
  <c r="T43" i="6"/>
  <c r="U44" i="6" l="1"/>
  <c r="S44" i="6"/>
  <c r="R45" i="6" l="1"/>
  <c r="Q71" i="6" a="1"/>
  <c r="Q71" i="6" s="1"/>
  <c r="T44" i="6"/>
  <c r="S45" i="6" l="1"/>
  <c r="U45" i="6"/>
  <c r="Q72" i="6" l="1" a="1"/>
  <c r="Q72" i="6" s="1"/>
  <c r="T45" i="6"/>
  <c r="R46" i="6"/>
  <c r="S46" i="6" l="1"/>
  <c r="U46" i="6"/>
  <c r="R47" i="6" l="1"/>
  <c r="Q73" i="6" a="1"/>
  <c r="Q73" i="6" s="1"/>
  <c r="T46" i="6"/>
  <c r="S47" i="6" l="1"/>
  <c r="U47" i="6"/>
  <c r="Q74" i="6" l="1" a="1"/>
  <c r="Q74" i="6" s="1"/>
  <c r="T47" i="6"/>
  <c r="R48" i="6"/>
  <c r="U48" i="6" l="1"/>
  <c r="S48" i="6"/>
  <c r="R49" i="6" l="1"/>
  <c r="Q82" i="6" a="1"/>
  <c r="Q82" i="6" s="1"/>
  <c r="T48" i="6"/>
  <c r="U49" i="6" l="1"/>
  <c r="S49" i="6"/>
  <c r="Q79" i="6" l="1" a="1"/>
  <c r="Q79" i="6" s="1"/>
  <c r="T49" i="6"/>
  <c r="R50" i="6"/>
  <c r="S50" i="6" l="1"/>
  <c r="U50" i="6"/>
  <c r="Q80" i="6" l="1" a="1"/>
  <c r="Q80" i="6" s="1"/>
  <c r="R51" i="6"/>
  <c r="T50" i="6"/>
  <c r="U51" i="6" l="1"/>
  <c r="S51" i="6"/>
  <c r="Q81" i="6" l="1" a="1"/>
  <c r="Q81" i="6" s="1"/>
  <c r="T51" i="6"/>
  <c r="R52" i="6"/>
  <c r="U52" i="6" l="1"/>
  <c r="S52" i="6"/>
  <c r="T52" i="6" l="1"/>
  <c r="Q85" i="6" a="1"/>
  <c r="Q85" i="6" s="1"/>
  <c r="R53" i="6"/>
  <c r="S53" i="6" s="1"/>
  <c r="Q63" i="6" l="1" a="1"/>
  <c r="Q63" i="6" s="1"/>
  <c r="R54" i="6"/>
  <c r="S54" i="6" s="1"/>
  <c r="T53" i="6"/>
  <c r="R55" i="6" l="1"/>
  <c r="Q64" i="6" a="1"/>
  <c r="Q64" i="6" s="1"/>
  <c r="T54" i="6"/>
  <c r="S55" i="6" l="1"/>
  <c r="U55" i="6"/>
  <c r="Q95" i="6" l="1" a="1"/>
  <c r="Q95" i="6" s="1"/>
  <c r="T55" i="6"/>
  <c r="R56" i="6"/>
  <c r="S56" i="6" l="1"/>
  <c r="U56" i="6"/>
  <c r="Q96" i="6" l="1" a="1"/>
  <c r="Q96" i="6" s="1"/>
  <c r="T56" i="6"/>
  <c r="R57" i="6"/>
  <c r="S57" i="6" l="1"/>
  <c r="U57" i="6"/>
  <c r="R58" i="6" l="1"/>
  <c r="Q97" i="6" a="1"/>
  <c r="Q97" i="6" s="1"/>
  <c r="T57" i="6"/>
  <c r="S58" i="6" l="1"/>
  <c r="U58" i="6"/>
  <c r="Q98" i="6" l="1" a="1"/>
  <c r="Q98" i="6" s="1"/>
  <c r="T58" i="6"/>
  <c r="R59" i="6"/>
  <c r="S59" i="6" s="1"/>
  <c r="R60" i="6" l="1"/>
  <c r="S60" i="6" s="1"/>
  <c r="Q75" i="6" a="1"/>
  <c r="Q75" i="6" s="1"/>
  <c r="T59" i="6"/>
  <c r="R61" i="6" l="1"/>
  <c r="S61" i="6" s="1"/>
  <c r="Q76" i="6" a="1"/>
  <c r="Q76" i="6" s="1"/>
  <c r="T60" i="6"/>
  <c r="R62" i="6" l="1"/>
  <c r="S62" i="6" s="1"/>
  <c r="T61" i="6"/>
  <c r="Q77" i="6" a="1"/>
  <c r="Q77" i="6" s="1"/>
  <c r="Q78" i="6" l="1" a="1"/>
  <c r="Q78" i="6" s="1"/>
  <c r="T62" i="6"/>
  <c r="R63" i="6"/>
  <c r="S63" i="6" l="1"/>
  <c r="U63" i="6"/>
  <c r="Q91" i="6" l="1" a="1"/>
  <c r="Q91" i="6" s="1"/>
  <c r="R64" i="6"/>
  <c r="T63" i="6"/>
  <c r="S64" i="6" l="1"/>
  <c r="U64" i="6"/>
  <c r="Q92" i="6" l="1" a="1"/>
  <c r="Q92" i="6" s="1"/>
  <c r="T64" i="6"/>
  <c r="R65" i="6"/>
  <c r="S65" i="6" l="1"/>
  <c r="U65" i="6"/>
  <c r="Q112" i="6" l="1" a="1"/>
  <c r="Q112" i="6" s="1"/>
  <c r="T65" i="6"/>
  <c r="R66" i="6"/>
  <c r="U66" i="6" l="1"/>
  <c r="S66" i="6"/>
  <c r="Q113" i="6" l="1" a="1"/>
  <c r="Q113" i="6" s="1"/>
  <c r="T66" i="6"/>
  <c r="R67" i="6"/>
  <c r="S67" i="6" l="1"/>
  <c r="U67" i="6"/>
  <c r="Q114" i="6" l="1" a="1"/>
  <c r="Q114" i="6" s="1"/>
  <c r="T67" i="6"/>
  <c r="R68" i="6"/>
  <c r="U68" i="6" l="1"/>
  <c r="S68" i="6"/>
  <c r="R69" i="6" l="1"/>
  <c r="Q115" i="6" a="1"/>
  <c r="Q115" i="6" s="1"/>
  <c r="T68" i="6"/>
  <c r="S69" i="6" l="1"/>
  <c r="U69" i="6"/>
  <c r="Q116" i="6" l="1" a="1"/>
  <c r="Q116" i="6" s="1"/>
  <c r="T69" i="6"/>
  <c r="R70" i="6"/>
  <c r="S70" i="6" l="1"/>
  <c r="U70" i="6"/>
  <c r="Q117" i="6" l="1" a="1"/>
  <c r="Q117" i="6" s="1"/>
  <c r="R71" i="6"/>
  <c r="T70" i="6"/>
  <c r="S71" i="6" l="1"/>
  <c r="U71" i="6"/>
  <c r="R72" i="6" l="1"/>
  <c r="Q118" i="6" a="1"/>
  <c r="Q118" i="6" s="1"/>
  <c r="T71" i="6"/>
  <c r="S72" i="6" l="1"/>
  <c r="U72" i="6"/>
  <c r="Q119" i="6" l="1" a="1"/>
  <c r="Q119" i="6" s="1"/>
  <c r="T72" i="6"/>
  <c r="R73" i="6"/>
  <c r="U73" i="6" l="1"/>
  <c r="S73" i="6"/>
  <c r="R74" i="6" l="1"/>
  <c r="Q120" i="6" a="1"/>
  <c r="Q120" i="6" s="1"/>
  <c r="T73" i="6"/>
  <c r="S74" i="6" l="1"/>
  <c r="U74" i="6"/>
  <c r="Q121" i="6" l="1" a="1"/>
  <c r="Q121" i="6" s="1"/>
  <c r="T74" i="6"/>
  <c r="R75" i="6"/>
  <c r="U75" i="6" l="1"/>
  <c r="S75" i="6"/>
  <c r="R76" i="6" l="1"/>
  <c r="Q103" i="6" a="1"/>
  <c r="Q103" i="6" s="1"/>
  <c r="T75" i="6"/>
  <c r="S76" i="6" l="1"/>
  <c r="U76" i="6"/>
  <c r="R77" i="6" l="1"/>
  <c r="Q104" i="6" a="1"/>
  <c r="Q104" i="6" s="1"/>
  <c r="T76" i="6"/>
  <c r="S77" i="6" l="1"/>
  <c r="U77" i="6"/>
  <c r="R78" i="6" l="1"/>
  <c r="T77" i="6"/>
  <c r="Q105" i="6" a="1"/>
  <c r="Q105" i="6" s="1"/>
  <c r="U78" i="6" l="1"/>
  <c r="S78" i="6"/>
  <c r="Q106" i="6" l="1" a="1"/>
  <c r="Q106" i="6" s="1"/>
  <c r="T78" i="6"/>
  <c r="R79" i="6"/>
  <c r="U79" i="6" l="1"/>
  <c r="S79" i="6"/>
  <c r="Q134" i="6" l="1" a="1"/>
  <c r="Q134" i="6" s="1"/>
  <c r="T79" i="6"/>
  <c r="R80" i="6"/>
  <c r="S80" i="6" l="1"/>
  <c r="U80" i="6"/>
  <c r="Q135" i="6" l="1" a="1"/>
  <c r="Q135" i="6" s="1"/>
  <c r="R81" i="6"/>
  <c r="T80" i="6"/>
  <c r="S81" i="6" l="1"/>
  <c r="U81" i="6"/>
  <c r="Q136" i="6" l="1" a="1"/>
  <c r="Q136" i="6" s="1"/>
  <c r="T81" i="6"/>
  <c r="R82" i="6"/>
  <c r="S82" i="6" l="1"/>
  <c r="U82" i="6"/>
  <c r="R83" i="6" l="1"/>
  <c r="S83" i="6" s="1"/>
  <c r="Q150" i="6" a="1"/>
  <c r="Q150" i="6" s="1"/>
  <c r="T82" i="6"/>
  <c r="Q93" i="6" l="1" a="1"/>
  <c r="Q93" i="6" s="1"/>
  <c r="T83" i="6"/>
  <c r="R84" i="6"/>
  <c r="S84" i="6" s="1"/>
  <c r="Q94" i="6" l="1" a="1"/>
  <c r="Q94" i="6" s="1"/>
  <c r="T84" i="6"/>
  <c r="R85" i="6"/>
  <c r="U85" i="6" l="1"/>
  <c r="S85" i="6"/>
  <c r="R86" i="6" l="1"/>
  <c r="S86" i="6" s="1"/>
  <c r="T85" i="6"/>
  <c r="Q290" i="6" a="1"/>
  <c r="Q290" i="6" s="1"/>
  <c r="R87" i="6" l="1"/>
  <c r="S87" i="6" s="1"/>
  <c r="Q107" i="6" a="1"/>
  <c r="Q107" i="6" s="1"/>
  <c r="T86" i="6"/>
  <c r="R88" i="6" l="1"/>
  <c r="S88" i="6" s="1"/>
  <c r="Q108" i="6" a="1"/>
  <c r="Q108" i="6" s="1"/>
  <c r="T87" i="6"/>
  <c r="Q109" i="6" l="1" a="1"/>
  <c r="Q109" i="6" s="1"/>
  <c r="T88" i="6"/>
  <c r="R89" i="6"/>
  <c r="S89" i="6" s="1"/>
  <c r="Q110" i="6" l="1" a="1"/>
  <c r="Q110" i="6" s="1"/>
  <c r="T89" i="6"/>
  <c r="R90" i="6"/>
  <c r="S90" i="6" s="1"/>
  <c r="Q111" i="6" l="1" a="1"/>
  <c r="Q111" i="6" s="1"/>
  <c r="T90" i="6"/>
  <c r="R91" i="6"/>
  <c r="S91" i="6" l="1"/>
  <c r="U91" i="6"/>
  <c r="Q158" i="6" l="1" a="1"/>
  <c r="Q158" i="6" s="1"/>
  <c r="R92" i="6"/>
  <c r="T91" i="6"/>
  <c r="S92" i="6" l="1"/>
  <c r="U92" i="6"/>
  <c r="R93" i="6" l="1"/>
  <c r="Q159" i="6" a="1"/>
  <c r="Q159" i="6" s="1"/>
  <c r="T92" i="6"/>
  <c r="U93" i="6" l="1"/>
  <c r="S93" i="6"/>
  <c r="Q151" i="6" l="1" a="1"/>
  <c r="Q151" i="6" s="1"/>
  <c r="T93" i="6"/>
  <c r="R94" i="6"/>
  <c r="S94" i="6" l="1"/>
  <c r="U94" i="6"/>
  <c r="R95" i="6" l="1"/>
  <c r="Q152" i="6" a="1"/>
  <c r="Q152" i="6" s="1"/>
  <c r="T94" i="6"/>
  <c r="U95" i="6" l="1"/>
  <c r="S95" i="6"/>
  <c r="Q302" i="6" l="1" a="1"/>
  <c r="Q302" i="6" s="1"/>
  <c r="T95" i="6"/>
  <c r="R96" i="6"/>
  <c r="S96" i="6" l="1"/>
  <c r="U96" i="6"/>
  <c r="Q303" i="6" l="1" a="1"/>
  <c r="Q303" i="6" s="1"/>
  <c r="T96" i="6"/>
  <c r="R97" i="6"/>
  <c r="S97" i="6" l="1"/>
  <c r="U97" i="6"/>
  <c r="R98" i="6" l="1"/>
  <c r="Q304" i="6" a="1"/>
  <c r="Q304" i="6" s="1"/>
  <c r="T97" i="6"/>
  <c r="S98" i="6" l="1"/>
  <c r="U98" i="6"/>
  <c r="Q305" i="6" l="1" a="1"/>
  <c r="Q305" i="6" s="1"/>
  <c r="T98" i="6"/>
  <c r="R99" i="6"/>
  <c r="S99" i="6" s="1"/>
  <c r="Q130" i="6" l="1" a="1"/>
  <c r="Q130" i="6" s="1"/>
  <c r="T99" i="6"/>
  <c r="R100" i="6"/>
  <c r="S100" i="6" s="1"/>
  <c r="R101" i="6" l="1"/>
  <c r="S101" i="6" s="1"/>
  <c r="Q131" i="6" a="1"/>
  <c r="Q131" i="6" s="1"/>
  <c r="T100" i="6"/>
  <c r="Q132" i="6" l="1" a="1"/>
  <c r="Q132" i="6" s="1"/>
  <c r="T101" i="6"/>
  <c r="R102" i="6"/>
  <c r="S102" i="6" s="1"/>
  <c r="Q133" i="6" l="1" a="1"/>
  <c r="Q133" i="6" s="1"/>
  <c r="T102" i="6"/>
  <c r="R103" i="6"/>
  <c r="U103" i="6" l="1"/>
  <c r="S103" i="6"/>
  <c r="R104" i="6" l="1"/>
  <c r="Q165" i="6" a="1"/>
  <c r="Q165" i="6" s="1"/>
  <c r="T103" i="6"/>
  <c r="U104" i="6" l="1"/>
  <c r="S104" i="6"/>
  <c r="R105" i="6" l="1"/>
  <c r="Q166" i="6" a="1"/>
  <c r="Q166" i="6" s="1"/>
  <c r="T104" i="6"/>
  <c r="U105" i="6" l="1"/>
  <c r="S105" i="6"/>
  <c r="R106" i="6" l="1"/>
  <c r="T105" i="6"/>
  <c r="Q167" i="6" a="1"/>
  <c r="Q167" i="6" s="1"/>
  <c r="U106" i="6" l="1"/>
  <c r="S106" i="6"/>
  <c r="Q168" i="6" l="1" a="1"/>
  <c r="Q168" i="6" s="1"/>
  <c r="T106" i="6"/>
  <c r="R107" i="6"/>
  <c r="S107" i="6" l="1"/>
  <c r="U107" i="6"/>
  <c r="R108" i="6" l="1"/>
  <c r="Q160" i="6" a="1"/>
  <c r="Q160" i="6" s="1"/>
  <c r="T107" i="6"/>
  <c r="S108" i="6" l="1"/>
  <c r="U108" i="6"/>
  <c r="R109" i="6" l="1"/>
  <c r="Q161" i="6" a="1"/>
  <c r="Q161" i="6" s="1"/>
  <c r="T108" i="6"/>
  <c r="U109" i="6" l="1"/>
  <c r="S109" i="6"/>
  <c r="Q162" i="6" l="1" a="1"/>
  <c r="Q162" i="6" s="1"/>
  <c r="T109" i="6"/>
  <c r="R110" i="6"/>
  <c r="S110" i="6" l="1"/>
  <c r="U110" i="6"/>
  <c r="Q163" i="6" l="1" a="1"/>
  <c r="Q163" i="6" s="1"/>
  <c r="T110" i="6"/>
  <c r="R111" i="6"/>
  <c r="S111" i="6" l="1"/>
  <c r="U111" i="6"/>
  <c r="R112" i="6" l="1"/>
  <c r="Q164" i="6" a="1"/>
  <c r="Q164" i="6" s="1"/>
  <c r="T111" i="6"/>
  <c r="S112" i="6" l="1"/>
  <c r="U112" i="6"/>
  <c r="Q318" i="6" l="1" a="1"/>
  <c r="Q318" i="6" s="1"/>
  <c r="T112" i="6"/>
  <c r="R113" i="6"/>
  <c r="S113" i="6" l="1"/>
  <c r="U113" i="6"/>
  <c r="Q319" i="6" l="1" a="1"/>
  <c r="Q319" i="6" s="1"/>
  <c r="T113" i="6"/>
  <c r="R114" i="6"/>
  <c r="U114" i="6" l="1"/>
  <c r="S114" i="6"/>
  <c r="Q320" i="6" l="1" a="1"/>
  <c r="Q320" i="6" s="1"/>
  <c r="T114" i="6"/>
  <c r="R115" i="6"/>
  <c r="S115" i="6" l="1"/>
  <c r="U115" i="6"/>
  <c r="R116" i="6" l="1"/>
  <c r="Q176" i="6" a="1"/>
  <c r="Q176" i="6" s="1"/>
  <c r="T115" i="6"/>
  <c r="S116" i="6" l="1"/>
  <c r="U116" i="6"/>
  <c r="Q177" i="6" l="1" a="1"/>
  <c r="Q177" i="6" s="1"/>
  <c r="T116" i="6"/>
  <c r="R117" i="6"/>
  <c r="U117" i="6" l="1"/>
  <c r="S117" i="6"/>
  <c r="Q178" i="6" l="1" a="1"/>
  <c r="Q178" i="6" s="1"/>
  <c r="R118" i="6"/>
  <c r="T117" i="6"/>
  <c r="U118" i="6" l="1"/>
  <c r="S118" i="6"/>
  <c r="R119" i="6" l="1"/>
  <c r="Q179" i="6" a="1"/>
  <c r="Q179" i="6" s="1"/>
  <c r="T118" i="6"/>
  <c r="S119" i="6" l="1"/>
  <c r="U119" i="6"/>
  <c r="Q180" i="6" l="1" a="1"/>
  <c r="Q180" i="6" s="1"/>
  <c r="T119" i="6"/>
  <c r="R120" i="6"/>
  <c r="S120" i="6" l="1"/>
  <c r="U120" i="6"/>
  <c r="R121" i="6" l="1"/>
  <c r="Q181" i="6" a="1"/>
  <c r="Q181" i="6" s="1"/>
  <c r="T120" i="6"/>
  <c r="S121" i="6" l="1"/>
  <c r="U121" i="6"/>
  <c r="R122" i="6" l="1"/>
  <c r="S122" i="6" s="1"/>
  <c r="Q182" i="6" a="1"/>
  <c r="Q182" i="6" s="1"/>
  <c r="T121" i="6"/>
  <c r="Q142" i="6" l="1" a="1"/>
  <c r="Q142" i="6" s="1"/>
  <c r="T122" i="6"/>
  <c r="R123" i="6"/>
  <c r="S123" i="6" s="1"/>
  <c r="Q143" i="6" l="1" a="1"/>
  <c r="Q143" i="6" s="1"/>
  <c r="R124" i="6"/>
  <c r="S124" i="6" s="1"/>
  <c r="T123" i="6"/>
  <c r="R125" i="6" l="1"/>
  <c r="S125" i="6" s="1"/>
  <c r="Q144" i="6" a="1"/>
  <c r="Q144" i="6" s="1"/>
  <c r="T124" i="6"/>
  <c r="Q145" i="6" l="1" a="1"/>
  <c r="Q145" i="6" s="1"/>
  <c r="T125" i="6"/>
  <c r="R126" i="6"/>
  <c r="S126" i="6" s="1"/>
  <c r="Q146" i="6" l="1" a="1"/>
  <c r="Q146" i="6" s="1"/>
  <c r="T126" i="6"/>
  <c r="R127" i="6"/>
  <c r="S127" i="6" s="1"/>
  <c r="Q147" i="6" l="1" a="1"/>
  <c r="Q147" i="6" s="1"/>
  <c r="T127" i="6"/>
  <c r="R128" i="6"/>
  <c r="S128" i="6" s="1"/>
  <c r="R129" i="6" l="1"/>
  <c r="S129" i="6" s="1"/>
  <c r="Q148" i="6" a="1"/>
  <c r="Q148" i="6" s="1"/>
  <c r="T128" i="6"/>
  <c r="Q149" i="6" l="1" a="1"/>
  <c r="Q149" i="6" s="1"/>
  <c r="T129" i="6"/>
  <c r="R130" i="6"/>
  <c r="S130" i="6" l="1"/>
  <c r="U130" i="6"/>
  <c r="Q172" i="6" l="1" a="1"/>
  <c r="Q172" i="6" s="1"/>
  <c r="T130" i="6"/>
  <c r="R131" i="6"/>
  <c r="S131" i="6" l="1"/>
  <c r="U131" i="6"/>
  <c r="R132" i="6" l="1"/>
  <c r="Q173" i="6" a="1"/>
  <c r="Q173" i="6" s="1"/>
  <c r="T131" i="6"/>
  <c r="S132" i="6" l="1"/>
  <c r="U132" i="6"/>
  <c r="Q174" i="6" l="1" a="1"/>
  <c r="Q174" i="6" s="1"/>
  <c r="T132" i="6"/>
  <c r="R133" i="6"/>
  <c r="S133" i="6" l="1"/>
  <c r="U133" i="6"/>
  <c r="Q175" i="6" l="1" a="1"/>
  <c r="Q175" i="6" s="1"/>
  <c r="T133" i="6"/>
  <c r="R134" i="6"/>
  <c r="U134" i="6" l="1"/>
  <c r="S134" i="6"/>
  <c r="Q198" i="6" l="1" a="1"/>
  <c r="Q198" i="6" s="1"/>
  <c r="T134" i="6"/>
  <c r="R135" i="6"/>
  <c r="S135" i="6" l="1"/>
  <c r="U135" i="6"/>
  <c r="Q199" i="6" l="1" a="1"/>
  <c r="Q199" i="6" s="1"/>
  <c r="R136" i="6"/>
  <c r="T135" i="6"/>
  <c r="U136" i="6" l="1"/>
  <c r="S136" i="6"/>
  <c r="R137" i="6" l="1"/>
  <c r="S137" i="6" s="1"/>
  <c r="Q200" i="6" a="1"/>
  <c r="Q200" i="6" s="1"/>
  <c r="T136" i="6"/>
  <c r="Q153" i="6" l="1" a="1"/>
  <c r="Q153" i="6" s="1"/>
  <c r="T137" i="6"/>
  <c r="R138" i="6"/>
  <c r="S138" i="6" s="1"/>
  <c r="Q154" i="6" l="1" a="1"/>
  <c r="Q154" i="6" s="1"/>
  <c r="T138" i="6"/>
  <c r="R139" i="6"/>
  <c r="S139" i="6" s="1"/>
  <c r="R140" i="6" l="1"/>
  <c r="S140" i="6" s="1"/>
  <c r="Q155" i="6" a="1"/>
  <c r="Q155" i="6" s="1"/>
  <c r="T139" i="6"/>
  <c r="Q156" i="6" l="1" a="1"/>
  <c r="Q156" i="6" s="1"/>
  <c r="T140" i="6"/>
  <c r="R141" i="6"/>
  <c r="S141" i="6" s="1"/>
  <c r="Q157" i="6" l="1" a="1"/>
  <c r="Q157" i="6" s="1"/>
  <c r="R142" i="6"/>
  <c r="T141" i="6"/>
  <c r="U142" i="6" l="1"/>
  <c r="S142" i="6"/>
  <c r="Q187" i="6" l="1" a="1"/>
  <c r="Q187" i="6" s="1"/>
  <c r="T142" i="6"/>
  <c r="R143" i="6"/>
  <c r="S143" i="6" l="1"/>
  <c r="U143" i="6"/>
  <c r="Q188" i="6" l="1" a="1"/>
  <c r="Q188" i="6" s="1"/>
  <c r="R144" i="6"/>
  <c r="T143" i="6"/>
  <c r="S144" i="6" l="1"/>
  <c r="U144" i="6"/>
  <c r="R145" i="6" l="1"/>
  <c r="Q189" i="6" a="1"/>
  <c r="Q189" i="6" s="1"/>
  <c r="T144" i="6"/>
  <c r="S145" i="6" l="1"/>
  <c r="U145" i="6"/>
  <c r="Q190" i="6" l="1" a="1"/>
  <c r="Q190" i="6" s="1"/>
  <c r="T145" i="6"/>
  <c r="R146" i="6"/>
  <c r="S146" i="6" l="1"/>
  <c r="U146" i="6"/>
  <c r="Q191" i="6" l="1" a="1"/>
  <c r="Q191" i="6" s="1"/>
  <c r="T146" i="6"/>
  <c r="R147" i="6"/>
  <c r="U147" i="6" l="1"/>
  <c r="S147" i="6"/>
  <c r="Q192" i="6" l="1" a="1"/>
  <c r="Q192" i="6" s="1"/>
  <c r="T147" i="6"/>
  <c r="R148" i="6"/>
  <c r="U148" i="6" l="1"/>
  <c r="S148" i="6"/>
  <c r="R149" i="6" l="1"/>
  <c r="Q193" i="6" a="1"/>
  <c r="Q193" i="6" s="1"/>
  <c r="T148" i="6"/>
  <c r="S149" i="6" l="1"/>
  <c r="U149" i="6"/>
  <c r="Q194" i="6" l="1" a="1"/>
  <c r="Q194" i="6" s="1"/>
  <c r="T149" i="6"/>
  <c r="R150" i="6"/>
  <c r="U150" i="6" l="1"/>
  <c r="S150" i="6"/>
  <c r="R151" i="6" l="1"/>
  <c r="Q356" i="6" a="1"/>
  <c r="Q356" i="6" s="1"/>
  <c r="T150" i="6"/>
  <c r="S151" i="6" l="1"/>
  <c r="U151" i="6"/>
  <c r="T151" i="6" l="1"/>
  <c r="Q217" i="6" a="1"/>
  <c r="Q217" i="6" s="1"/>
  <c r="R152" i="6"/>
  <c r="U152" i="6" l="1"/>
  <c r="S152" i="6"/>
  <c r="R153" i="6" l="1"/>
  <c r="Q218" i="6" a="1"/>
  <c r="Q218" i="6" s="1"/>
  <c r="T152" i="6"/>
  <c r="S153" i="6" l="1"/>
  <c r="U153" i="6"/>
  <c r="Q208" i="6" l="1" a="1"/>
  <c r="Q208" i="6" s="1"/>
  <c r="T153" i="6"/>
  <c r="R154" i="6"/>
  <c r="S154" i="6" l="1"/>
  <c r="U154" i="6"/>
  <c r="Q209" i="6" l="1" a="1"/>
  <c r="Q209" i="6" s="1"/>
  <c r="T154" i="6"/>
  <c r="R155" i="6"/>
  <c r="U155" i="6" l="1"/>
  <c r="S155" i="6"/>
  <c r="R156" i="6" l="1"/>
  <c r="Q210" i="6" a="1"/>
  <c r="Q210" i="6" s="1"/>
  <c r="T155" i="6"/>
  <c r="S156" i="6" l="1"/>
  <c r="U156" i="6"/>
  <c r="Q211" i="6" l="1" a="1"/>
  <c r="Q211" i="6" s="1"/>
  <c r="T156" i="6"/>
  <c r="R157" i="6"/>
  <c r="S157" i="6" l="1"/>
  <c r="U157" i="6"/>
  <c r="Q212" i="6" l="1" a="1"/>
  <c r="Q212" i="6" s="1"/>
  <c r="R158" i="6"/>
  <c r="T157" i="6"/>
  <c r="U158" i="6" l="1"/>
  <c r="S158" i="6"/>
  <c r="Q231" i="6" l="1" a="1"/>
  <c r="Q231" i="6" s="1"/>
  <c r="R159" i="6"/>
  <c r="T158" i="6"/>
  <c r="S159" i="6" l="1"/>
  <c r="U159" i="6"/>
  <c r="Q232" i="6" l="1" a="1"/>
  <c r="Q232" i="6" s="1"/>
  <c r="T159" i="6"/>
  <c r="R160" i="6"/>
  <c r="S160" i="6" l="1"/>
  <c r="U160" i="6"/>
  <c r="R161" i="6" l="1"/>
  <c r="Q233" i="6" a="1"/>
  <c r="Q233" i="6" s="1"/>
  <c r="T160" i="6"/>
  <c r="S161" i="6" l="1"/>
  <c r="U161" i="6"/>
  <c r="R162" i="6" l="1"/>
  <c r="Q234" i="6" a="1"/>
  <c r="Q234" i="6" s="1"/>
  <c r="T161" i="6"/>
  <c r="S162" i="6" l="1"/>
  <c r="U162" i="6"/>
  <c r="Q235" i="6" l="1" a="1"/>
  <c r="Q235" i="6" s="1"/>
  <c r="T162" i="6"/>
  <c r="R163" i="6"/>
  <c r="S163" i="6" l="1"/>
  <c r="U163" i="6"/>
  <c r="Q236" i="6" l="1" a="1"/>
  <c r="Q236" i="6" s="1"/>
  <c r="T163" i="6"/>
  <c r="R164" i="6"/>
  <c r="S164" i="6" l="1"/>
  <c r="U164" i="6"/>
  <c r="Q237" i="6" l="1" a="1"/>
  <c r="Q237" i="6" s="1"/>
  <c r="T164" i="6"/>
  <c r="R165" i="6"/>
  <c r="U165" i="6" l="1"/>
  <c r="S165" i="6"/>
  <c r="R166" i="6" l="1"/>
  <c r="Q243" i="6" a="1"/>
  <c r="Q243" i="6" s="1"/>
  <c r="T165" i="6"/>
  <c r="S166" i="6" l="1"/>
  <c r="U166" i="6"/>
  <c r="R167" i="6" l="1"/>
  <c r="Q244" i="6" a="1"/>
  <c r="Q244" i="6" s="1"/>
  <c r="T166" i="6"/>
  <c r="U167" i="6" l="1"/>
  <c r="S167" i="6"/>
  <c r="R168" i="6" l="1"/>
  <c r="T167" i="6"/>
  <c r="Q245" i="6" a="1"/>
  <c r="Q245" i="6" s="1"/>
  <c r="U168" i="6" l="1"/>
  <c r="S168" i="6"/>
  <c r="Q246" i="6" l="1" a="1"/>
  <c r="Q246" i="6" s="1"/>
  <c r="T168" i="6"/>
  <c r="R169" i="6"/>
  <c r="S169" i="6" s="1"/>
  <c r="Q195" i="6" l="1" a="1"/>
  <c r="Q195" i="6" s="1"/>
  <c r="T169" i="6"/>
  <c r="R170" i="6"/>
  <c r="S170" i="6" s="1"/>
  <c r="R171" i="6" l="1"/>
  <c r="S171" i="6" s="1"/>
  <c r="Q196" i="6" a="1"/>
  <c r="Q196" i="6" s="1"/>
  <c r="T170" i="6"/>
  <c r="R172" i="6" l="1"/>
  <c r="Q197" i="6" a="1"/>
  <c r="Q197" i="6" s="1"/>
  <c r="T171" i="6"/>
  <c r="U172" i="6" l="1"/>
  <c r="S172" i="6"/>
  <c r="Q247" i="6" l="1" a="1"/>
  <c r="Q247" i="6" s="1"/>
  <c r="T172" i="6"/>
  <c r="R173" i="6"/>
  <c r="S173" i="6" l="1"/>
  <c r="U173" i="6"/>
  <c r="R174" i="6" l="1"/>
  <c r="Q248" i="6" a="1"/>
  <c r="Q248" i="6" s="1"/>
  <c r="T173" i="6"/>
  <c r="S174" i="6" l="1"/>
  <c r="U174" i="6"/>
  <c r="Q249" i="6" l="1" a="1"/>
  <c r="Q249" i="6" s="1"/>
  <c r="T174" i="6"/>
  <c r="R175" i="6"/>
  <c r="S175" i="6" l="1"/>
  <c r="U175" i="6"/>
  <c r="Q250" i="6" l="1" a="1"/>
  <c r="Q250" i="6" s="1"/>
  <c r="T175" i="6"/>
  <c r="R176" i="6"/>
  <c r="S176" i="6" l="1"/>
  <c r="U176" i="6"/>
  <c r="R177" i="6" l="1"/>
  <c r="Q384" i="6" a="1"/>
  <c r="Q384" i="6" s="1"/>
  <c r="T176" i="6"/>
  <c r="S177" i="6" l="1"/>
  <c r="U177" i="6"/>
  <c r="Q385" i="6" l="1" a="1"/>
  <c r="Q385" i="6" s="1"/>
  <c r="T177" i="6"/>
  <c r="R178" i="6"/>
  <c r="S178" i="6" l="1"/>
  <c r="U178" i="6"/>
  <c r="Q386" i="6" l="1" a="1"/>
  <c r="Q386" i="6" s="1"/>
  <c r="R179" i="6"/>
  <c r="T178" i="6"/>
  <c r="S179" i="6" l="1"/>
  <c r="U179" i="6"/>
  <c r="R180" i="6" l="1"/>
  <c r="Q387" i="6" a="1"/>
  <c r="Q387" i="6" s="1"/>
  <c r="T179" i="6"/>
  <c r="U180" i="6" l="1"/>
  <c r="S180" i="6"/>
  <c r="Q388" i="6" l="1" a="1"/>
  <c r="Q388" i="6" s="1"/>
  <c r="T180" i="6"/>
  <c r="R181" i="6"/>
  <c r="S181" i="6" l="1"/>
  <c r="U181" i="6"/>
  <c r="R182" i="6" l="1"/>
  <c r="Q389" i="6" a="1"/>
  <c r="Q389" i="6" s="1"/>
  <c r="T181" i="6"/>
  <c r="S182" i="6" l="1"/>
  <c r="U182" i="6"/>
  <c r="Q390" i="6" l="1" a="1"/>
  <c r="Q390" i="6" s="1"/>
  <c r="T182" i="6"/>
  <c r="R183" i="6"/>
  <c r="S183" i="6" s="1"/>
  <c r="R184" i="6" l="1"/>
  <c r="S184" i="6" s="1"/>
  <c r="Q213" i="6" a="1"/>
  <c r="Q213" i="6" s="1"/>
  <c r="T183" i="6"/>
  <c r="R185" i="6" l="1"/>
  <c r="S185" i="6" s="1"/>
  <c r="Q214" i="6" a="1"/>
  <c r="Q214" i="6" s="1"/>
  <c r="T184" i="6"/>
  <c r="T185" i="6" l="1"/>
  <c r="Q215" i="6" a="1"/>
  <c r="Q215" i="6" s="1"/>
  <c r="R186" i="6"/>
  <c r="S186" i="6" s="1"/>
  <c r="R187" i="6" l="1"/>
  <c r="Q216" i="6" a="1"/>
  <c r="Q216" i="6" s="1"/>
  <c r="T186" i="6"/>
  <c r="U187" i="6" l="1"/>
  <c r="S187" i="6"/>
  <c r="Q254" i="6" l="1" a="1"/>
  <c r="Q254" i="6" s="1"/>
  <c r="T187" i="6"/>
  <c r="R188" i="6"/>
  <c r="S188" i="6" l="1"/>
  <c r="U188" i="6"/>
  <c r="Q255" i="6" l="1" a="1"/>
  <c r="Q255" i="6" s="1"/>
  <c r="R189" i="6"/>
  <c r="T188" i="6"/>
  <c r="S189" i="6" l="1"/>
  <c r="U189" i="6"/>
  <c r="R190" i="6" l="1"/>
  <c r="Q256" i="6" a="1"/>
  <c r="Q256" i="6" s="1"/>
  <c r="T189" i="6"/>
  <c r="U190" i="6" l="1"/>
  <c r="S190" i="6"/>
  <c r="Q257" i="6" l="1" a="1"/>
  <c r="Q257" i="6" s="1"/>
  <c r="T190" i="6"/>
  <c r="R191" i="6"/>
  <c r="S191" i="6" l="1"/>
  <c r="U191" i="6"/>
  <c r="Q258" i="6" l="1" a="1"/>
  <c r="Q258" i="6" s="1"/>
  <c r="T191" i="6"/>
  <c r="R192" i="6"/>
  <c r="U192" i="6" l="1"/>
  <c r="S192" i="6"/>
  <c r="Q259" i="6" l="1" a="1"/>
  <c r="Q259" i="6" s="1"/>
  <c r="T192" i="6"/>
  <c r="R193" i="6"/>
  <c r="U193" i="6" l="1"/>
  <c r="S193" i="6"/>
  <c r="R194" i="6" l="1"/>
  <c r="Q260" i="6" a="1"/>
  <c r="Q260" i="6" s="1"/>
  <c r="T193" i="6"/>
  <c r="U194" i="6" l="1"/>
  <c r="S194" i="6"/>
  <c r="R195" i="6" l="1"/>
  <c r="Q261" i="6" a="1"/>
  <c r="Q261" i="6" s="1"/>
  <c r="T194" i="6"/>
  <c r="S195" i="6" l="1"/>
  <c r="U195" i="6"/>
  <c r="Q251" i="6" l="1" a="1"/>
  <c r="Q251" i="6" s="1"/>
  <c r="T195" i="6"/>
  <c r="R196" i="6"/>
  <c r="S196" i="6" l="1"/>
  <c r="U196" i="6"/>
  <c r="R197" i="6" l="1"/>
  <c r="Q252" i="6" a="1"/>
  <c r="Q252" i="6" s="1"/>
  <c r="T196" i="6"/>
  <c r="S197" i="6" l="1"/>
  <c r="U197" i="6"/>
  <c r="Q253" i="6" l="1" a="1"/>
  <c r="Q253" i="6" s="1"/>
  <c r="T197" i="6"/>
  <c r="R198" i="6"/>
  <c r="S198" i="6" l="1"/>
  <c r="U198" i="6"/>
  <c r="Q402" i="6" l="1" a="1"/>
  <c r="Q402" i="6" s="1"/>
  <c r="T198" i="6"/>
  <c r="R199" i="6"/>
  <c r="U199" i="6" l="1"/>
  <c r="S199" i="6"/>
  <c r="Q403" i="6" l="1" a="1"/>
  <c r="Q403" i="6" s="1"/>
  <c r="R200" i="6"/>
  <c r="T199" i="6"/>
  <c r="U200" i="6" l="1"/>
  <c r="S200" i="6"/>
  <c r="Q404" i="6" l="1" a="1"/>
  <c r="Q404" i="6" s="1"/>
  <c r="T200" i="6"/>
  <c r="R201" i="6"/>
  <c r="S201" i="6" s="1"/>
  <c r="R202" i="6" l="1"/>
  <c r="S202" i="6" s="1"/>
  <c r="Q224" i="6" a="1"/>
  <c r="Q224" i="6" s="1"/>
  <c r="T201" i="6"/>
  <c r="Q225" i="6" l="1" a="1"/>
  <c r="Q225" i="6" s="1"/>
  <c r="T202" i="6"/>
  <c r="R203" i="6"/>
  <c r="S203" i="6" s="1"/>
  <c r="R204" i="6" l="1"/>
  <c r="S204" i="6" s="1"/>
  <c r="Q226" i="6" a="1"/>
  <c r="Q226" i="6" s="1"/>
  <c r="T203" i="6"/>
  <c r="R205" i="6" l="1"/>
  <c r="S205" i="6" s="1"/>
  <c r="Q227" i="6" a="1"/>
  <c r="Q227" i="6" s="1"/>
  <c r="T204" i="6"/>
  <c r="Q228" i="6" l="1" a="1"/>
  <c r="Q228" i="6" s="1"/>
  <c r="T205" i="6"/>
  <c r="R206" i="6"/>
  <c r="S206" i="6" s="1"/>
  <c r="Q229" i="6" l="1" a="1"/>
  <c r="Q229" i="6" s="1"/>
  <c r="T206" i="6"/>
  <c r="R207" i="6"/>
  <c r="S207" i="6" s="1"/>
  <c r="R208" i="6" l="1"/>
  <c r="Q230" i="6" a="1"/>
  <c r="Q230" i="6" s="1"/>
  <c r="T207" i="6"/>
  <c r="U208" i="6" l="1"/>
  <c r="S208" i="6"/>
  <c r="Q266" i="6" l="1" a="1"/>
  <c r="Q266" i="6" s="1"/>
  <c r="T208" i="6"/>
  <c r="R209" i="6"/>
  <c r="S209" i="6" l="1"/>
  <c r="U209" i="6"/>
  <c r="Q267" i="6" l="1" a="1"/>
  <c r="Q267" i="6" s="1"/>
  <c r="T209" i="6"/>
  <c r="R210" i="6"/>
  <c r="U210" i="6" l="1"/>
  <c r="S210" i="6"/>
  <c r="R211" i="6" l="1"/>
  <c r="Q268" i="6" a="1"/>
  <c r="Q268" i="6" s="1"/>
  <c r="T210" i="6"/>
  <c r="U211" i="6" l="1"/>
  <c r="S211" i="6"/>
  <c r="Q269" i="6" l="1" a="1"/>
  <c r="Q269" i="6" s="1"/>
  <c r="T211" i="6"/>
  <c r="R212" i="6"/>
  <c r="U212" i="6" l="1"/>
  <c r="S212" i="6"/>
  <c r="Q270" i="6" l="1" a="1"/>
  <c r="Q270" i="6" s="1"/>
  <c r="R213" i="6"/>
  <c r="T212" i="6"/>
  <c r="U213" i="6" l="1"/>
  <c r="S213" i="6"/>
  <c r="R214" i="6" l="1"/>
  <c r="Q262" i="6" a="1"/>
  <c r="Q262" i="6" s="1"/>
  <c r="T213" i="6"/>
  <c r="U214" i="6" l="1"/>
  <c r="S214" i="6"/>
  <c r="R215" i="6" l="1"/>
  <c r="Q263" i="6" a="1"/>
  <c r="Q263" i="6" s="1"/>
  <c r="T214" i="6"/>
  <c r="S215" i="6" l="1"/>
  <c r="U215" i="6"/>
  <c r="Q264" i="6" l="1" a="1"/>
  <c r="Q264" i="6" s="1"/>
  <c r="T215" i="6"/>
  <c r="R216" i="6"/>
  <c r="U216" i="6" l="1"/>
  <c r="S216" i="6"/>
  <c r="R217" i="6" l="1"/>
  <c r="Q265" i="6" a="1"/>
  <c r="Q265" i="6" s="1"/>
  <c r="T216" i="6"/>
  <c r="S217" i="6" l="1"/>
  <c r="U217" i="6"/>
  <c r="Q280" i="6" l="1" a="1"/>
  <c r="Q280" i="6" s="1"/>
  <c r="T217" i="6"/>
  <c r="R218" i="6"/>
  <c r="S218" i="6" l="1"/>
  <c r="U218" i="6"/>
  <c r="Q281" i="6" l="1" a="1"/>
  <c r="Q281" i="6" s="1"/>
  <c r="T218" i="6"/>
  <c r="R219" i="6"/>
  <c r="S219" i="6" s="1"/>
  <c r="R220" i="6" l="1"/>
  <c r="S220" i="6" s="1"/>
  <c r="Q238" i="6" a="1"/>
  <c r="Q238" i="6" s="1"/>
  <c r="T219" i="6"/>
  <c r="Q239" i="6" l="1" a="1"/>
  <c r="Q239" i="6" s="1"/>
  <c r="T220" i="6"/>
  <c r="R221" i="6"/>
  <c r="S221" i="6" s="1"/>
  <c r="R222" i="6" l="1"/>
  <c r="S222" i="6" s="1"/>
  <c r="Q240" i="6" a="1"/>
  <c r="Q240" i="6" s="1"/>
  <c r="T221" i="6"/>
  <c r="Q241" i="6" l="1" a="1"/>
  <c r="Q241" i="6" s="1"/>
  <c r="T222" i="6"/>
  <c r="R223" i="6"/>
  <c r="S223" i="6" s="1"/>
  <c r="R224" i="6" l="1"/>
  <c r="Q242" i="6" a="1"/>
  <c r="Q242" i="6" s="1"/>
  <c r="T223" i="6"/>
  <c r="U224" i="6" l="1"/>
  <c r="S224" i="6"/>
  <c r="R225" i="6" l="1"/>
  <c r="Q273" i="6" a="1"/>
  <c r="Q273" i="6" s="1"/>
  <c r="T224" i="6"/>
  <c r="U225" i="6" l="1"/>
  <c r="S225" i="6"/>
  <c r="Q274" i="6" l="1" a="1"/>
  <c r="Q274" i="6" s="1"/>
  <c r="T225" i="6"/>
  <c r="R226" i="6"/>
  <c r="S226" i="6" l="1"/>
  <c r="U226" i="6"/>
  <c r="R227" i="6" l="1"/>
  <c r="Q275" i="6" a="1"/>
  <c r="Q275" i="6" s="1"/>
  <c r="T226" i="6"/>
  <c r="U227" i="6" l="1"/>
  <c r="S227" i="6"/>
  <c r="R228" i="6" l="1"/>
  <c r="Q276" i="6" a="1"/>
  <c r="Q276" i="6" s="1"/>
  <c r="T227" i="6"/>
  <c r="U228" i="6" l="1"/>
  <c r="S228" i="6"/>
  <c r="Q277" i="6" l="1" a="1"/>
  <c r="Q277" i="6" s="1"/>
  <c r="T228" i="6"/>
  <c r="R229" i="6"/>
  <c r="U229" i="6" l="1"/>
  <c r="S229" i="6"/>
  <c r="Q278" i="6" l="1" a="1"/>
  <c r="Q278" i="6" s="1"/>
  <c r="T229" i="6"/>
  <c r="R230" i="6"/>
  <c r="S230" i="6" l="1"/>
  <c r="U230" i="6"/>
  <c r="Q279" i="6" l="1" a="1"/>
  <c r="Q279" i="6" s="1"/>
  <c r="T230" i="6"/>
  <c r="R231" i="6"/>
  <c r="S231" i="6" l="1"/>
  <c r="U231" i="6"/>
  <c r="Q433" i="6" l="1" a="1"/>
  <c r="Q433" i="6" s="1"/>
  <c r="R232" i="6"/>
  <c r="T231" i="6"/>
  <c r="S232" i="6" l="1"/>
  <c r="U232" i="6"/>
  <c r="Q434" i="6" l="1" a="1"/>
  <c r="Q434" i="6" s="1"/>
  <c r="T232" i="6"/>
  <c r="R233" i="6"/>
  <c r="S233" i="6" l="1"/>
  <c r="U233" i="6"/>
  <c r="R234" i="6" l="1"/>
  <c r="Q293" i="6" a="1"/>
  <c r="Q293" i="6" s="1"/>
  <c r="T233" i="6"/>
  <c r="S234" i="6" l="1"/>
  <c r="U234" i="6"/>
  <c r="R235" i="6" l="1"/>
  <c r="Q294" i="6" a="1"/>
  <c r="Q294" i="6" s="1"/>
  <c r="T234" i="6"/>
  <c r="S235" i="6" l="1"/>
  <c r="U235" i="6"/>
  <c r="Q295" i="6" l="1" a="1"/>
  <c r="Q295" i="6" s="1"/>
  <c r="T235" i="6"/>
  <c r="R236" i="6"/>
  <c r="U236" i="6" l="1"/>
  <c r="S236" i="6"/>
  <c r="Q296" i="6" l="1" a="1"/>
  <c r="Q296" i="6" s="1"/>
  <c r="T236" i="6"/>
  <c r="R237" i="6"/>
  <c r="S237" i="6" l="1"/>
  <c r="U237" i="6"/>
  <c r="Q297" i="6" l="1" a="1"/>
  <c r="Q297" i="6" s="1"/>
  <c r="T237" i="6"/>
  <c r="R238" i="6"/>
  <c r="S238" i="6" l="1"/>
  <c r="U238" i="6"/>
  <c r="R239" i="6" l="1"/>
  <c r="Q285" i="6" a="1"/>
  <c r="Q285" i="6" s="1"/>
  <c r="T238" i="6"/>
  <c r="U239" i="6" l="1"/>
  <c r="S239" i="6"/>
  <c r="Q286" i="6" l="1" a="1"/>
  <c r="Q286" i="6" s="1"/>
  <c r="T239" i="6"/>
  <c r="R240" i="6"/>
  <c r="S240" i="6" l="1"/>
  <c r="U240" i="6"/>
  <c r="R241" i="6" l="1"/>
  <c r="Q287" i="6" a="1"/>
  <c r="Q287" i="6" s="1"/>
  <c r="T240" i="6"/>
  <c r="U241" i="6" l="1"/>
  <c r="S241" i="6"/>
  <c r="Q288" i="6" l="1" a="1"/>
  <c r="Q288" i="6" s="1"/>
  <c r="T241" i="6"/>
  <c r="R242" i="6"/>
  <c r="U242" i="6" l="1"/>
  <c r="S242" i="6"/>
  <c r="R243" i="6" l="1"/>
  <c r="Q289" i="6" a="1"/>
  <c r="Q289" i="6" s="1"/>
  <c r="T242" i="6"/>
  <c r="S243" i="6" l="1"/>
  <c r="U243" i="6"/>
  <c r="R244" i="6" l="1"/>
  <c r="Q443" i="6" a="1"/>
  <c r="Q443" i="6" s="1"/>
  <c r="T243" i="6"/>
  <c r="S244" i="6" l="1"/>
  <c r="U244" i="6"/>
  <c r="R245" i="6" l="1"/>
  <c r="Q444" i="6" a="1"/>
  <c r="Q444" i="6" s="1"/>
  <c r="T244" i="6"/>
  <c r="U245" i="6" l="1"/>
  <c r="S245" i="6"/>
  <c r="R246" i="6" l="1"/>
  <c r="Q445" i="6" a="1"/>
  <c r="Q445" i="6" s="1"/>
  <c r="T245" i="6"/>
  <c r="U246" i="6" l="1"/>
  <c r="S246" i="6"/>
  <c r="Q446" i="6" l="1" a="1"/>
  <c r="Q446" i="6" s="1"/>
  <c r="T246" i="6"/>
  <c r="R247" i="6"/>
  <c r="S247" i="6" l="1"/>
  <c r="U247" i="6"/>
  <c r="Q309" i="6" l="1" a="1"/>
  <c r="Q309" i="6" s="1"/>
  <c r="T247" i="6"/>
  <c r="R248" i="6"/>
  <c r="S248" i="6" l="1"/>
  <c r="U248" i="6"/>
  <c r="R249" i="6" l="1"/>
  <c r="Q310" i="6" a="1"/>
  <c r="Q310" i="6" s="1"/>
  <c r="T248" i="6"/>
  <c r="U249" i="6" l="1"/>
  <c r="S249" i="6"/>
  <c r="Q311" i="6" l="1" a="1"/>
  <c r="Q311" i="6" s="1"/>
  <c r="T249" i="6"/>
  <c r="R250" i="6"/>
  <c r="U250" i="6" l="1"/>
  <c r="S250" i="6"/>
  <c r="R251" i="6" l="1"/>
  <c r="Q312" i="6" a="1"/>
  <c r="Q312" i="6" s="1"/>
  <c r="T250" i="6"/>
  <c r="U251" i="6" l="1"/>
  <c r="S251" i="6"/>
  <c r="Q313" i="6" l="1" a="1"/>
  <c r="Q313" i="6" s="1"/>
  <c r="T251" i="6"/>
  <c r="R252" i="6"/>
  <c r="U252" i="6" l="1"/>
  <c r="S252" i="6"/>
  <c r="R253" i="6" l="1"/>
  <c r="Q314" i="6" a="1"/>
  <c r="Q314" i="6" s="1"/>
  <c r="T252" i="6"/>
  <c r="S253" i="6" l="1"/>
  <c r="U253" i="6"/>
  <c r="R254" i="6" l="1"/>
  <c r="Q315" i="6" a="1"/>
  <c r="Q315" i="6" s="1"/>
  <c r="T253" i="6"/>
  <c r="S254" i="6" l="1"/>
  <c r="U254" i="6"/>
  <c r="Q325" i="6" l="1" a="1"/>
  <c r="Q325" i="6" s="1"/>
  <c r="T254" i="6"/>
  <c r="R255" i="6"/>
  <c r="S255" i="6" l="1"/>
  <c r="U255" i="6"/>
  <c r="Q326" i="6" l="1" a="1"/>
  <c r="Q326" i="6" s="1"/>
  <c r="R256" i="6"/>
  <c r="T255" i="6"/>
  <c r="S256" i="6" l="1"/>
  <c r="U256" i="6"/>
  <c r="R257" i="6" l="1"/>
  <c r="Q327" i="6" a="1"/>
  <c r="Q327" i="6" s="1"/>
  <c r="T256" i="6"/>
  <c r="S257" i="6" l="1"/>
  <c r="U257" i="6"/>
  <c r="Q328" i="6" l="1" a="1"/>
  <c r="Q328" i="6" s="1"/>
  <c r="T257" i="6"/>
  <c r="R258" i="6"/>
  <c r="U258" i="6" l="1"/>
  <c r="S258" i="6"/>
  <c r="Q329" i="6" l="1" a="1"/>
  <c r="Q329" i="6" s="1"/>
  <c r="T258" i="6"/>
  <c r="R259" i="6"/>
  <c r="S259" i="6" l="1"/>
  <c r="U259" i="6"/>
  <c r="Q330" i="6" l="1" a="1"/>
  <c r="Q330" i="6" s="1"/>
  <c r="T259" i="6"/>
  <c r="R260" i="6"/>
  <c r="U260" i="6" l="1"/>
  <c r="S260" i="6"/>
  <c r="R261" i="6" l="1"/>
  <c r="Q331" i="6" a="1"/>
  <c r="Q331" i="6" s="1"/>
  <c r="T260" i="6"/>
  <c r="U261" i="6" l="1"/>
  <c r="S261" i="6"/>
  <c r="Q332" i="6" l="1" a="1"/>
  <c r="Q332" i="6" s="1"/>
  <c r="T261" i="6"/>
  <c r="R262" i="6"/>
  <c r="S262" i="6" l="1"/>
  <c r="U262" i="6"/>
  <c r="R263" i="6" l="1"/>
  <c r="Q333" i="6" a="1"/>
  <c r="Q333" i="6" s="1"/>
  <c r="T262" i="6"/>
  <c r="S263" i="6" l="1"/>
  <c r="U263" i="6"/>
  <c r="R264" i="6" l="1"/>
  <c r="Q334" i="6" a="1"/>
  <c r="Q334" i="6" s="1"/>
  <c r="T263" i="6"/>
  <c r="S264" i="6" l="1"/>
  <c r="U264" i="6"/>
  <c r="T264" i="6" l="1"/>
  <c r="Q335" i="6" a="1"/>
  <c r="Q335" i="6" s="1"/>
  <c r="R265" i="6"/>
  <c r="S265" i="6" l="1"/>
  <c r="U265" i="6"/>
  <c r="R266" i="6" l="1"/>
  <c r="Q336" i="6" a="1"/>
  <c r="Q336" i="6" s="1"/>
  <c r="T265" i="6"/>
  <c r="U266" i="6" l="1"/>
  <c r="S266" i="6"/>
  <c r="Q342" i="6" l="1" a="1"/>
  <c r="Q342" i="6" s="1"/>
  <c r="T266" i="6"/>
  <c r="R267" i="6"/>
  <c r="S267" i="6" l="1"/>
  <c r="U267" i="6"/>
  <c r="Q343" i="6" l="1" a="1"/>
  <c r="Q343" i="6" s="1"/>
  <c r="T267" i="6"/>
  <c r="R268" i="6"/>
  <c r="U268" i="6" l="1"/>
  <c r="S268" i="6"/>
  <c r="R269" i="6" l="1"/>
  <c r="Q344" i="6" a="1"/>
  <c r="Q344" i="6" s="1"/>
  <c r="T268" i="6"/>
  <c r="S269" i="6" l="1"/>
  <c r="U269" i="6"/>
  <c r="Q345" i="6" l="1" a="1"/>
  <c r="Q345" i="6" s="1"/>
  <c r="T269" i="6"/>
  <c r="R270" i="6"/>
  <c r="S270" i="6" l="1"/>
  <c r="U270" i="6"/>
  <c r="Q346" i="6" l="1" a="1"/>
  <c r="Q346" i="6" s="1"/>
  <c r="R271" i="6"/>
  <c r="S271" i="6" s="1"/>
  <c r="T270" i="6"/>
  <c r="R272" i="6" l="1"/>
  <c r="S272" i="6" s="1"/>
  <c r="Q291" i="6" a="1"/>
  <c r="Q291" i="6" s="1"/>
  <c r="T271" i="6"/>
  <c r="Q292" i="6" l="1" a="1"/>
  <c r="Q292" i="6" s="1"/>
  <c r="T272" i="6"/>
  <c r="R273" i="6"/>
  <c r="U273" i="6" l="1"/>
  <c r="S273" i="6"/>
  <c r="R274" i="6" l="1"/>
  <c r="Q347" i="6" a="1"/>
  <c r="Q347" i="6" s="1"/>
  <c r="T273" i="6"/>
  <c r="U274" i="6" l="1"/>
  <c r="S274" i="6"/>
  <c r="Q348" i="6" l="1" a="1"/>
  <c r="Q348" i="6" s="1"/>
  <c r="T274" i="6"/>
  <c r="R275" i="6"/>
  <c r="U275" i="6" l="1"/>
  <c r="S275" i="6"/>
  <c r="R276" i="6" l="1"/>
  <c r="Q349" i="6" a="1"/>
  <c r="Q349" i="6" s="1"/>
  <c r="T275" i="6"/>
  <c r="U276" i="6" l="1"/>
  <c r="S276" i="6"/>
  <c r="R277" i="6" l="1"/>
  <c r="Q350" i="6" a="1"/>
  <c r="Q350" i="6" s="1"/>
  <c r="T276" i="6"/>
  <c r="S277" i="6" l="1"/>
  <c r="U277" i="6"/>
  <c r="Q351" i="6" l="1" a="1"/>
  <c r="Q351" i="6" s="1"/>
  <c r="T277" i="6"/>
  <c r="R278" i="6"/>
  <c r="S278" i="6" l="1"/>
  <c r="U278" i="6"/>
  <c r="Q352" i="6" l="1" a="1"/>
  <c r="Q352" i="6" s="1"/>
  <c r="T278" i="6"/>
  <c r="R279" i="6"/>
  <c r="S279" i="6" l="1"/>
  <c r="U279" i="6"/>
  <c r="R280" i="6" l="1"/>
  <c r="Q353" i="6" a="1"/>
  <c r="Q353" i="6" s="1"/>
  <c r="T279" i="6"/>
  <c r="S280" i="6" l="1"/>
  <c r="U280" i="6"/>
  <c r="Q465" i="6" l="1" a="1"/>
  <c r="Q465" i="6" s="1"/>
  <c r="T280" i="6"/>
  <c r="R281" i="6"/>
  <c r="U281" i="6" l="1"/>
  <c r="S281" i="6"/>
  <c r="R282" i="6" l="1"/>
  <c r="S282" i="6" s="1"/>
  <c r="Q466" i="6" a="1"/>
  <c r="Q466" i="6" s="1"/>
  <c r="T281" i="6"/>
  <c r="Q306" i="6" l="1" a="1"/>
  <c r="Q306" i="6" s="1"/>
  <c r="T282" i="6"/>
  <c r="R283" i="6"/>
  <c r="S283" i="6" s="1"/>
  <c r="R284" i="6" l="1"/>
  <c r="S284" i="6" s="1"/>
  <c r="Q307" i="6" a="1"/>
  <c r="Q307" i="6" s="1"/>
  <c r="T283" i="6"/>
  <c r="Q308" i="6" l="1" a="1"/>
  <c r="Q308" i="6" s="1"/>
  <c r="T284" i="6"/>
  <c r="R285" i="6"/>
  <c r="S285" i="6" l="1"/>
  <c r="U285" i="6"/>
  <c r="R286" i="6" l="1"/>
  <c r="Q360" i="6" a="1"/>
  <c r="Q360" i="6" s="1"/>
  <c r="T285" i="6"/>
  <c r="U286" i="6" l="1"/>
  <c r="S286" i="6"/>
  <c r="Q361" i="6" l="1" a="1"/>
  <c r="Q361" i="6" s="1"/>
  <c r="T286" i="6"/>
  <c r="R287" i="6"/>
  <c r="U287" i="6" l="1"/>
  <c r="S287" i="6"/>
  <c r="R288" i="6" l="1"/>
  <c r="Q362" i="6" a="1"/>
  <c r="Q362" i="6" s="1"/>
  <c r="T287" i="6"/>
  <c r="S288" i="6" l="1"/>
  <c r="U288" i="6"/>
  <c r="Q363" i="6" l="1" a="1"/>
  <c r="Q363" i="6" s="1"/>
  <c r="T288" i="6"/>
  <c r="R289" i="6"/>
  <c r="S289" i="6" l="1"/>
  <c r="U289" i="6"/>
  <c r="Q364" i="6" l="1" a="1"/>
  <c r="Q364" i="6" s="1"/>
  <c r="T289" i="6"/>
  <c r="R290" i="6"/>
  <c r="U290" i="6" l="1"/>
  <c r="S290" i="6"/>
  <c r="R291" i="6" l="1"/>
  <c r="T290" i="6"/>
  <c r="Q553" i="6" a="1"/>
  <c r="Q553" i="6" s="1"/>
  <c r="S291" i="6" l="1"/>
  <c r="U291" i="6"/>
  <c r="R292" i="6" l="1"/>
  <c r="Q354" i="6" a="1"/>
  <c r="Q354" i="6" s="1"/>
  <c r="T291" i="6"/>
  <c r="U292" i="6" l="1"/>
  <c r="S292" i="6"/>
  <c r="Q355" i="6" l="1" a="1"/>
  <c r="Q355" i="6" s="1"/>
  <c r="T292" i="6"/>
  <c r="R293" i="6"/>
  <c r="S293" i="6" l="1"/>
  <c r="U293" i="6"/>
  <c r="R294" i="6" l="1"/>
  <c r="Q472" i="6" a="1"/>
  <c r="Q472" i="6" s="1"/>
  <c r="T293" i="6"/>
  <c r="U294" i="6" l="1"/>
  <c r="S294" i="6"/>
  <c r="R295" i="6" l="1"/>
  <c r="Q473" i="6" a="1"/>
  <c r="Q473" i="6" s="1"/>
  <c r="T294" i="6"/>
  <c r="S295" i="6" l="1"/>
  <c r="U295" i="6"/>
  <c r="Q474" i="6" l="1" a="1"/>
  <c r="Q474" i="6" s="1"/>
  <c r="T295" i="6"/>
  <c r="R296" i="6"/>
  <c r="U296" i="6" l="1"/>
  <c r="S296" i="6"/>
  <c r="Q475" i="6" l="1" a="1"/>
  <c r="Q475" i="6" s="1"/>
  <c r="T296" i="6"/>
  <c r="R297" i="6"/>
  <c r="S297" i="6" l="1"/>
  <c r="U297" i="6"/>
  <c r="Q476" i="6" l="1" a="1"/>
  <c r="Q476" i="6" s="1"/>
  <c r="T297" i="6"/>
  <c r="R298" i="6"/>
  <c r="S298" i="6" s="1"/>
  <c r="R299" i="6" l="1"/>
  <c r="S299" i="6" s="1"/>
  <c r="Q321" i="6" a="1"/>
  <c r="Q321" i="6" s="1"/>
  <c r="T298" i="6"/>
  <c r="Q322" i="6" l="1" a="1"/>
  <c r="Q322" i="6" s="1"/>
  <c r="T299" i="6"/>
  <c r="R300" i="6"/>
  <c r="S300" i="6" s="1"/>
  <c r="Q323" i="6" l="1" a="1"/>
  <c r="Q323" i="6" s="1"/>
  <c r="T300" i="6"/>
  <c r="R301" i="6"/>
  <c r="S301" i="6" s="1"/>
  <c r="R302" i="6" l="1"/>
  <c r="Q324" i="6" a="1"/>
  <c r="Q324" i="6" s="1"/>
  <c r="T301" i="6"/>
  <c r="U302" i="6" l="1"/>
  <c r="S302" i="6"/>
  <c r="Q558" i="6" l="1" a="1"/>
  <c r="Q558" i="6" s="1"/>
  <c r="T302" i="6"/>
  <c r="R303" i="6"/>
  <c r="S303" i="6" l="1"/>
  <c r="U303" i="6"/>
  <c r="Q559" i="6" l="1" a="1"/>
  <c r="Q559" i="6" s="1"/>
  <c r="T303" i="6"/>
  <c r="R304" i="6"/>
  <c r="U304" i="6" l="1"/>
  <c r="S304" i="6"/>
  <c r="R305" i="6" l="1"/>
  <c r="Q560" i="6" a="1"/>
  <c r="Q560" i="6" s="1"/>
  <c r="T304" i="6"/>
  <c r="U305" i="6" l="1"/>
  <c r="S305" i="6"/>
  <c r="R306" i="6" l="1"/>
  <c r="Q561" i="6" a="1"/>
  <c r="Q561" i="6" s="1"/>
  <c r="T305" i="6"/>
  <c r="S306" i="6" l="1"/>
  <c r="U306" i="6"/>
  <c r="Q365" i="6" l="1" a="1"/>
  <c r="Q365" i="6" s="1"/>
  <c r="T306" i="6"/>
  <c r="R307" i="6"/>
  <c r="U307" i="6" l="1"/>
  <c r="S307" i="6"/>
  <c r="R308" i="6" l="1"/>
  <c r="T307" i="6"/>
  <c r="Q366" i="6" a="1"/>
  <c r="Q366" i="6" s="1"/>
  <c r="U308" i="6" l="1"/>
  <c r="S308" i="6"/>
  <c r="Q367" i="6" l="1" a="1"/>
  <c r="Q367" i="6" s="1"/>
  <c r="T308" i="6"/>
  <c r="R309" i="6"/>
  <c r="S309" i="6" l="1"/>
  <c r="U309" i="6"/>
  <c r="Q483" i="6" l="1" a="1"/>
  <c r="Q483" i="6" s="1"/>
  <c r="T309" i="6"/>
  <c r="R310" i="6"/>
  <c r="S310" i="6" l="1"/>
  <c r="U310" i="6"/>
  <c r="R311" i="6" l="1"/>
  <c r="Q484" i="6" a="1"/>
  <c r="Q484" i="6" s="1"/>
  <c r="T310" i="6"/>
  <c r="S311" i="6" l="1"/>
  <c r="U311" i="6"/>
  <c r="Q485" i="6" l="1" a="1"/>
  <c r="Q485" i="6" s="1"/>
  <c r="T311" i="6"/>
  <c r="R312" i="6"/>
  <c r="S312" i="6" l="1"/>
  <c r="U312" i="6"/>
  <c r="R313" i="6" l="1"/>
  <c r="Q486" i="6" a="1"/>
  <c r="Q486" i="6" s="1"/>
  <c r="T312" i="6"/>
  <c r="S313" i="6" l="1"/>
  <c r="U313" i="6"/>
  <c r="Q374" i="6" l="1" a="1"/>
  <c r="Q374" i="6" s="1"/>
  <c r="T313" i="6"/>
  <c r="R314" i="6"/>
  <c r="S314" i="6" l="1"/>
  <c r="U314" i="6"/>
  <c r="R315" i="6" l="1"/>
  <c r="Q375" i="6" a="1"/>
  <c r="Q375" i="6" s="1"/>
  <c r="T314" i="6"/>
  <c r="S315" i="6" l="1"/>
  <c r="U315" i="6"/>
  <c r="Q376" i="6" l="1" a="1"/>
  <c r="Q376" i="6" s="1"/>
  <c r="T315" i="6"/>
  <c r="R316" i="6"/>
  <c r="S316" i="6" s="1"/>
  <c r="R317" i="6" l="1"/>
  <c r="S317" i="6" s="1"/>
  <c r="Q340" i="6" a="1"/>
  <c r="Q340" i="6" s="1"/>
  <c r="T316" i="6"/>
  <c r="Q341" i="6" l="1" a="1"/>
  <c r="Q341" i="6" s="1"/>
  <c r="T317" i="6"/>
  <c r="R318" i="6"/>
  <c r="S318" i="6" l="1"/>
  <c r="U318" i="6"/>
  <c r="Q564" i="6" l="1" a="1"/>
  <c r="Q564" i="6" s="1"/>
  <c r="T318" i="6"/>
  <c r="R319" i="6"/>
  <c r="S319" i="6" l="1"/>
  <c r="U319" i="6"/>
  <c r="Q565" i="6" l="1" a="1"/>
  <c r="Q565" i="6" s="1"/>
  <c r="T319" i="6"/>
  <c r="R320" i="6"/>
  <c r="S320" i="6" l="1"/>
  <c r="U320" i="6"/>
  <c r="Q566" i="6" l="1" a="1"/>
  <c r="Q566" i="6" s="1"/>
  <c r="T320" i="6"/>
  <c r="R321" i="6"/>
  <c r="S321" i="6" l="1"/>
  <c r="U321" i="6"/>
  <c r="R322" i="6" l="1"/>
  <c r="Q370" i="6" a="1"/>
  <c r="Q370" i="6" s="1"/>
  <c r="T321" i="6"/>
  <c r="S322" i="6" l="1"/>
  <c r="U322" i="6"/>
  <c r="Q371" i="6" l="1" a="1"/>
  <c r="Q371" i="6" s="1"/>
  <c r="T322" i="6"/>
  <c r="R323" i="6"/>
  <c r="U323" i="6" l="1"/>
  <c r="S323" i="6"/>
  <c r="Q372" i="6" l="1" a="1"/>
  <c r="Q372" i="6" s="1"/>
  <c r="T323" i="6"/>
  <c r="R324" i="6"/>
  <c r="U324" i="6" l="1"/>
  <c r="S324" i="6"/>
  <c r="R325" i="6" l="1"/>
  <c r="Q373" i="6" a="1"/>
  <c r="Q373" i="6" s="1"/>
  <c r="T324" i="6"/>
  <c r="U325" i="6" l="1"/>
  <c r="S325" i="6"/>
  <c r="Q494" i="6" l="1" a="1"/>
  <c r="Q494" i="6" s="1"/>
  <c r="T325" i="6"/>
  <c r="R326" i="6"/>
  <c r="S326" i="6" l="1"/>
  <c r="U326" i="6"/>
  <c r="Q495" i="6" l="1" a="1"/>
  <c r="Q495" i="6" s="1"/>
  <c r="R327" i="6"/>
  <c r="T326" i="6"/>
  <c r="S327" i="6" l="1"/>
  <c r="U327" i="6"/>
  <c r="R328" i="6" l="1"/>
  <c r="Q496" i="6" a="1"/>
  <c r="Q496" i="6" s="1"/>
  <c r="T327" i="6"/>
  <c r="S328" i="6" l="1"/>
  <c r="U328" i="6"/>
  <c r="Q497" i="6" l="1" a="1"/>
  <c r="Q497" i="6" s="1"/>
  <c r="T328" i="6"/>
  <c r="R329" i="6"/>
  <c r="S329" i="6" l="1"/>
  <c r="U329" i="6"/>
  <c r="Q498" i="6" l="1" a="1"/>
  <c r="Q498" i="6" s="1"/>
  <c r="T329" i="6"/>
  <c r="R330" i="6"/>
  <c r="S330" i="6" l="1"/>
  <c r="U330" i="6"/>
  <c r="Q499" i="6" l="1" a="1"/>
  <c r="Q499" i="6" s="1"/>
  <c r="T330" i="6"/>
  <c r="R331" i="6"/>
  <c r="U331" i="6" l="1"/>
  <c r="S331" i="6"/>
  <c r="R332" i="6" l="1"/>
  <c r="Q500" i="6" a="1"/>
  <c r="Q500" i="6" s="1"/>
  <c r="T331" i="6"/>
  <c r="U332" i="6" l="1"/>
  <c r="S332" i="6"/>
  <c r="Q501" i="6" l="1" a="1"/>
  <c r="Q501" i="6" s="1"/>
  <c r="T332" i="6"/>
  <c r="R333" i="6"/>
  <c r="U333" i="6" l="1"/>
  <c r="S333" i="6"/>
  <c r="R334" i="6" l="1"/>
  <c r="Q393" i="6" a="1"/>
  <c r="Q393" i="6" s="1"/>
  <c r="T333" i="6"/>
  <c r="U334" i="6" l="1"/>
  <c r="S334" i="6"/>
  <c r="R335" i="6" l="1"/>
  <c r="Q394" i="6" a="1"/>
  <c r="Q394" i="6" s="1"/>
  <c r="T334" i="6"/>
  <c r="S335" i="6" l="1"/>
  <c r="U335" i="6"/>
  <c r="T335" i="6" l="1"/>
  <c r="Q395" i="6" a="1"/>
  <c r="Q395" i="6" s="1"/>
  <c r="R336" i="6"/>
  <c r="S336" i="6" l="1"/>
  <c r="U336" i="6"/>
  <c r="R337" i="6" l="1"/>
  <c r="S337" i="6" s="1"/>
  <c r="Q396" i="6" a="1"/>
  <c r="Q396" i="6" s="1"/>
  <c r="T336" i="6"/>
  <c r="Q357" i="6" l="1" a="1"/>
  <c r="Q357" i="6" s="1"/>
  <c r="T337" i="6"/>
  <c r="R338" i="6"/>
  <c r="S338" i="6" s="1"/>
  <c r="R339" i="6" l="1"/>
  <c r="S339" i="6" s="1"/>
  <c r="Q358" i="6" a="1"/>
  <c r="Q358" i="6" s="1"/>
  <c r="T338" i="6"/>
  <c r="Q359" i="6" l="1" a="1"/>
  <c r="Q359" i="6" s="1"/>
  <c r="T339" i="6"/>
  <c r="R340" i="6"/>
  <c r="S340" i="6" l="1"/>
  <c r="U340" i="6"/>
  <c r="R341" i="6" l="1"/>
  <c r="Q382" i="6" a="1"/>
  <c r="Q382" i="6" s="1"/>
  <c r="T340" i="6"/>
  <c r="S341" i="6" l="1"/>
  <c r="U341" i="6"/>
  <c r="R342" i="6" l="1"/>
  <c r="Q383" i="6" a="1"/>
  <c r="Q383" i="6" s="1"/>
  <c r="T341" i="6"/>
  <c r="S342" i="6" l="1"/>
  <c r="U342" i="6"/>
  <c r="Q507" i="6" l="1" a="1"/>
  <c r="Q507" i="6" s="1"/>
  <c r="T342" i="6"/>
  <c r="R343" i="6"/>
  <c r="S343" i="6" l="1"/>
  <c r="U343" i="6"/>
  <c r="Q508" i="6" l="1" a="1"/>
  <c r="Q508" i="6" s="1"/>
  <c r="T343" i="6"/>
  <c r="R344" i="6"/>
  <c r="S344" i="6" l="1"/>
  <c r="U344" i="6"/>
  <c r="R345" i="6" l="1"/>
  <c r="Q509" i="6" a="1"/>
  <c r="Q509" i="6" s="1"/>
  <c r="T344" i="6"/>
  <c r="U345" i="6" l="1"/>
  <c r="S345" i="6"/>
  <c r="Q510" i="6" l="1" a="1"/>
  <c r="Q510" i="6" s="1"/>
  <c r="T345" i="6"/>
  <c r="R346" i="6"/>
  <c r="U346" i="6" l="1"/>
  <c r="S346" i="6"/>
  <c r="Q511" i="6" l="1" a="1"/>
  <c r="Q511" i="6" s="1"/>
  <c r="R347" i="6"/>
  <c r="T346" i="6"/>
  <c r="U347" i="6" l="1"/>
  <c r="S347" i="6"/>
  <c r="R348" i="6" l="1"/>
  <c r="Q410" i="6" a="1"/>
  <c r="Q410" i="6" s="1"/>
  <c r="T347" i="6"/>
  <c r="S348" i="6" l="1"/>
  <c r="U348" i="6"/>
  <c r="Q411" i="6" l="1" a="1"/>
  <c r="Q411" i="6" s="1"/>
  <c r="T348" i="6"/>
  <c r="R349" i="6"/>
  <c r="U349" i="6" l="1"/>
  <c r="S349" i="6"/>
  <c r="R350" i="6" l="1"/>
  <c r="Q412" i="6" a="1"/>
  <c r="Q412" i="6" s="1"/>
  <c r="T349" i="6"/>
  <c r="U350" i="6" l="1"/>
  <c r="S350" i="6"/>
  <c r="R351" i="6" l="1"/>
  <c r="Q413" i="6" a="1"/>
  <c r="Q413" i="6" s="1"/>
  <c r="T350" i="6"/>
  <c r="U351" i="6" l="1"/>
  <c r="S351" i="6"/>
  <c r="Q414" i="6" l="1" a="1"/>
  <c r="Q414" i="6" s="1"/>
  <c r="T351" i="6"/>
  <c r="R352" i="6"/>
  <c r="U352" i="6" l="1"/>
  <c r="S352" i="6"/>
  <c r="Q415" i="6" l="1" a="1"/>
  <c r="Q415" i="6" s="1"/>
  <c r="T352" i="6"/>
  <c r="R353" i="6"/>
  <c r="U353" i="6" l="1"/>
  <c r="S353" i="6"/>
  <c r="Q416" i="6" l="1" a="1"/>
  <c r="Q416" i="6" s="1"/>
  <c r="T353" i="6"/>
  <c r="R354" i="6"/>
  <c r="U354" i="6" l="1"/>
  <c r="S354" i="6"/>
  <c r="R355" i="6" l="1"/>
  <c r="Q417" i="6" a="1"/>
  <c r="Q417" i="6" s="1"/>
  <c r="T354" i="6"/>
  <c r="S355" i="6" l="1"/>
  <c r="U355" i="6"/>
  <c r="Q418" i="6" l="1" a="1"/>
  <c r="Q418" i="6" s="1"/>
  <c r="T355" i="6"/>
  <c r="R356" i="6"/>
  <c r="S356" i="6" l="1"/>
  <c r="U356" i="6"/>
  <c r="R357" i="6" l="1"/>
  <c r="T356" i="6"/>
  <c r="Q570" i="6" a="1"/>
  <c r="Q570" i="6" s="1"/>
  <c r="S357" i="6" l="1"/>
  <c r="U357" i="6"/>
  <c r="Q399" i="6" l="1" a="1"/>
  <c r="Q399" i="6" s="1"/>
  <c r="T357" i="6"/>
  <c r="R358" i="6"/>
  <c r="S358" i="6" l="1"/>
  <c r="U358" i="6"/>
  <c r="R359" i="6" l="1"/>
  <c r="Q400" i="6" a="1"/>
  <c r="Q400" i="6" s="1"/>
  <c r="T358" i="6"/>
  <c r="U359" i="6" l="1"/>
  <c r="S359" i="6"/>
  <c r="Q401" i="6" l="1" a="1"/>
  <c r="Q401" i="6" s="1"/>
  <c r="T359" i="6"/>
  <c r="R360" i="6"/>
  <c r="S360" i="6" l="1"/>
  <c r="U360" i="6"/>
  <c r="R361" i="6" l="1"/>
  <c r="Q423" i="6" a="1"/>
  <c r="Q423" i="6" s="1"/>
  <c r="T360" i="6"/>
  <c r="U361" i="6" l="1"/>
  <c r="S361" i="6"/>
  <c r="Q424" i="6" l="1" a="1"/>
  <c r="Q424" i="6" s="1"/>
  <c r="T361" i="6"/>
  <c r="R362" i="6"/>
  <c r="U362" i="6" l="1"/>
  <c r="S362" i="6"/>
  <c r="R363" i="6" l="1"/>
  <c r="Q425" i="6" a="1"/>
  <c r="Q425" i="6" s="1"/>
  <c r="T362" i="6"/>
  <c r="S363" i="6" l="1"/>
  <c r="U363" i="6"/>
  <c r="Q426" i="6" l="1" a="1"/>
  <c r="Q426" i="6" s="1"/>
  <c r="T363" i="6"/>
  <c r="R364" i="6"/>
  <c r="S364" i="6" l="1"/>
  <c r="U364" i="6"/>
  <c r="R365" i="6" l="1"/>
  <c r="Q427" i="6" a="1"/>
  <c r="Q427" i="6" s="1"/>
  <c r="T364" i="6"/>
  <c r="S365" i="6" l="1"/>
  <c r="U365" i="6"/>
  <c r="Q428" i="6" l="1" a="1"/>
  <c r="Q428" i="6" s="1"/>
  <c r="T365" i="6"/>
  <c r="R366" i="6"/>
  <c r="S366" i="6" l="1"/>
  <c r="U366" i="6"/>
  <c r="R367" i="6" l="1"/>
  <c r="Q429" i="6" a="1"/>
  <c r="Q429" i="6" s="1"/>
  <c r="T366" i="6"/>
  <c r="U367" i="6" l="1"/>
  <c r="S367" i="6"/>
  <c r="Q430" i="6" l="1" a="1"/>
  <c r="Q430" i="6" s="1"/>
  <c r="T367" i="6"/>
  <c r="R368" i="6"/>
  <c r="S368" i="6" s="1"/>
  <c r="Q391" i="6" l="1" a="1"/>
  <c r="Q391" i="6" s="1"/>
  <c r="T368" i="6"/>
  <c r="R369" i="6"/>
  <c r="S369" i="6" s="1"/>
  <c r="Q392" i="6" l="1" a="1"/>
  <c r="Q392" i="6" s="1"/>
  <c r="T369" i="6"/>
  <c r="R370" i="6"/>
  <c r="S370" i="6" l="1"/>
  <c r="U370" i="6"/>
  <c r="R371" i="6" l="1"/>
  <c r="Q437" i="6" a="1"/>
  <c r="Q437" i="6" s="1"/>
  <c r="T370" i="6"/>
  <c r="S371" i="6" l="1"/>
  <c r="U371" i="6"/>
  <c r="Q438" i="6" l="1" a="1"/>
  <c r="Q438" i="6" s="1"/>
  <c r="T371" i="6"/>
  <c r="R372" i="6"/>
  <c r="U372" i="6" l="1"/>
  <c r="S372" i="6"/>
  <c r="Q439" i="6" l="1" a="1"/>
  <c r="Q439" i="6" s="1"/>
  <c r="T372" i="6"/>
  <c r="R373" i="6"/>
  <c r="S373" i="6" l="1"/>
  <c r="U373" i="6"/>
  <c r="R374" i="6" l="1"/>
  <c r="Q440" i="6" a="1"/>
  <c r="Q440" i="6" s="1"/>
  <c r="T373" i="6"/>
  <c r="S374" i="6" l="1"/>
  <c r="U374" i="6"/>
  <c r="Q518" i="6" l="1" a="1"/>
  <c r="Q518" i="6" s="1"/>
  <c r="T374" i="6"/>
  <c r="R375" i="6"/>
  <c r="S375" i="6" l="1"/>
  <c r="U375" i="6"/>
  <c r="R376" i="6" l="1"/>
  <c r="Q519" i="6" a="1"/>
  <c r="Q519" i="6" s="1"/>
  <c r="T375" i="6"/>
  <c r="U376" i="6" l="1"/>
  <c r="S376" i="6"/>
  <c r="R377" i="6" l="1"/>
  <c r="S377" i="6" s="1"/>
  <c r="Q520" i="6" a="1"/>
  <c r="Q520" i="6" s="1"/>
  <c r="T376" i="6"/>
  <c r="Q405" i="6" l="1" a="1"/>
  <c r="Q405" i="6" s="1"/>
  <c r="T377" i="6"/>
  <c r="R378" i="6"/>
  <c r="S378" i="6" s="1"/>
  <c r="R379" i="6" l="1"/>
  <c r="S379" i="6" s="1"/>
  <c r="Q406" i="6" a="1"/>
  <c r="Q406" i="6" s="1"/>
  <c r="T378" i="6"/>
  <c r="Q407" i="6" l="1" a="1"/>
  <c r="Q407" i="6" s="1"/>
  <c r="T379" i="6"/>
  <c r="R380" i="6"/>
  <c r="S380" i="6" s="1"/>
  <c r="R381" i="6" l="1"/>
  <c r="S381" i="6" s="1"/>
  <c r="Q408" i="6" a="1"/>
  <c r="Q408" i="6" s="1"/>
  <c r="T380" i="6"/>
  <c r="Q409" i="6" l="1" a="1"/>
  <c r="Q409" i="6" s="1"/>
  <c r="T381" i="6"/>
  <c r="R382" i="6"/>
  <c r="S382" i="6" l="1"/>
  <c r="U382" i="6"/>
  <c r="R383" i="6" l="1"/>
  <c r="Q449" i="6" a="1"/>
  <c r="Q449" i="6" s="1"/>
  <c r="T382" i="6"/>
  <c r="U383" i="6" l="1"/>
  <c r="S383" i="6"/>
  <c r="Q450" i="6" l="1" a="1"/>
  <c r="Q450" i="6" s="1"/>
  <c r="T383" i="6"/>
  <c r="R384" i="6"/>
  <c r="U384" i="6" l="1"/>
  <c r="S384" i="6"/>
  <c r="R385" i="6" l="1"/>
  <c r="Q578" i="6" a="1"/>
  <c r="Q578" i="6" s="1"/>
  <c r="T384" i="6"/>
  <c r="U385" i="6" l="1"/>
  <c r="S385" i="6"/>
  <c r="Q579" i="6" l="1" a="1"/>
  <c r="Q579" i="6" s="1"/>
  <c r="T385" i="6"/>
  <c r="R386" i="6"/>
  <c r="S386" i="6" l="1"/>
  <c r="U386" i="6"/>
  <c r="Q580" i="6" l="1" a="1"/>
  <c r="Q580" i="6" s="1"/>
  <c r="R387" i="6"/>
  <c r="T386" i="6"/>
  <c r="U387" i="6" l="1"/>
  <c r="S387" i="6"/>
  <c r="R388" i="6" l="1"/>
  <c r="Q581" i="6" a="1"/>
  <c r="Q581" i="6" s="1"/>
  <c r="T387" i="6"/>
  <c r="U388" i="6" l="1"/>
  <c r="S388" i="6"/>
  <c r="Q582" i="6" l="1" a="1"/>
  <c r="Q582" i="6" s="1"/>
  <c r="T388" i="6"/>
  <c r="R389" i="6"/>
  <c r="S389" i="6" l="1"/>
  <c r="U389" i="6"/>
  <c r="R390" i="6" l="1"/>
  <c r="Q583" i="6" a="1"/>
  <c r="Q583" i="6" s="1"/>
  <c r="T389" i="6"/>
  <c r="U390" i="6" l="1"/>
  <c r="S390" i="6"/>
  <c r="R391" i="6" l="1"/>
  <c r="Q584" i="6" a="1"/>
  <c r="Q584" i="6" s="1"/>
  <c r="T390" i="6"/>
  <c r="U391" i="6" l="1"/>
  <c r="S391" i="6"/>
  <c r="Q441" i="6" l="1" a="1"/>
  <c r="Q441" i="6" s="1"/>
  <c r="T391" i="6"/>
  <c r="R392" i="6"/>
  <c r="S392" i="6" l="1"/>
  <c r="U392" i="6"/>
  <c r="Q442" i="6" l="1" a="1"/>
  <c r="Q442" i="6" s="1"/>
  <c r="T392" i="6"/>
  <c r="R393" i="6"/>
  <c r="U393" i="6" l="1"/>
  <c r="S393" i="6"/>
  <c r="R394" i="6" l="1"/>
  <c r="Q526" i="6" a="1"/>
  <c r="Q526" i="6" s="1"/>
  <c r="T393" i="6"/>
  <c r="U394" i="6" l="1"/>
  <c r="S394" i="6"/>
  <c r="R395" i="6" l="1"/>
  <c r="Q527" i="6" a="1"/>
  <c r="Q527" i="6" s="1"/>
  <c r="T394" i="6"/>
  <c r="S395" i="6" l="1"/>
  <c r="U395" i="6"/>
  <c r="T395" i="6" l="1"/>
  <c r="Q528" i="6" a="1"/>
  <c r="Q528" i="6" s="1"/>
  <c r="R396" i="6"/>
  <c r="U396" i="6" l="1"/>
  <c r="S396" i="6"/>
  <c r="R397" i="6" l="1"/>
  <c r="S397" i="6" s="1"/>
  <c r="Q529" i="6" a="1"/>
  <c r="Q529" i="6" s="1"/>
  <c r="T396" i="6"/>
  <c r="Q421" i="6" l="1" a="1"/>
  <c r="Q421" i="6" s="1"/>
  <c r="T397" i="6"/>
  <c r="R398" i="6"/>
  <c r="S398" i="6" s="1"/>
  <c r="R399" i="6" l="1"/>
  <c r="Q422" i="6" a="1"/>
  <c r="Q422" i="6" s="1"/>
  <c r="T398" i="6"/>
  <c r="U399" i="6" l="1"/>
  <c r="S399" i="6"/>
  <c r="Q456" i="6" l="1" a="1"/>
  <c r="Q456" i="6" s="1"/>
  <c r="T399" i="6"/>
  <c r="R400" i="6"/>
  <c r="S400" i="6" l="1"/>
  <c r="U400" i="6"/>
  <c r="R401" i="6" l="1"/>
  <c r="Q457" i="6" a="1"/>
  <c r="Q457" i="6" s="1"/>
  <c r="T400" i="6"/>
  <c r="U401" i="6" l="1"/>
  <c r="S401" i="6"/>
  <c r="Q458" i="6" l="1" a="1"/>
  <c r="Q458" i="6" s="1"/>
  <c r="T401" i="6"/>
  <c r="R402" i="6"/>
  <c r="S402" i="6" l="1"/>
  <c r="U402" i="6"/>
  <c r="Q587" i="6" l="1" a="1"/>
  <c r="Q587" i="6" s="1"/>
  <c r="T402" i="6"/>
  <c r="R403" i="6"/>
  <c r="U403" i="6" l="1"/>
  <c r="S403" i="6"/>
  <c r="Q588" i="6" l="1" a="1"/>
  <c r="Q588" i="6" s="1"/>
  <c r="R404" i="6"/>
  <c r="T403" i="6"/>
  <c r="S404" i="6" l="1"/>
  <c r="U404" i="6"/>
  <c r="Q589" i="6" l="1" a="1"/>
  <c r="Q589" i="6" s="1"/>
  <c r="T404" i="6"/>
  <c r="R405" i="6"/>
  <c r="U405" i="6" l="1"/>
  <c r="S405" i="6"/>
  <c r="Q451" i="6" l="1" a="1"/>
  <c r="Q451" i="6" s="1"/>
  <c r="T405" i="6"/>
  <c r="R406" i="6"/>
  <c r="U406" i="6" l="1"/>
  <c r="S406" i="6"/>
  <c r="R407" i="6" l="1"/>
  <c r="Q452" i="6" a="1"/>
  <c r="Q452" i="6" s="1"/>
  <c r="T406" i="6"/>
  <c r="S407" i="6" l="1"/>
  <c r="U407" i="6"/>
  <c r="Q453" i="6" l="1" a="1"/>
  <c r="Q453" i="6" s="1"/>
  <c r="T407" i="6"/>
  <c r="R408" i="6"/>
  <c r="S408" i="6" l="1"/>
  <c r="U408" i="6"/>
  <c r="R409" i="6" l="1"/>
  <c r="Q454" i="6" a="1"/>
  <c r="Q454" i="6" s="1"/>
  <c r="T408" i="6"/>
  <c r="S409" i="6" l="1"/>
  <c r="U409" i="6"/>
  <c r="Q455" i="6" l="1" a="1"/>
  <c r="Q455" i="6" s="1"/>
  <c r="T409" i="6"/>
  <c r="R410" i="6"/>
  <c r="U410" i="6" l="1"/>
  <c r="S410" i="6"/>
  <c r="R411" i="6" l="1"/>
  <c r="Q532" i="6" a="1"/>
  <c r="Q532" i="6" s="1"/>
  <c r="T410" i="6"/>
  <c r="U411" i="6" l="1"/>
  <c r="S411" i="6"/>
  <c r="Q533" i="6" l="1" a="1"/>
  <c r="Q533" i="6" s="1"/>
  <c r="T411" i="6"/>
  <c r="R412" i="6"/>
  <c r="S412" i="6" l="1"/>
  <c r="U412" i="6"/>
  <c r="R413" i="6" l="1"/>
  <c r="Q534" i="6" a="1"/>
  <c r="Q534" i="6" s="1"/>
  <c r="T412" i="6"/>
  <c r="S413" i="6" l="1"/>
  <c r="U413" i="6"/>
  <c r="R414" i="6" l="1"/>
  <c r="Q535" i="6" a="1"/>
  <c r="Q535" i="6" s="1"/>
  <c r="T413" i="6"/>
  <c r="S414" i="6" l="1"/>
  <c r="U414" i="6"/>
  <c r="Q536" i="6" l="1" a="1"/>
  <c r="Q536" i="6" s="1"/>
  <c r="T414" i="6"/>
  <c r="R415" i="6"/>
  <c r="S415" i="6" l="1"/>
  <c r="U415" i="6"/>
  <c r="Q537" i="6" l="1" a="1"/>
  <c r="Q537" i="6" s="1"/>
  <c r="T415" i="6"/>
  <c r="R416" i="6"/>
  <c r="U416" i="6" l="1"/>
  <c r="S416" i="6"/>
  <c r="Q538" i="6" l="1" a="1"/>
  <c r="Q538" i="6" s="1"/>
  <c r="T416" i="6"/>
  <c r="R417" i="6"/>
  <c r="U417" i="6" l="1"/>
  <c r="S417" i="6"/>
  <c r="R418" i="6" l="1"/>
  <c r="Q461" i="6" a="1"/>
  <c r="Q461" i="6" s="1"/>
  <c r="T417" i="6"/>
  <c r="U418" i="6" l="1"/>
  <c r="S418" i="6"/>
  <c r="R419" i="6" l="1"/>
  <c r="S419" i="6" s="1"/>
  <c r="Q462" i="6" a="1"/>
  <c r="Q462" i="6" s="1"/>
  <c r="T418" i="6"/>
  <c r="Q435" i="6" l="1" a="1"/>
  <c r="Q435" i="6" s="1"/>
  <c r="T419" i="6"/>
  <c r="R420" i="6"/>
  <c r="S420" i="6" s="1"/>
  <c r="R421" i="6" l="1"/>
  <c r="Q436" i="6" a="1"/>
  <c r="Q436" i="6" s="1"/>
  <c r="T420" i="6"/>
  <c r="S421" i="6" l="1"/>
  <c r="U421" i="6"/>
  <c r="Q459" i="6" l="1" a="1"/>
  <c r="Q459" i="6" s="1"/>
  <c r="T421" i="6"/>
  <c r="R422" i="6"/>
  <c r="U422" i="6" l="1"/>
  <c r="S422" i="6"/>
  <c r="Q460" i="6" l="1" a="1"/>
  <c r="Q460" i="6" s="1"/>
  <c r="T422" i="6"/>
  <c r="R423" i="6"/>
  <c r="S423" i="6" l="1"/>
  <c r="U423" i="6"/>
  <c r="R424" i="6" l="1"/>
  <c r="Q541" i="6" a="1"/>
  <c r="Q541" i="6" s="1"/>
  <c r="T423" i="6"/>
  <c r="S424" i="6" l="1"/>
  <c r="U424" i="6"/>
  <c r="Q542" i="6" l="1" a="1"/>
  <c r="Q542" i="6" s="1"/>
  <c r="T424" i="6"/>
  <c r="R425" i="6"/>
  <c r="U425" i="6" l="1"/>
  <c r="S425" i="6"/>
  <c r="R426" i="6" l="1"/>
  <c r="Q543" i="6" a="1"/>
  <c r="Q543" i="6" s="1"/>
  <c r="T425" i="6"/>
  <c r="S426" i="6" l="1"/>
  <c r="U426" i="6"/>
  <c r="Q544" i="6" l="1" a="1"/>
  <c r="Q544" i="6" s="1"/>
  <c r="T426" i="6"/>
  <c r="R427" i="6"/>
  <c r="S427" i="6" l="1"/>
  <c r="U427" i="6"/>
  <c r="R428" i="6" l="1"/>
  <c r="Q545" i="6" a="1"/>
  <c r="Q545" i="6" s="1"/>
  <c r="T427" i="6"/>
  <c r="S428" i="6" l="1"/>
  <c r="U428" i="6"/>
  <c r="Q467" i="6" l="1" a="1"/>
  <c r="Q467" i="6" s="1"/>
  <c r="T428" i="6"/>
  <c r="R429" i="6"/>
  <c r="U429" i="6" l="1"/>
  <c r="S429" i="6"/>
  <c r="R430" i="6" l="1"/>
  <c r="Q468" i="6" a="1"/>
  <c r="Q468" i="6" s="1"/>
  <c r="T429" i="6"/>
  <c r="U430" i="6" l="1"/>
  <c r="S430" i="6"/>
  <c r="Q469" i="6" l="1" a="1"/>
  <c r="Q469" i="6" s="1"/>
  <c r="T430" i="6"/>
  <c r="R431" i="6"/>
  <c r="S431" i="6" s="1"/>
  <c r="Q447" i="6" l="1" a="1"/>
  <c r="Q447" i="6" s="1"/>
  <c r="T431" i="6"/>
  <c r="R432" i="6"/>
  <c r="S432" i="6" s="1"/>
  <c r="Q448" i="6" l="1" a="1"/>
  <c r="Q448" i="6" s="1"/>
  <c r="T432" i="6"/>
  <c r="R433" i="6"/>
  <c r="S433" i="6" l="1"/>
  <c r="U433" i="6"/>
  <c r="Q594" i="6" l="1" a="1"/>
  <c r="Q594" i="6" s="1"/>
  <c r="R434" i="6"/>
  <c r="T433" i="6"/>
  <c r="S434" i="6" l="1"/>
  <c r="U434" i="6"/>
  <c r="R435" i="6" l="1"/>
  <c r="Q595" i="6" a="1"/>
  <c r="Q595" i="6" s="1"/>
  <c r="T434" i="6"/>
  <c r="U435" i="6" l="1"/>
  <c r="S435" i="6"/>
  <c r="Q463" i="6" l="1" a="1"/>
  <c r="Q463" i="6" s="1"/>
  <c r="T435" i="6"/>
  <c r="R436" i="6"/>
  <c r="U436" i="6" l="1"/>
  <c r="S436" i="6"/>
  <c r="Q464" i="6" l="1" a="1"/>
  <c r="Q464" i="6" s="1"/>
  <c r="T436" i="6"/>
  <c r="R437" i="6"/>
  <c r="U437" i="6" l="1"/>
  <c r="S437" i="6"/>
  <c r="R438" i="6" l="1"/>
  <c r="Q477" i="6" a="1"/>
  <c r="Q477" i="6" s="1"/>
  <c r="T437" i="6"/>
  <c r="S438" i="6" l="1"/>
  <c r="U438" i="6"/>
  <c r="Q478" i="6" l="1" a="1"/>
  <c r="Q478" i="6" s="1"/>
  <c r="T438" i="6"/>
  <c r="R439" i="6"/>
  <c r="U439" i="6" l="1"/>
  <c r="S439" i="6"/>
  <c r="Q479" i="6" l="1" a="1"/>
  <c r="Q479" i="6" s="1"/>
  <c r="T439" i="6"/>
  <c r="R440" i="6"/>
  <c r="U440" i="6" l="1"/>
  <c r="S440" i="6"/>
  <c r="R441" i="6" l="1"/>
  <c r="Q480" i="6" a="1"/>
  <c r="Q480" i="6" s="1"/>
  <c r="T440" i="6"/>
  <c r="U441" i="6" l="1"/>
  <c r="S441" i="6"/>
  <c r="Q481" i="6" l="1" a="1"/>
  <c r="Q481" i="6" s="1"/>
  <c r="T441" i="6"/>
  <c r="R442" i="6"/>
  <c r="S442" i="6" l="1"/>
  <c r="U442" i="6"/>
  <c r="Q482" i="6" l="1" a="1"/>
  <c r="Q482" i="6" s="1"/>
  <c r="T442" i="6"/>
  <c r="R443" i="6"/>
  <c r="S443" i="6" l="1"/>
  <c r="U443" i="6"/>
  <c r="R444" i="6" l="1"/>
  <c r="Q596" i="6" a="1"/>
  <c r="Q596" i="6" s="1"/>
  <c r="T443" i="6"/>
  <c r="S444" i="6" l="1"/>
  <c r="U444" i="6"/>
  <c r="R445" i="6" l="1"/>
  <c r="Q597" i="6" a="1"/>
  <c r="Q597" i="6" s="1"/>
  <c r="T444" i="6"/>
  <c r="U445" i="6" l="1"/>
  <c r="S445" i="6"/>
  <c r="R446" i="6" l="1"/>
  <c r="Q598" i="6" a="1"/>
  <c r="Q598" i="6" s="1"/>
  <c r="T445" i="6"/>
  <c r="U446" i="6" l="1"/>
  <c r="S446" i="6"/>
  <c r="Q599" i="6" l="1" a="1"/>
  <c r="Q599" i="6" s="1"/>
  <c r="T446" i="6"/>
  <c r="R447" i="6"/>
  <c r="U447" i="6" l="1"/>
  <c r="S447" i="6"/>
  <c r="Q470" i="6" l="1" a="1"/>
  <c r="Q470" i="6" s="1"/>
  <c r="T447" i="6"/>
  <c r="R448" i="6"/>
  <c r="S448" i="6" l="1"/>
  <c r="U448" i="6"/>
  <c r="R449" i="6" l="1"/>
  <c r="Q471" i="6" a="1"/>
  <c r="Q471" i="6" s="1"/>
  <c r="T448" i="6"/>
  <c r="U449" i="6" l="1"/>
  <c r="S449" i="6"/>
  <c r="R450" i="6" l="1"/>
  <c r="Q487" i="6" a="1"/>
  <c r="Q487" i="6" s="1"/>
  <c r="T449" i="6"/>
  <c r="U450" i="6" l="1"/>
  <c r="S450" i="6"/>
  <c r="Q488" i="6" l="1" a="1"/>
  <c r="Q488" i="6" s="1"/>
  <c r="T450" i="6"/>
  <c r="R451" i="6"/>
  <c r="U451" i="6" l="1"/>
  <c r="S451" i="6"/>
  <c r="Q489" i="6" l="1" a="1"/>
  <c r="Q489" i="6" s="1"/>
  <c r="T451" i="6"/>
  <c r="R452" i="6"/>
  <c r="S452" i="6" l="1"/>
  <c r="U452" i="6"/>
  <c r="R453" i="6" l="1"/>
  <c r="Q490" i="6" a="1"/>
  <c r="Q490" i="6" s="1"/>
  <c r="T452" i="6"/>
  <c r="S453" i="6" l="1"/>
  <c r="U453" i="6"/>
  <c r="Q491" i="6" l="1" a="1"/>
  <c r="Q491" i="6" s="1"/>
  <c r="T453" i="6"/>
  <c r="R454" i="6"/>
  <c r="U454" i="6" l="1"/>
  <c r="S454" i="6"/>
  <c r="R455" i="6" l="1"/>
  <c r="Q492" i="6" a="1"/>
  <c r="Q492" i="6" s="1"/>
  <c r="T454" i="6"/>
  <c r="S455" i="6" l="1"/>
  <c r="U455" i="6"/>
  <c r="R456" i="6" l="1"/>
  <c r="Q493" i="6" a="1"/>
  <c r="Q493" i="6" s="1"/>
  <c r="T455" i="6"/>
  <c r="U456" i="6" l="1"/>
  <c r="S456" i="6"/>
  <c r="Q502" i="6" l="1" a="1"/>
  <c r="Q502" i="6" s="1"/>
  <c r="T456" i="6"/>
  <c r="R457" i="6"/>
  <c r="S457" i="6" l="1"/>
  <c r="U457" i="6"/>
  <c r="R458" i="6" l="1"/>
  <c r="Q503" i="6" a="1"/>
  <c r="Q503" i="6" s="1"/>
  <c r="T457" i="6"/>
  <c r="S458" i="6" l="1"/>
  <c r="U458" i="6"/>
  <c r="R459" i="6" l="1"/>
  <c r="Q504" i="6" a="1"/>
  <c r="Q504" i="6" s="1"/>
  <c r="T458" i="6"/>
  <c r="S459" i="6" l="1"/>
  <c r="U459" i="6"/>
  <c r="Q505" i="6" l="1" a="1"/>
  <c r="Q505" i="6" s="1"/>
  <c r="T459" i="6"/>
  <c r="R460" i="6"/>
  <c r="U460" i="6" l="1"/>
  <c r="S460" i="6"/>
  <c r="Q506" i="6" l="1" a="1"/>
  <c r="Q506" i="6" s="1"/>
  <c r="T460" i="6"/>
  <c r="R461" i="6"/>
  <c r="U461" i="6" l="1"/>
  <c r="S461" i="6"/>
  <c r="R462" i="6" l="1"/>
  <c r="Q548" i="6" a="1"/>
  <c r="Q548" i="6" s="1"/>
  <c r="T461" i="6"/>
  <c r="U462" i="6" l="1"/>
  <c r="S462" i="6"/>
  <c r="R463" i="6" l="1"/>
  <c r="T462" i="6"/>
  <c r="Q549" i="6" a="1"/>
  <c r="Q549" i="6" s="1"/>
  <c r="U463" i="6" l="1"/>
  <c r="S463" i="6"/>
  <c r="Q512" i="6" l="1" a="1"/>
  <c r="Q512" i="6" s="1"/>
  <c r="T463" i="6"/>
  <c r="R464" i="6"/>
  <c r="S464" i="6" l="1"/>
  <c r="U464" i="6"/>
  <c r="R465" i="6" l="1"/>
  <c r="Q513" i="6" a="1"/>
  <c r="Q513" i="6" s="1"/>
  <c r="T464" i="6"/>
  <c r="S465" i="6" l="1"/>
  <c r="U465" i="6"/>
  <c r="Q600" i="6" l="1" a="1"/>
  <c r="Q600" i="6" s="1"/>
  <c r="T465" i="6"/>
  <c r="R466" i="6"/>
  <c r="S466" i="6" l="1"/>
  <c r="U466" i="6"/>
  <c r="R467" i="6" l="1"/>
  <c r="Q601" i="6" a="1"/>
  <c r="Q601" i="6" s="1"/>
  <c r="T466" i="6"/>
  <c r="U467" i="6" l="1"/>
  <c r="S467" i="6"/>
  <c r="Q550" i="6" l="1" a="1"/>
  <c r="Q550" i="6" s="1"/>
  <c r="T467" i="6"/>
  <c r="R468" i="6"/>
  <c r="S468" i="6" l="1"/>
  <c r="U468" i="6"/>
  <c r="R469" i="6" l="1"/>
  <c r="Q551" i="6" a="1"/>
  <c r="Q551" i="6" s="1"/>
  <c r="T468" i="6"/>
  <c r="U469" i="6" l="1"/>
  <c r="S469" i="6"/>
  <c r="Q552" i="6" l="1" a="1"/>
  <c r="Q552" i="6" s="1"/>
  <c r="T469" i="6"/>
  <c r="R470" i="6"/>
  <c r="S470" i="6" l="1"/>
  <c r="U470" i="6"/>
  <c r="Q514" i="6" l="1" a="1"/>
  <c r="Q514" i="6" s="1"/>
  <c r="T470" i="6"/>
  <c r="R471" i="6"/>
  <c r="S471" i="6" l="1"/>
  <c r="U471" i="6"/>
  <c r="R472" i="6" l="1"/>
  <c r="T471" i="6"/>
  <c r="Q515" i="6" a="1"/>
  <c r="Q515" i="6" s="1"/>
  <c r="S472" i="6" l="1"/>
  <c r="U472" i="6"/>
  <c r="R473" i="6" l="1"/>
  <c r="Q602" i="6" a="1"/>
  <c r="Q602" i="6" s="1"/>
  <c r="T472" i="6"/>
  <c r="S473" i="6" l="1"/>
  <c r="U473" i="6"/>
  <c r="R474" i="6" l="1"/>
  <c r="Q603" i="6" a="1"/>
  <c r="Q603" i="6" s="1"/>
  <c r="T473" i="6"/>
  <c r="S474" i="6" l="1"/>
  <c r="U474" i="6"/>
  <c r="Q604" i="6" l="1" a="1"/>
  <c r="Q604" i="6" s="1"/>
  <c r="T474" i="6"/>
  <c r="R475" i="6"/>
  <c r="U475" i="6" l="1"/>
  <c r="S475" i="6"/>
  <c r="Q605" i="6" l="1" a="1"/>
  <c r="Q605" i="6" s="1"/>
  <c r="T475" i="6"/>
  <c r="R476" i="6"/>
  <c r="U476" i="6" l="1"/>
  <c r="S476" i="6"/>
  <c r="Q606" i="6" l="1" a="1"/>
  <c r="Q606" i="6" s="1"/>
  <c r="T476" i="6"/>
  <c r="R477" i="6"/>
  <c r="S477" i="6" l="1"/>
  <c r="U477" i="6"/>
  <c r="R478" i="6" l="1"/>
  <c r="Q554" i="6" a="1"/>
  <c r="Q554" i="6" s="1"/>
  <c r="T477" i="6"/>
  <c r="S478" i="6" l="1"/>
  <c r="U478" i="6"/>
  <c r="Q555" i="6" l="1" a="1"/>
  <c r="Q555" i="6" s="1"/>
  <c r="T478" i="6"/>
  <c r="R479" i="6"/>
  <c r="S479" i="6" l="1"/>
  <c r="U479" i="6"/>
  <c r="Q556" i="6" l="1" a="1"/>
  <c r="Q556" i="6" s="1"/>
  <c r="T479" i="6"/>
  <c r="R480" i="6"/>
  <c r="S480" i="6" l="1"/>
  <c r="U480" i="6"/>
  <c r="R481" i="6" l="1"/>
  <c r="Q557" i="6" a="1"/>
  <c r="Q557" i="6" s="1"/>
  <c r="T480" i="6"/>
  <c r="S481" i="6" l="1"/>
  <c r="U481" i="6"/>
  <c r="Q516" i="6" l="1" a="1"/>
  <c r="Q516" i="6" s="1"/>
  <c r="T481" i="6"/>
  <c r="R482" i="6"/>
  <c r="U482" i="6" l="1"/>
  <c r="S482" i="6"/>
  <c r="Q517" i="6" l="1" a="1"/>
  <c r="Q517" i="6" s="1"/>
  <c r="T482" i="6"/>
  <c r="R483" i="6"/>
  <c r="S483" i="6" l="1"/>
  <c r="U483" i="6"/>
  <c r="Q607" i="6" l="1" a="1"/>
  <c r="Q607" i="6" s="1"/>
  <c r="T483" i="6"/>
  <c r="R484" i="6"/>
  <c r="S484" i="6" l="1"/>
  <c r="U484" i="6"/>
  <c r="R485" i="6" l="1"/>
  <c r="Q608" i="6" a="1"/>
  <c r="Q608" i="6" s="1"/>
  <c r="T484" i="6"/>
  <c r="U485" i="6" l="1"/>
  <c r="S485" i="6"/>
  <c r="Q609" i="6" l="1" a="1"/>
  <c r="Q609" i="6" s="1"/>
  <c r="T485" i="6"/>
  <c r="R486" i="6"/>
  <c r="S486" i="6" l="1"/>
  <c r="U486" i="6"/>
  <c r="Q610" i="6" l="1" a="1"/>
  <c r="Q610" i="6" s="1"/>
  <c r="T486" i="6"/>
  <c r="R487" i="6"/>
  <c r="S487" i="6" l="1"/>
  <c r="U487" i="6"/>
  <c r="R488" i="6" l="1"/>
  <c r="Q562" i="6" a="1"/>
  <c r="Q562" i="6" s="1"/>
  <c r="T487" i="6"/>
  <c r="S488" i="6" l="1"/>
  <c r="U488" i="6"/>
  <c r="Q563" i="6" l="1" a="1"/>
  <c r="Q563" i="6" s="1"/>
  <c r="T488" i="6"/>
  <c r="R489" i="6"/>
  <c r="S489" i="6" l="1"/>
  <c r="U489" i="6"/>
  <c r="Q521" i="6" l="1" a="1"/>
  <c r="Q521" i="6" s="1"/>
  <c r="T489" i="6"/>
  <c r="R490" i="6"/>
  <c r="U490" i="6" l="1"/>
  <c r="S490" i="6"/>
  <c r="R491" i="6" l="1"/>
  <c r="Q522" i="6" a="1"/>
  <c r="Q522" i="6" s="1"/>
  <c r="T490" i="6"/>
  <c r="U491" i="6" l="1"/>
  <c r="S491" i="6"/>
  <c r="Q523" i="6" l="1" a="1"/>
  <c r="Q523" i="6" s="1"/>
  <c r="T491" i="6"/>
  <c r="R492" i="6"/>
  <c r="S492" i="6" l="1"/>
  <c r="U492" i="6"/>
  <c r="R493" i="6" l="1"/>
  <c r="Q524" i="6" a="1"/>
  <c r="Q524" i="6" s="1"/>
  <c r="T492" i="6"/>
  <c r="S493" i="6" l="1"/>
  <c r="U493" i="6"/>
  <c r="Q525" i="6" l="1" a="1"/>
  <c r="Q525" i="6" s="1"/>
  <c r="T493" i="6"/>
  <c r="R494" i="6"/>
  <c r="S494" i="6" l="1"/>
  <c r="U494" i="6"/>
  <c r="Q611" i="6" l="1" a="1"/>
  <c r="Q611" i="6" s="1"/>
  <c r="T494" i="6"/>
  <c r="R495" i="6"/>
  <c r="U495" i="6" l="1"/>
  <c r="S495" i="6"/>
  <c r="Q612" i="6" l="1" a="1"/>
  <c r="Q612" i="6" s="1"/>
  <c r="R496" i="6"/>
  <c r="T495" i="6"/>
  <c r="S496" i="6" l="1"/>
  <c r="U496" i="6"/>
  <c r="R497" i="6" l="1"/>
  <c r="Q613" i="6" a="1"/>
  <c r="Q613" i="6" s="1"/>
  <c r="T496" i="6"/>
  <c r="U497" i="6" l="1"/>
  <c r="S497" i="6"/>
  <c r="Q614" i="6" l="1" a="1"/>
  <c r="Q614" i="6" s="1"/>
  <c r="T497" i="6"/>
  <c r="R498" i="6"/>
  <c r="S498" i="6" l="1"/>
  <c r="U498" i="6"/>
  <c r="Q615" i="6" l="1" a="1"/>
  <c r="Q615" i="6" s="1"/>
  <c r="T498" i="6"/>
  <c r="R499" i="6"/>
  <c r="S499" i="6" l="1"/>
  <c r="U499" i="6"/>
  <c r="Q616" i="6" l="1" a="1"/>
  <c r="Q616" i="6" s="1"/>
  <c r="T499" i="6"/>
  <c r="R500" i="6"/>
  <c r="S500" i="6" l="1"/>
  <c r="U500" i="6"/>
  <c r="R501" i="6" l="1"/>
  <c r="Q617" i="6" a="1"/>
  <c r="Q617" i="6" s="1"/>
  <c r="T500" i="6"/>
  <c r="S501" i="6" l="1"/>
  <c r="U501" i="6"/>
  <c r="R502" i="6" l="1"/>
  <c r="Q618" i="6" a="1"/>
  <c r="Q618" i="6" s="1"/>
  <c r="T501" i="6"/>
  <c r="S502" i="6" l="1"/>
  <c r="U502" i="6"/>
  <c r="Q567" i="6" l="1" a="1"/>
  <c r="Q567" i="6" s="1"/>
  <c r="T502" i="6"/>
  <c r="R503" i="6"/>
  <c r="S503" i="6" l="1"/>
  <c r="U503" i="6"/>
  <c r="R504" i="6" l="1"/>
  <c r="Q568" i="6" a="1"/>
  <c r="Q568" i="6" s="1"/>
  <c r="T503" i="6"/>
  <c r="S504" i="6" l="1"/>
  <c r="U504" i="6"/>
  <c r="R505" i="6" l="1"/>
  <c r="Q569" i="6" a="1"/>
  <c r="Q569" i="6" s="1"/>
  <c r="T504" i="6"/>
  <c r="S505" i="6" l="1"/>
  <c r="U505" i="6"/>
  <c r="Q530" i="6" l="1" a="1"/>
  <c r="Q530" i="6" s="1"/>
  <c r="T505" i="6"/>
  <c r="R506" i="6"/>
  <c r="S506" i="6" l="1"/>
  <c r="U506" i="6"/>
  <c r="R507" i="6" l="1"/>
  <c r="Q531" i="6" a="1"/>
  <c r="Q531" i="6" s="1"/>
  <c r="T506" i="6"/>
  <c r="S507" i="6" l="1"/>
  <c r="U507" i="6"/>
  <c r="Q619" i="6" l="1" a="1"/>
  <c r="Q619" i="6" s="1"/>
  <c r="T507" i="6"/>
  <c r="R508" i="6"/>
  <c r="S508" i="6" l="1"/>
  <c r="U508" i="6"/>
  <c r="Q620" i="6" l="1" a="1"/>
  <c r="Q620" i="6" s="1"/>
  <c r="T508" i="6"/>
  <c r="R509" i="6"/>
  <c r="S509" i="6" l="1"/>
  <c r="U509" i="6"/>
  <c r="R510" i="6" l="1"/>
  <c r="Q621" i="6" a="1"/>
  <c r="Q621" i="6" s="1"/>
  <c r="T509" i="6"/>
  <c r="S510" i="6" l="1"/>
  <c r="U510" i="6"/>
  <c r="Q622" i="6" l="1" a="1"/>
  <c r="Q622" i="6" s="1"/>
  <c r="T510" i="6"/>
  <c r="R511" i="6"/>
  <c r="U511" i="6" l="1"/>
  <c r="S511" i="6"/>
  <c r="Q623" i="6" l="1" a="1"/>
  <c r="Q623" i="6" s="1"/>
  <c r="R512" i="6"/>
  <c r="T511" i="6"/>
  <c r="S512" i="6" l="1"/>
  <c r="U512" i="6"/>
  <c r="Q539" i="6" l="1" a="1"/>
  <c r="Q539" i="6" s="1"/>
  <c r="T512" i="6"/>
  <c r="R513" i="6"/>
  <c r="S513" i="6" l="1"/>
  <c r="U513" i="6"/>
  <c r="Q540" i="6" l="1" a="1"/>
  <c r="Q540" i="6" s="1"/>
  <c r="T513" i="6"/>
  <c r="R514" i="6"/>
  <c r="S514" i="6" l="1"/>
  <c r="U514" i="6"/>
  <c r="Q546" i="6" l="1" a="1"/>
  <c r="Q546" i="6" s="1"/>
  <c r="T514" i="6"/>
  <c r="R515" i="6"/>
  <c r="U515" i="6" l="1"/>
  <c r="S515" i="6"/>
  <c r="R516" i="6" l="1"/>
  <c r="Q547" i="6" a="1"/>
  <c r="Q547" i="6" s="1"/>
  <c r="T515" i="6"/>
  <c r="S516" i="6" l="1"/>
  <c r="U516" i="6"/>
  <c r="Q571" i="6" l="1" a="1"/>
  <c r="Q571" i="6" s="1"/>
  <c r="T516" i="6"/>
  <c r="R517" i="6"/>
  <c r="S517" i="6" l="1"/>
  <c r="U517" i="6"/>
  <c r="R518" i="6" l="1"/>
  <c r="Q572" i="6" a="1"/>
  <c r="Q572" i="6" s="1"/>
  <c r="T517" i="6"/>
  <c r="S518" i="6" l="1"/>
  <c r="U518" i="6"/>
  <c r="Q624" i="6" l="1" a="1"/>
  <c r="Q624" i="6" s="1"/>
  <c r="T518" i="6"/>
  <c r="R519" i="6"/>
  <c r="S519" i="6" l="1"/>
  <c r="U519" i="6"/>
  <c r="R520" i="6" l="1"/>
  <c r="Q625" i="6" a="1"/>
  <c r="Q625" i="6" s="1"/>
  <c r="T519" i="6"/>
  <c r="S520" i="6" l="1"/>
  <c r="U520" i="6"/>
  <c r="R521" i="6" l="1"/>
  <c r="Q626" i="6" a="1"/>
  <c r="Q626" i="6" s="1"/>
  <c r="T520" i="6"/>
  <c r="S521" i="6" l="1"/>
  <c r="U521" i="6"/>
  <c r="Q573" i="6" l="1" a="1"/>
  <c r="Q573" i="6" s="1"/>
  <c r="T521" i="6"/>
  <c r="R522" i="6"/>
  <c r="S522" i="6" l="1"/>
  <c r="U522" i="6"/>
  <c r="R523" i="6" l="1"/>
  <c r="Q574" i="6" a="1"/>
  <c r="Q574" i="6" s="1"/>
  <c r="T522" i="6"/>
  <c r="U523" i="6" l="1"/>
  <c r="S523" i="6"/>
  <c r="Q575" i="6" l="1" a="1"/>
  <c r="Q575" i="6" s="1"/>
  <c r="T523" i="6"/>
  <c r="R524" i="6"/>
  <c r="S524" i="6" l="1"/>
  <c r="U524" i="6"/>
  <c r="R525" i="6" l="1"/>
  <c r="Q576" i="6" a="1"/>
  <c r="Q576" i="6" s="1"/>
  <c r="T524" i="6"/>
  <c r="U525" i="6" l="1"/>
  <c r="S525" i="6"/>
  <c r="Q577" i="6" l="1" a="1"/>
  <c r="Q577" i="6" s="1"/>
  <c r="T525" i="6"/>
  <c r="R526" i="6"/>
  <c r="S526" i="6" l="1"/>
  <c r="U526" i="6"/>
  <c r="R527" i="6" l="1"/>
  <c r="Q627" i="6" a="1"/>
  <c r="Q627" i="6" s="1"/>
  <c r="T526" i="6"/>
  <c r="U527" i="6" l="1"/>
  <c r="S527" i="6"/>
  <c r="R528" i="6" l="1"/>
  <c r="Q628" i="6" a="1"/>
  <c r="Q628" i="6" s="1"/>
  <c r="T527" i="6"/>
  <c r="U528" i="6" l="1"/>
  <c r="S528" i="6"/>
  <c r="Q629" i="6" l="1" a="1"/>
  <c r="Q629" i="6" s="1"/>
  <c r="T528" i="6"/>
  <c r="R529" i="6"/>
  <c r="S529" i="6" l="1"/>
  <c r="U529" i="6"/>
  <c r="R530" i="6" l="1"/>
  <c r="Q630" i="6" a="1"/>
  <c r="Q630" i="6" s="1"/>
  <c r="T529" i="6"/>
  <c r="S530" i="6" l="1"/>
  <c r="U530" i="6"/>
  <c r="Q585" i="6" l="1" a="1"/>
  <c r="Q585" i="6" s="1"/>
  <c r="T530" i="6"/>
  <c r="R531" i="6"/>
  <c r="S531" i="6" l="1"/>
  <c r="U531" i="6"/>
  <c r="Q586" i="6" l="1" a="1"/>
  <c r="Q586" i="6" s="1"/>
  <c r="T531" i="6"/>
  <c r="R532" i="6"/>
  <c r="S532" i="6" l="1"/>
  <c r="U532" i="6"/>
  <c r="R533" i="6" l="1"/>
  <c r="Q631" i="6" a="1"/>
  <c r="Q631" i="6" s="1"/>
  <c r="T532" i="6"/>
  <c r="S533" i="6" l="1"/>
  <c r="U533" i="6"/>
  <c r="Q632" i="6" l="1" a="1"/>
  <c r="Q632" i="6" s="1"/>
  <c r="T533" i="6"/>
  <c r="R534" i="6"/>
  <c r="U534" i="6" l="1"/>
  <c r="S534" i="6"/>
  <c r="R535" i="6" l="1"/>
  <c r="Q633" i="6" a="1"/>
  <c r="Q633" i="6" s="1"/>
  <c r="T534" i="6"/>
  <c r="U535" i="6" l="1"/>
  <c r="S535" i="6"/>
  <c r="R536" i="6" l="1"/>
  <c r="Q634" i="6" a="1"/>
  <c r="Q634" i="6" s="1"/>
  <c r="T535" i="6"/>
  <c r="U536" i="6" l="1"/>
  <c r="S536" i="6"/>
  <c r="Q635" i="6" l="1" a="1"/>
  <c r="Q635" i="6" s="1"/>
  <c r="T536" i="6"/>
  <c r="R537" i="6"/>
  <c r="S537" i="6" l="1"/>
  <c r="U537" i="6"/>
  <c r="Q636" i="6" l="1" a="1"/>
  <c r="Q636" i="6" s="1"/>
  <c r="T537" i="6"/>
  <c r="R538" i="6"/>
  <c r="U538" i="6" l="1"/>
  <c r="S538" i="6"/>
  <c r="R539" i="6" l="1"/>
  <c r="Q637" i="6" a="1"/>
  <c r="Q637" i="6" s="1"/>
  <c r="T538" i="6"/>
  <c r="S539" i="6" l="1"/>
  <c r="U539" i="6"/>
  <c r="Q590" i="6" l="1" a="1"/>
  <c r="Q590" i="6" s="1"/>
  <c r="T539" i="6"/>
  <c r="R540" i="6"/>
  <c r="U540" i="6" l="1"/>
  <c r="S540" i="6"/>
  <c r="Q591" i="6" l="1" a="1"/>
  <c r="Q591" i="6" s="1"/>
  <c r="T540" i="6"/>
  <c r="R541" i="6"/>
  <c r="U541" i="6" l="1"/>
  <c r="S541" i="6"/>
  <c r="R542" i="6" l="1"/>
  <c r="Q638" i="6" a="1"/>
  <c r="Q638" i="6" s="1"/>
  <c r="T541" i="6"/>
  <c r="S542" i="6" l="1"/>
  <c r="U542" i="6"/>
  <c r="Q639" i="6" l="1" a="1"/>
  <c r="Q639" i="6" s="1"/>
  <c r="T542" i="6"/>
  <c r="R543" i="6"/>
  <c r="S543" i="6" l="1"/>
  <c r="U543" i="6"/>
  <c r="R544" i="6" l="1"/>
  <c r="Q640" i="6" a="1"/>
  <c r="Q640" i="6" s="1"/>
  <c r="T543" i="6"/>
  <c r="S544" i="6" l="1"/>
  <c r="U544" i="6"/>
  <c r="Q641" i="6" l="1" a="1"/>
  <c r="Q641" i="6" s="1"/>
  <c r="T544" i="6"/>
  <c r="R545" i="6"/>
  <c r="S545" i="6" l="1"/>
  <c r="U545" i="6"/>
  <c r="Q642" i="6" l="1" a="1"/>
  <c r="Q642" i="6" s="1"/>
  <c r="T545" i="6"/>
  <c r="R546" i="6"/>
  <c r="S546" i="6" l="1"/>
  <c r="U546" i="6"/>
  <c r="Q592" i="6" l="1" a="1"/>
  <c r="Q592" i="6" s="1"/>
  <c r="T546" i="6"/>
  <c r="R547" i="6"/>
  <c r="S547" i="6" l="1"/>
  <c r="U547" i="6"/>
  <c r="R548" i="6" l="1"/>
  <c r="Q593" i="6" a="1"/>
  <c r="Q593" i="6" s="1"/>
  <c r="T547" i="6"/>
  <c r="U548" i="6" l="1"/>
  <c r="S548" i="6"/>
  <c r="R549" i="6" l="1"/>
  <c r="Q643" i="6" a="1"/>
  <c r="Q643" i="6" s="1"/>
  <c r="T548" i="6"/>
  <c r="S549" i="6" l="1"/>
  <c r="U549" i="6"/>
  <c r="R550" i="6" l="1"/>
  <c r="T549" i="6"/>
  <c r="Q644" i="6" a="1"/>
  <c r="Q644" i="6" s="1"/>
  <c r="S550" i="6" l="1"/>
  <c r="U550" i="6"/>
  <c r="Q645" i="6" l="1" a="1"/>
  <c r="Q645" i="6" s="1"/>
  <c r="T550" i="6"/>
  <c r="R551" i="6"/>
  <c r="S551" i="6" l="1"/>
  <c r="U551" i="6"/>
  <c r="R552" i="6" l="1"/>
  <c r="Q646" i="6" a="1"/>
  <c r="Q646" i="6" s="1"/>
  <c r="T551" i="6"/>
  <c r="S552" i="6" l="1"/>
  <c r="U552" i="6"/>
  <c r="Q647" i="6" l="1" a="1"/>
  <c r="Q647" i="6" s="1"/>
  <c r="T552" i="6"/>
  <c r="R553" i="6"/>
  <c r="S553" i="6" l="1"/>
  <c r="U553" i="6"/>
  <c r="R554" i="6" l="1"/>
  <c r="T553" i="6"/>
  <c r="U554" i="6" l="1"/>
  <c r="S554" i="6"/>
  <c r="R555" i="6" l="1"/>
  <c r="Q648" i="6" a="1"/>
  <c r="Q648" i="6" s="1"/>
  <c r="T554" i="6"/>
  <c r="S555" i="6" l="1"/>
  <c r="U555" i="6"/>
  <c r="Q649" i="6" l="1" a="1"/>
  <c r="Q649" i="6" s="1"/>
  <c r="T555" i="6"/>
  <c r="R556" i="6"/>
  <c r="U556" i="6" l="1"/>
  <c r="S556" i="6"/>
  <c r="Q650" i="6" l="1" a="1"/>
  <c r="Q650" i="6" s="1"/>
  <c r="T556" i="6"/>
  <c r="R557" i="6"/>
  <c r="S557" i="6" l="1"/>
  <c r="U557" i="6"/>
  <c r="R558" i="6" l="1"/>
  <c r="Q651" i="6" a="1"/>
  <c r="Q651" i="6" s="1"/>
  <c r="T557" i="6"/>
  <c r="S558" i="6" l="1"/>
  <c r="U558" i="6"/>
  <c r="T558" i="6" l="1"/>
  <c r="R559" i="6"/>
  <c r="U559" i="6" l="1"/>
  <c r="S559" i="6"/>
  <c r="T559" i="6" l="1"/>
  <c r="R560" i="6"/>
  <c r="U560" i="6" l="1"/>
  <c r="S560" i="6"/>
  <c r="R561" i="6" l="1"/>
  <c r="T560" i="6"/>
  <c r="U561" i="6" l="1"/>
  <c r="S561" i="6"/>
  <c r="T561" i="6" l="1"/>
  <c r="R562" i="6"/>
  <c r="U562" i="6" l="1"/>
  <c r="S562" i="6"/>
  <c r="R563" i="6" l="1"/>
  <c r="Q652" i="6" a="1"/>
  <c r="Q652" i="6" s="1"/>
  <c r="T562" i="6"/>
  <c r="U563" i="6" l="1"/>
  <c r="S563" i="6"/>
  <c r="Q653" i="6" l="1" a="1"/>
  <c r="Q653" i="6" s="1"/>
  <c r="T563" i="6"/>
  <c r="R564" i="6"/>
  <c r="S564" i="6" l="1"/>
  <c r="U564" i="6"/>
  <c r="T564" i="6" l="1"/>
  <c r="R565" i="6"/>
  <c r="S565" i="6" l="1"/>
  <c r="U565" i="6"/>
  <c r="T565" i="6" l="1"/>
  <c r="R566" i="6"/>
  <c r="S566" i="6" l="1"/>
  <c r="U566" i="6"/>
  <c r="R567" i="6" l="1"/>
  <c r="T566" i="6"/>
  <c r="U567" i="6" l="1"/>
  <c r="S567" i="6"/>
  <c r="Q654" i="6" l="1" a="1"/>
  <c r="Q654" i="6" s="1"/>
  <c r="T567" i="6"/>
  <c r="R568" i="6"/>
  <c r="S568" i="6" l="1"/>
  <c r="U568" i="6"/>
  <c r="R569" i="6" l="1"/>
  <c r="Q655" i="6" a="1"/>
  <c r="Q655" i="6" s="1"/>
  <c r="T568" i="6"/>
  <c r="S569" i="6" l="1"/>
  <c r="U569" i="6"/>
  <c r="Q656" i="6" l="1" a="1"/>
  <c r="Q656" i="6" s="1"/>
  <c r="T569" i="6"/>
  <c r="R570" i="6"/>
  <c r="U570" i="6" l="1"/>
  <c r="S570" i="6"/>
  <c r="R571" i="6" l="1"/>
  <c r="T570" i="6"/>
  <c r="S571" i="6" l="1"/>
  <c r="U571" i="6"/>
  <c r="Q657" i="6" l="1" a="1"/>
  <c r="Q657" i="6" s="1"/>
  <c r="T571" i="6"/>
  <c r="R572" i="6"/>
  <c r="U572" i="6" l="1"/>
  <c r="S572" i="6"/>
  <c r="Q658" i="6" l="1" a="1"/>
  <c r="Q658" i="6" s="1"/>
  <c r="T572" i="6"/>
  <c r="R573" i="6"/>
  <c r="U573" i="6" l="1"/>
  <c r="S573" i="6"/>
  <c r="Q659" i="6" l="1" a="1"/>
  <c r="Q659" i="6" s="1"/>
  <c r="T573" i="6"/>
  <c r="R574" i="6"/>
  <c r="S574" i="6" l="1"/>
  <c r="U574" i="6"/>
  <c r="R575" i="6" l="1"/>
  <c r="Q660" i="6" a="1"/>
  <c r="Q660" i="6" s="1"/>
  <c r="T574" i="6"/>
  <c r="S575" i="6" l="1"/>
  <c r="U575" i="6"/>
  <c r="Q661" i="6" l="1" a="1"/>
  <c r="Q661" i="6" s="1"/>
  <c r="T575" i="6"/>
  <c r="R576" i="6"/>
  <c r="S576" i="6" l="1"/>
  <c r="U576" i="6"/>
  <c r="R577" i="6" l="1"/>
  <c r="Q662" i="6" a="1"/>
  <c r="Q662" i="6" s="1"/>
  <c r="T576" i="6"/>
  <c r="S577" i="6" l="1"/>
  <c r="U577" i="6"/>
  <c r="Q663" i="6" l="1" a="1"/>
  <c r="Q663" i="6" s="1"/>
  <c r="T577" i="6"/>
  <c r="R578" i="6"/>
  <c r="S578" i="6" l="1"/>
  <c r="U578" i="6"/>
  <c r="R579" i="6" l="1"/>
  <c r="T578" i="6"/>
  <c r="S579" i="6" l="1"/>
  <c r="U579" i="6"/>
  <c r="T579" i="6" l="1"/>
  <c r="R580" i="6"/>
  <c r="U580" i="6" l="1"/>
  <c r="S580" i="6"/>
  <c r="T580" i="6" l="1"/>
  <c r="R581" i="6"/>
  <c r="U581" i="6" l="1"/>
  <c r="S581" i="6"/>
  <c r="R582" i="6" l="1"/>
  <c r="T581" i="6"/>
  <c r="U582" i="6" l="1"/>
  <c r="S582" i="6"/>
  <c r="T582" i="6" l="1"/>
  <c r="R583" i="6"/>
  <c r="S583" i="6" l="1"/>
  <c r="U583" i="6"/>
  <c r="R584" i="6" l="1"/>
  <c r="T583" i="6"/>
  <c r="S584" i="6" l="1"/>
  <c r="U584" i="6"/>
  <c r="R585" i="6" l="1"/>
  <c r="T584" i="6"/>
  <c r="U585" i="6" l="1"/>
  <c r="S585" i="6"/>
  <c r="Q664" i="6" l="1" a="1"/>
  <c r="Q664" i="6" s="1"/>
  <c r="T585" i="6"/>
  <c r="R586" i="6"/>
  <c r="U586" i="6" l="1"/>
  <c r="S586" i="6"/>
  <c r="Q665" i="6" l="1" a="1"/>
  <c r="Q665" i="6" s="1"/>
  <c r="T586" i="6"/>
  <c r="R587" i="6"/>
  <c r="S587" i="6" l="1"/>
  <c r="U587" i="6"/>
  <c r="T587" i="6" l="1"/>
  <c r="R588" i="6"/>
  <c r="S588" i="6" l="1"/>
  <c r="U588" i="6"/>
  <c r="R589" i="6" l="1"/>
  <c r="T588" i="6"/>
  <c r="S589" i="6" l="1"/>
  <c r="U589" i="6"/>
  <c r="R590" i="6" l="1"/>
  <c r="T589" i="6"/>
  <c r="U590" i="6" l="1"/>
  <c r="S590" i="6"/>
  <c r="Q666" i="6" l="1" a="1"/>
  <c r="Q666" i="6" s="1"/>
  <c r="T590" i="6"/>
  <c r="R591" i="6"/>
  <c r="S591" i="6" l="1"/>
  <c r="U591" i="6"/>
  <c r="Q667" i="6" l="1" a="1"/>
  <c r="Q667" i="6" s="1"/>
  <c r="T591" i="6"/>
  <c r="R592" i="6"/>
  <c r="S592" i="6" l="1"/>
  <c r="U592" i="6"/>
  <c r="Q668" i="6" l="1" a="1"/>
  <c r="Q668" i="6" s="1"/>
  <c r="T592" i="6"/>
  <c r="R593" i="6"/>
  <c r="S593" i="6" l="1"/>
  <c r="U593" i="6"/>
  <c r="Q669" i="6" l="1" a="1"/>
  <c r="Q669" i="6" s="1"/>
  <c r="T593" i="6"/>
  <c r="R594" i="6"/>
  <c r="U594" i="6" l="1"/>
  <c r="S594" i="6"/>
  <c r="R595" i="6" l="1"/>
  <c r="T594" i="6"/>
  <c r="S595" i="6" l="1"/>
  <c r="U595" i="6"/>
  <c r="T595" i="6" l="1"/>
  <c r="R596" i="6"/>
  <c r="U596" i="6" l="1"/>
  <c r="S596" i="6"/>
  <c r="R597" i="6" l="1"/>
  <c r="T596" i="6"/>
  <c r="U597" i="6" l="1"/>
  <c r="S597" i="6"/>
  <c r="R598" i="6" l="1"/>
  <c r="T597" i="6"/>
  <c r="U598" i="6" l="1"/>
  <c r="S598" i="6"/>
  <c r="R599" i="6" l="1"/>
  <c r="T598" i="6"/>
  <c r="S599" i="6" l="1"/>
  <c r="U599" i="6"/>
  <c r="R600" i="6" l="1"/>
  <c r="T599" i="6"/>
  <c r="S600" i="6" l="1"/>
  <c r="U600" i="6"/>
  <c r="T600" i="6" l="1"/>
  <c r="R601" i="6"/>
  <c r="U601" i="6" l="1"/>
  <c r="S601" i="6"/>
  <c r="T601" i="6" l="1"/>
  <c r="R602" i="6"/>
  <c r="U602" i="6" l="1"/>
  <c r="S602" i="6"/>
  <c r="R603" i="6" l="1"/>
  <c r="T602" i="6"/>
  <c r="S603" i="6" l="1"/>
  <c r="U603" i="6"/>
  <c r="R604" i="6" l="1"/>
  <c r="T603" i="6"/>
  <c r="U604" i="6" l="1"/>
  <c r="S604" i="6"/>
  <c r="T604" i="6" l="1"/>
  <c r="R605" i="6"/>
  <c r="S605" i="6" l="1"/>
  <c r="U605" i="6"/>
  <c r="T605" i="6" l="1"/>
  <c r="R606" i="6"/>
  <c r="S606" i="6" l="1"/>
  <c r="U606" i="6"/>
  <c r="R607" i="6" l="1"/>
  <c r="T606" i="6"/>
  <c r="S607" i="6" l="1"/>
  <c r="U607" i="6"/>
  <c r="T607" i="6" l="1"/>
  <c r="R608" i="6"/>
  <c r="U608" i="6" l="1"/>
  <c r="S608" i="6"/>
  <c r="R609" i="6" l="1"/>
  <c r="T608" i="6"/>
  <c r="U609" i="6" l="1"/>
  <c r="S609" i="6"/>
  <c r="T609" i="6" l="1"/>
  <c r="R610" i="6"/>
  <c r="U610" i="6" l="1"/>
  <c r="S610" i="6"/>
  <c r="R611" i="6" l="1"/>
  <c r="T610" i="6"/>
  <c r="U611" i="6" l="1"/>
  <c r="S611" i="6"/>
  <c r="T611" i="6" l="1"/>
  <c r="R612" i="6"/>
  <c r="S612" i="6" l="1"/>
  <c r="U612" i="6"/>
  <c r="R613" i="6" l="1"/>
  <c r="T612" i="6"/>
  <c r="S613" i="6" l="1"/>
  <c r="U613" i="6"/>
  <c r="R614" i="6" l="1"/>
  <c r="T613" i="6"/>
  <c r="U614" i="6" l="1"/>
  <c r="S614" i="6"/>
  <c r="T614" i="6" l="1"/>
  <c r="R615" i="6"/>
  <c r="S615" i="6" l="1"/>
  <c r="U615" i="6"/>
  <c r="T615" i="6" l="1"/>
  <c r="R616" i="6"/>
  <c r="S616" i="6" l="1"/>
  <c r="U616" i="6"/>
  <c r="T616" i="6" l="1"/>
  <c r="R617" i="6"/>
  <c r="S617" i="6" l="1"/>
  <c r="U617" i="6"/>
  <c r="R618" i="6" l="1"/>
  <c r="T617" i="6"/>
  <c r="S618" i="6" l="1"/>
  <c r="U618" i="6"/>
  <c r="R619" i="6" l="1"/>
  <c r="T618" i="6"/>
  <c r="S619" i="6" l="1"/>
  <c r="U619" i="6"/>
  <c r="T619" i="6" l="1"/>
  <c r="R620" i="6"/>
  <c r="S620" i="6" l="1"/>
  <c r="U620" i="6"/>
  <c r="T620" i="6" l="1"/>
  <c r="R621" i="6"/>
  <c r="S621" i="6" l="1"/>
  <c r="U621" i="6"/>
  <c r="R622" i="6" l="1"/>
  <c r="T621" i="6"/>
  <c r="S622" i="6" l="1"/>
  <c r="U622" i="6"/>
  <c r="T622" i="6" l="1"/>
  <c r="R623" i="6"/>
  <c r="S623" i="6" l="1"/>
  <c r="U623" i="6"/>
  <c r="R624" i="6" l="1"/>
  <c r="T623" i="6"/>
  <c r="U624" i="6" l="1"/>
  <c r="S624" i="6"/>
  <c r="T624" i="6" l="1"/>
  <c r="R625" i="6"/>
  <c r="U625" i="6" l="1"/>
  <c r="S625" i="6"/>
  <c r="R626" i="6" l="1"/>
  <c r="T625" i="6"/>
  <c r="S626" i="6" l="1"/>
  <c r="U626" i="6"/>
  <c r="T626" i="6" l="1"/>
  <c r="R627" i="6"/>
  <c r="S627" i="6" l="1"/>
  <c r="U627" i="6"/>
  <c r="R628" i="6" l="1"/>
  <c r="T627" i="6"/>
  <c r="S628" i="6" l="1"/>
  <c r="U628" i="6"/>
  <c r="R629" i="6" l="1"/>
  <c r="T628" i="6"/>
  <c r="U629" i="6" l="1"/>
  <c r="S629" i="6"/>
  <c r="T629" i="6" l="1"/>
  <c r="R630" i="6"/>
  <c r="U630" i="6" l="1"/>
  <c r="S630" i="6"/>
  <c r="R631" i="6" l="1"/>
  <c r="T630" i="6"/>
  <c r="S631" i="6" l="1"/>
  <c r="U631" i="6"/>
  <c r="R632" i="6" l="1"/>
  <c r="T631" i="6"/>
  <c r="U632" i="6" l="1"/>
  <c r="S632" i="6"/>
  <c r="T632" i="6" l="1"/>
  <c r="R633" i="6"/>
  <c r="U633" i="6" l="1"/>
  <c r="S633" i="6"/>
  <c r="R634" i="6" l="1"/>
  <c r="T633" i="6"/>
  <c r="U634" i="6" l="1"/>
  <c r="S634" i="6"/>
  <c r="R635" i="6" l="1"/>
  <c r="T634" i="6"/>
  <c r="S635" i="6" l="1"/>
  <c r="U635" i="6"/>
  <c r="T635" i="6" l="1"/>
  <c r="R636" i="6"/>
  <c r="S636" i="6" l="1"/>
  <c r="U636" i="6"/>
  <c r="T636" i="6" l="1"/>
  <c r="R637" i="6"/>
  <c r="S637" i="6" l="1"/>
  <c r="U637" i="6"/>
  <c r="T637" i="6" l="1"/>
  <c r="R638" i="6"/>
  <c r="U638" i="6" l="1"/>
  <c r="S638" i="6"/>
  <c r="R639" i="6" l="1"/>
  <c r="T638" i="6"/>
  <c r="S639" i="6" l="1"/>
  <c r="U639" i="6"/>
  <c r="T639" i="6" l="1"/>
  <c r="R640" i="6"/>
  <c r="U640" i="6" l="1"/>
  <c r="S640" i="6"/>
  <c r="R641" i="6" l="1"/>
  <c r="T640" i="6"/>
  <c r="S641" i="6" l="1"/>
  <c r="U641" i="6"/>
  <c r="T641" i="6" l="1"/>
  <c r="R642" i="6"/>
  <c r="U642" i="6" l="1"/>
  <c r="S642" i="6"/>
  <c r="R643" i="6" l="1"/>
  <c r="T642" i="6"/>
  <c r="S643" i="6" l="1"/>
  <c r="U643" i="6"/>
  <c r="R644" i="6" l="1"/>
  <c r="T643" i="6"/>
  <c r="S644" i="6" l="1"/>
  <c r="U644" i="6"/>
  <c r="R645" i="6" l="1"/>
  <c r="T644" i="6"/>
  <c r="S645" i="6" l="1"/>
  <c r="U645" i="6"/>
  <c r="T645" i="6" l="1"/>
  <c r="R646" i="6"/>
  <c r="U646" i="6" l="1"/>
  <c r="S646" i="6"/>
  <c r="R647" i="6" l="1"/>
  <c r="T646" i="6"/>
  <c r="S647" i="6" l="1"/>
  <c r="U647" i="6"/>
  <c r="T647" i="6" l="1"/>
  <c r="R648" i="6"/>
  <c r="U648" i="6" l="1"/>
  <c r="S648" i="6"/>
  <c r="R649" i="6" l="1"/>
  <c r="T648" i="6"/>
  <c r="S649" i="6" l="1"/>
  <c r="U649" i="6"/>
  <c r="T649" i="6" l="1"/>
  <c r="R650" i="6"/>
  <c r="S650" i="6" l="1"/>
  <c r="U650" i="6"/>
  <c r="T650" i="6" l="1"/>
  <c r="R651" i="6"/>
  <c r="U651" i="6" l="1"/>
  <c r="S651" i="6"/>
  <c r="T651" i="6" l="1"/>
  <c r="R652" i="6"/>
  <c r="S652" i="6" l="1"/>
  <c r="U652" i="6"/>
  <c r="R653" i="6" l="1"/>
  <c r="T652" i="6"/>
  <c r="S653" i="6" l="1"/>
  <c r="U653" i="6"/>
  <c r="T653" i="6" l="1"/>
  <c r="R654" i="6"/>
  <c r="S654" i="6" l="1"/>
  <c r="U654" i="6"/>
  <c r="T654" i="6" l="1"/>
  <c r="R655" i="6"/>
  <c r="U655" i="6" l="1"/>
  <c r="S655" i="6"/>
  <c r="R656" i="6" l="1"/>
  <c r="T655" i="6"/>
  <c r="S656" i="6" l="1"/>
  <c r="U656" i="6"/>
  <c r="R657" i="6" l="1"/>
  <c r="T656" i="6"/>
  <c r="S657" i="6" l="1"/>
  <c r="U657" i="6"/>
  <c r="T657" i="6" l="1"/>
  <c r="R658" i="6"/>
  <c r="S658" i="6" l="1"/>
  <c r="U658" i="6"/>
  <c r="T658" i="6" l="1"/>
  <c r="R659" i="6"/>
  <c r="S659" i="6" l="1"/>
  <c r="U659" i="6"/>
  <c r="T659" i="6" l="1"/>
  <c r="R660" i="6"/>
  <c r="S660" i="6" l="1"/>
  <c r="U660" i="6"/>
  <c r="R661" i="6" l="1"/>
  <c r="T660" i="6"/>
  <c r="U661" i="6" l="1"/>
  <c r="S661" i="6"/>
  <c r="T661" i="6" l="1"/>
  <c r="R662" i="6"/>
  <c r="S662" i="6" l="1"/>
  <c r="U662" i="6"/>
  <c r="R663" i="6" l="1"/>
  <c r="T662" i="6"/>
  <c r="S663" i="6" l="1"/>
  <c r="U663" i="6"/>
  <c r="R664" i="6" l="1"/>
  <c r="T663" i="6"/>
  <c r="U664" i="6" l="1"/>
  <c r="S664" i="6"/>
  <c r="T664" i="6" l="1"/>
  <c r="R665" i="6"/>
  <c r="S665" i="6" l="1"/>
  <c r="U665" i="6"/>
  <c r="R666" i="6" l="1"/>
  <c r="T665" i="6"/>
  <c r="S666" i="6" l="1"/>
  <c r="U666" i="6"/>
  <c r="T666" i="6" l="1"/>
  <c r="R667" i="6"/>
  <c r="U667" i="6" l="1"/>
  <c r="S667" i="6"/>
  <c r="T667" i="6" l="1"/>
  <c r="R668" i="6"/>
  <c r="U668" i="6" l="1"/>
  <c r="S668" i="6"/>
  <c r="T668" i="6" l="1"/>
  <c r="R669" i="6"/>
  <c r="S669" i="6" l="1"/>
  <c r="T669" i="6" s="1"/>
  <c r="T3" i="6" s="1"/>
  <c r="U669" i="6"/>
  <c r="U3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<sst xmlns="http://schemas.openxmlformats.org/spreadsheetml/2006/main" count="1753" uniqueCount="380">
  <si>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</si>
  <si>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</si>
  <si>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</si>
  <si>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</si>
  <si>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</si>
  <si>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</si>
  <si>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</si>
  <si>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</si>
  <si>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</si>
  <si>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</si>
  <si>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</si>
  <si>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</si>
  <si>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</si>
  <si>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</si>
  <si>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</si>
  <si>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</si>
  <si>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</si>
  <si>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</si>
  <si>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</si>
  <si>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</si>
  <si>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</si>
  <si>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</si>
  <si>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</si>
  <si>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</si>
  <si>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</si>
  <si>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</si>
  <si>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</si>
  <si>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</si>
  <si>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</si>
  <si>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</si>
  <si>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</si>
  <si>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</si>
  <si>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</si>
  <si>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</si>
  <si>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</si>
  <si>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</si>
  <si>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</si>
  <si>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</si>
  <si>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</si>
  <si>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</si>
  <si>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</si>
  <si>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</si>
  <si>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</si>
  <si>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UE4</t>
  </si>
  <si>
    <t xml:space="preserve">La discipline anthropologique </t>
  </si>
  <si>
    <t>Culture, corps et santé</t>
  </si>
  <si>
    <t>Maladies, itinéraire thérapeutique</t>
  </si>
  <si>
    <t>Sociologie de la profession médicale</t>
  </si>
  <si>
    <t xml:space="preserve">psychologie générale </t>
  </si>
  <si>
    <t>évolution des conceptions relatives au stress</t>
  </si>
  <si>
    <t xml:space="preserve">Méthode d'évaluation du stress objectif </t>
  </si>
  <si>
    <t>UE5</t>
  </si>
  <si>
    <t>Introduction épidémiologie et stats</t>
  </si>
  <si>
    <t>stats descriptives</t>
  </si>
  <si>
    <t>Probabiltés</t>
  </si>
  <si>
    <t>épidémiologie descriptive</t>
  </si>
  <si>
    <t xml:space="preserve">tests stats et méthodologie de choix de test </t>
  </si>
  <si>
    <t>corrélation et régression linéaire</t>
  </si>
  <si>
    <t xml:space="preserve">schéma d'étude </t>
  </si>
  <si>
    <t xml:space="preserve">essai thérapeutique </t>
  </si>
  <si>
    <t>évaluation des procédures diagnostiques</t>
  </si>
  <si>
    <t>Elément introductif en santé publique</t>
  </si>
  <si>
    <t>Économie du système de santé</t>
  </si>
  <si>
    <t xml:space="preserve">Prévention-Alla </t>
  </si>
  <si>
    <t>UE6</t>
  </si>
  <si>
    <t>Molécules du vivant</t>
  </si>
  <si>
    <t>La composition des membranes cellulaire</t>
  </si>
  <si>
    <t xml:space="preserve">Transport intracellulaire et trafic vésiculaire </t>
  </si>
  <si>
    <t>Cytosquellette</t>
  </si>
  <si>
    <t>Division cellulaire</t>
  </si>
  <si>
    <t>Cellules souches</t>
  </si>
  <si>
    <t>Mouvement molécules de surface</t>
  </si>
  <si>
    <t>Signalisation intracellulaire part 1</t>
  </si>
  <si>
    <t>Signalisation intracellulaire part 2</t>
  </si>
  <si>
    <t>UE7</t>
  </si>
  <si>
    <t>Du chromosome à l'ADN</t>
  </si>
  <si>
    <t>Structure et role des nucléotides</t>
  </si>
  <si>
    <t>Réplication de l'ADN</t>
  </si>
  <si>
    <t xml:space="preserve">Mutations </t>
  </si>
  <si>
    <t>Réparation de l'ADN</t>
  </si>
  <si>
    <t xml:space="preserve">Transcription et régulation </t>
  </si>
  <si>
    <t>Synthèse et dégradation des protéines</t>
  </si>
  <si>
    <t xml:space="preserve">Acides Aminés- peptides </t>
  </si>
  <si>
    <t xml:space="preserve">Protéines </t>
  </si>
  <si>
    <t xml:space="preserve">Structure des glucides </t>
  </si>
  <si>
    <t>UE8</t>
  </si>
  <si>
    <t xml:space="preserve">Physiologie et compartiments liquidiens </t>
  </si>
  <si>
    <t>pH et équilibre acido basique d'une solution</t>
  </si>
  <si>
    <t>Synthèse tampons, Diagramme de Davenport</t>
  </si>
  <si>
    <t>Thermorégulation</t>
  </si>
  <si>
    <t xml:space="preserve">Potentiel électrochimique </t>
  </si>
  <si>
    <t>Transports membranaires</t>
  </si>
  <si>
    <t xml:space="preserve">Régulation et rôle du rein </t>
  </si>
  <si>
    <t>Jonction neuro-musculaire</t>
  </si>
  <si>
    <t xml:space="preserve">système nerveux autonome </t>
  </si>
  <si>
    <t>UE9</t>
  </si>
  <si>
    <t xml:space="preserve">Outils mathématique </t>
  </si>
  <si>
    <t xml:space="preserve">Métrologie </t>
  </si>
  <si>
    <t xml:space="preserve">États  de la matière et leur caractérisation </t>
  </si>
  <si>
    <t xml:space="preserve">Les très basses fréquences du spectre électromagnétique </t>
  </si>
  <si>
    <t xml:space="preserve">Le domaine de l'optique </t>
  </si>
  <si>
    <t>Rayons X et gamma-Rayonnement particulaire</t>
  </si>
  <si>
    <t xml:space="preserve">Interaction rayonnement-Matière </t>
  </si>
  <si>
    <t xml:space="preserve">Détection des rayonnements </t>
  </si>
  <si>
    <t>UE10</t>
  </si>
  <si>
    <t>intro : généralités</t>
  </si>
  <si>
    <t>intro: référence et particularité</t>
  </si>
  <si>
    <t>intro: mouvements</t>
  </si>
  <si>
    <t>intro: tissus</t>
  </si>
  <si>
    <t xml:space="preserve">intro: région, fascias et appareil </t>
  </si>
  <si>
    <t>Tête</t>
  </si>
  <si>
    <t>Cou</t>
  </si>
  <si>
    <t>Dos</t>
  </si>
  <si>
    <t>Thorax</t>
  </si>
  <si>
    <t>Abdomen et pelvis 1</t>
  </si>
  <si>
    <t xml:space="preserve">Abdomen et pelvis 2 </t>
  </si>
  <si>
    <t>Membre inférieur 1</t>
  </si>
  <si>
    <t xml:space="preserve">Membre inférieur 2 </t>
  </si>
  <si>
    <t>Membre inférieur 3</t>
  </si>
  <si>
    <t>Membre supérieur 1</t>
  </si>
  <si>
    <t xml:space="preserve">Membre supérieur 2 </t>
  </si>
  <si>
    <t>Membre supérieur 3</t>
  </si>
  <si>
    <t>Appareil locomoteur 1</t>
  </si>
  <si>
    <t>Appareil locomoteur 2</t>
  </si>
  <si>
    <t>Appareil locomoteur 3</t>
  </si>
  <si>
    <t>UE14</t>
  </si>
  <si>
    <t>Atomes</t>
  </si>
  <si>
    <t>Liaisons chimique et interactions moléculaires</t>
  </si>
  <si>
    <t xml:space="preserve">Thermodynamique </t>
  </si>
  <si>
    <t xml:space="preserve">Nomenclature chimique- Isomérie </t>
  </si>
  <si>
    <t>Propriétés électroniques des liaisons chimiques</t>
  </si>
  <si>
    <t>Les alcools- les amines</t>
  </si>
  <si>
    <t>Dérivés carbonyles</t>
  </si>
  <si>
    <t xml:space="preserve">Dérivés d'acides carboxylique- AG </t>
  </si>
  <si>
    <t xml:space="preserve">Les acides aminés- les oses </t>
  </si>
  <si>
    <t>UE 22</t>
  </si>
  <si>
    <t xml:space="preserve">CI du fonctionnement, du handicap et de la santé </t>
  </si>
  <si>
    <t xml:space="preserve">Représentations sociales du handicap </t>
  </si>
  <si>
    <t xml:space="preserve">Répercussion sociétales et empowerment </t>
  </si>
  <si>
    <t xml:space="preserve">Enjeux éthiques </t>
  </si>
  <si>
    <t xml:space="preserve">Législation handicap </t>
  </si>
  <si>
    <t xml:space="preserve">Intervention rééducation part-1 </t>
  </si>
  <si>
    <t>Intervention rééducation part-2</t>
  </si>
  <si>
    <t xml:space="preserve">J0 Transport intracellulaire et trafic vésiculaire </t>
  </si>
  <si>
    <t>J0 Structure et role des nucléotides</t>
  </si>
  <si>
    <t>J10 intro : généralités</t>
  </si>
  <si>
    <t>J10 intro: référence et particularité</t>
  </si>
  <si>
    <t>J10 intro: mouvements</t>
  </si>
  <si>
    <t xml:space="preserve">J6 intro: région, fascias et appareil </t>
  </si>
  <si>
    <t>J2 Thorax</t>
  </si>
  <si>
    <t>J0 Abdomen et pelvis 1</t>
  </si>
  <si>
    <t xml:space="preserve">J2 La discipline anthropologique </t>
  </si>
  <si>
    <t>J0 Sociologie de la profession médicale</t>
  </si>
  <si>
    <t>J15 Molécules du vivant</t>
  </si>
  <si>
    <t>J0 Cytosquellette</t>
  </si>
  <si>
    <t>J6 Tête</t>
  </si>
  <si>
    <t xml:space="preserve">J0 Abdomen et pelvis 2 </t>
  </si>
  <si>
    <t xml:space="preserve">J2 Transport intracellulaire et trafic vésiculaire </t>
  </si>
  <si>
    <t>J2 Structure et role des nucléotides</t>
  </si>
  <si>
    <t>J0 Réplication de l'ADN</t>
  </si>
  <si>
    <t xml:space="preserve">J0 Outils mathématique </t>
  </si>
  <si>
    <t xml:space="preserve">J0 Métrologie </t>
  </si>
  <si>
    <t xml:space="preserve">J0 États  de la matière et leur caractérisation </t>
  </si>
  <si>
    <t>J6 Cou</t>
  </si>
  <si>
    <t>J2 Abdomen et pelvis 1</t>
  </si>
  <si>
    <t>J0 Membre inférieur 1</t>
  </si>
  <si>
    <t>J2 Sociologie de la profession médicale</t>
  </si>
  <si>
    <t xml:space="preserve">J0 psychologie générale </t>
  </si>
  <si>
    <t>J10 La composition des membranes cellulaire</t>
  </si>
  <si>
    <t>J2 Cytosquellette</t>
  </si>
  <si>
    <t>J6 Du chromosome à l'ADN</t>
  </si>
  <si>
    <t xml:space="preserve">J0 Mutations </t>
  </si>
  <si>
    <t>J10 intro: tissus</t>
  </si>
  <si>
    <t>J6 Dos</t>
  </si>
  <si>
    <t xml:space="preserve">J2 Abdomen et pelvis 2 </t>
  </si>
  <si>
    <t xml:space="preserve">J0 Membre inférieur 2 </t>
  </si>
  <si>
    <t>J2 Réplication de l'ADN</t>
  </si>
  <si>
    <t>J0 Réparation de l'ADN</t>
  </si>
  <si>
    <t xml:space="preserve">J2 Outils mathématique </t>
  </si>
  <si>
    <t xml:space="preserve">J2 Métrologie </t>
  </si>
  <si>
    <t xml:space="preserve">J2 États  de la matière et leur caractérisation </t>
  </si>
  <si>
    <t xml:space="preserve">J10 intro: région, fascias et appareil </t>
  </si>
  <si>
    <t>J6 Thorax</t>
  </si>
  <si>
    <t>J2 Membre inférieur 1</t>
  </si>
  <si>
    <t>J0 Membre inférieur 3</t>
  </si>
  <si>
    <t xml:space="preserve">J6 La discipline anthropologique </t>
  </si>
  <si>
    <t xml:space="preserve">J2 psychologie générale </t>
  </si>
  <si>
    <t xml:space="preserve">J2 Mutations </t>
  </si>
  <si>
    <t xml:space="preserve">J0 Transcription et régulation </t>
  </si>
  <si>
    <t>J15 intro : généralités</t>
  </si>
  <si>
    <t>J15 intro: référence et particularité</t>
  </si>
  <si>
    <t>J15 intro: mouvements</t>
  </si>
  <si>
    <t>J10 Tête</t>
  </si>
  <si>
    <t xml:space="preserve">J2 Membre inférieur 2 </t>
  </si>
  <si>
    <t>J0 Membre supérieur 1</t>
  </si>
  <si>
    <t xml:space="preserve">J6 Transport intracellulaire et trafic vésiculaire </t>
  </si>
  <si>
    <t>J6 Structure et role des nucléotides</t>
  </si>
  <si>
    <t>J2 Réparation de l'ADN</t>
  </si>
  <si>
    <t>J10 Cou</t>
  </si>
  <si>
    <t>J6 Abdomen et pelvis 1</t>
  </si>
  <si>
    <t>J2 Membre inférieur 3</t>
  </si>
  <si>
    <t xml:space="preserve">J15 La discipline anthropologique </t>
  </si>
  <si>
    <t>J10 Réparation de l'ADN</t>
  </si>
  <si>
    <t>J10 Membre inférieur 3</t>
  </si>
  <si>
    <t>J6 Membre supérieur 3</t>
  </si>
  <si>
    <t>J6 Introduction épidémiologie et stats</t>
  </si>
  <si>
    <t>J6 stats descriptives</t>
  </si>
  <si>
    <t>J6 Probabiltés</t>
  </si>
  <si>
    <t>J6 épidémiologie descriptive</t>
  </si>
  <si>
    <t xml:space="preserve">J15 Transport intracellulaire et trafic vésiculaire </t>
  </si>
  <si>
    <t>J15 Structure et role des nucléotides</t>
  </si>
  <si>
    <t xml:space="preserve">J10 Transcription et régulation </t>
  </si>
  <si>
    <t xml:space="preserve">J6 Les très basses fréquences du spectre électromagnétique </t>
  </si>
  <si>
    <t>J15 Abdomen et pelvis 1</t>
  </si>
  <si>
    <t>J10 Membre supérieur 1</t>
  </si>
  <si>
    <t>J6 Appareil locomoteur 1</t>
  </si>
  <si>
    <t>J15 Sociologie de la profession médicale</t>
  </si>
  <si>
    <t>J30 Molécules du vivant</t>
  </si>
  <si>
    <t>J15 Cytosquellette</t>
  </si>
  <si>
    <t xml:space="preserve">J15 Abdomen et pelvis 2 </t>
  </si>
  <si>
    <t>J6 Appareil locomoteur 2</t>
  </si>
  <si>
    <t>J15 Réplication de l'ADN</t>
  </si>
  <si>
    <t xml:space="preserve">J15 Outils mathématique </t>
  </si>
  <si>
    <t xml:space="preserve">J15 Métrologie </t>
  </si>
  <si>
    <t xml:space="preserve">J15 États  de la matière et leur caractérisation </t>
  </si>
  <si>
    <t>J15 Membre inférieur 1</t>
  </si>
  <si>
    <t xml:space="preserve">J10 Membre supérieur 2 </t>
  </si>
  <si>
    <t>J6 Appareil locomoteur 3</t>
  </si>
  <si>
    <t xml:space="preserve">J15 psychologie générale </t>
  </si>
  <si>
    <t xml:space="preserve">J15 Mutations </t>
  </si>
  <si>
    <t xml:space="preserve">J15 Membre inférieur 2 </t>
  </si>
  <si>
    <t>J10 Membre supérieur 3</t>
  </si>
  <si>
    <t>J10 Introduction épidémiologie et stats</t>
  </si>
  <si>
    <t>J10 stats descriptives</t>
  </si>
  <si>
    <t>J10 Probabiltés</t>
  </si>
  <si>
    <t>J10 épidémiologie descriptive</t>
  </si>
  <si>
    <t>J15 Réparation de l'ADN</t>
  </si>
  <si>
    <t xml:space="preserve">J10 Les très basses fréquences du spectre électromagnétique </t>
  </si>
  <si>
    <t>J15 Membre inférieur 3</t>
  </si>
  <si>
    <t>J10 Appareil locomoteur 1</t>
  </si>
  <si>
    <t xml:space="preserve">J15 Transcription et régulation </t>
  </si>
  <si>
    <t>J30 intro : généralités</t>
  </si>
  <si>
    <t>J30 intro: référence et particularité</t>
  </si>
  <si>
    <t>J30 intro: mouvements</t>
  </si>
  <si>
    <t>J15 Membre supérieur 1</t>
  </si>
  <si>
    <t>J10 Appareil locomoteur 2</t>
  </si>
  <si>
    <t>J10 Appareil locomoteur 3</t>
  </si>
  <si>
    <t xml:space="preserve">J15 Membre supérieur 2 </t>
  </si>
  <si>
    <t>J30 La composition des membranes cellulaire</t>
  </si>
  <si>
    <t>J30 intro: tissus</t>
  </si>
  <si>
    <t>J15 Membre supérieur 3</t>
  </si>
  <si>
    <t>J15 Introduction épidémiologie et stats</t>
  </si>
  <si>
    <t>J15 stats descriptives</t>
  </si>
  <si>
    <t>J15 Probabiltés</t>
  </si>
  <si>
    <t>J15 épidémiologie descriptive</t>
  </si>
  <si>
    <t xml:space="preserve">J15 Les très basses fréquences du spectre électromagnétique </t>
  </si>
  <si>
    <t xml:space="preserve">J30 intro: région, fascias et appareil </t>
  </si>
  <si>
    <t>J15 Appareil locomoteur 1</t>
  </si>
  <si>
    <t>J30 Tête</t>
  </si>
  <si>
    <t>J15 Appareil locomoteur 2</t>
  </si>
  <si>
    <t>J30 Cou</t>
  </si>
  <si>
    <t>J15 Appareil locomoteur 3</t>
  </si>
  <si>
    <t>J30 Du chromosome à l'ADN</t>
  </si>
  <si>
    <t>J30 Dos</t>
  </si>
  <si>
    <t>J0 Molécules du vivant</t>
  </si>
  <si>
    <t>J2 Molécules du vivant</t>
  </si>
  <si>
    <t>J0 intro : généralités</t>
  </si>
  <si>
    <t>J0 intro: référence et particularité</t>
  </si>
  <si>
    <t>J0 intro: mouvements</t>
  </si>
  <si>
    <t>J6 Molécules du vivant</t>
  </si>
  <si>
    <t>J2 intro : généralités</t>
  </si>
  <si>
    <t>J2 intro: référence et particularité</t>
  </si>
  <si>
    <t>J2 intro: mouvements</t>
  </si>
  <si>
    <t>J0 La composition des membranes cellulaire</t>
  </si>
  <si>
    <t>J0 intro: tissus</t>
  </si>
  <si>
    <t xml:space="preserve">J0 intro: région, fascias et appareil </t>
  </si>
  <si>
    <t>J2 La composition des membranes cellulaire</t>
  </si>
  <si>
    <t>J2 intro: tissus</t>
  </si>
  <si>
    <t>J0 Tête</t>
  </si>
  <si>
    <t>J10 Molécules du vivant</t>
  </si>
  <si>
    <t>J6 intro : généralités</t>
  </si>
  <si>
    <t>J6 intro: référence et particularité</t>
  </si>
  <si>
    <t>J6 intro: mouvements</t>
  </si>
  <si>
    <t xml:space="preserve">J2 intro: région, fascias et appareil </t>
  </si>
  <si>
    <t>J0 Cou</t>
  </si>
  <si>
    <t>J0 Du chromosome à l'ADN</t>
  </si>
  <si>
    <t>J2 Tête</t>
  </si>
  <si>
    <t>J0 Dos</t>
  </si>
  <si>
    <t>J2 Cou</t>
  </si>
  <si>
    <t>J0 Thorax</t>
  </si>
  <si>
    <t xml:space="preserve">J0 La discipline anthropologique </t>
  </si>
  <si>
    <t>J6 La composition des membranes cellulaire</t>
  </si>
  <si>
    <t>J2 Du chromosome à l'ADN</t>
  </si>
  <si>
    <t>J6 intro: tissus</t>
  </si>
  <si>
    <t>J2 Dos</t>
  </si>
  <si>
    <t>J6 Sociologie de la profession médicale</t>
  </si>
  <si>
    <t>J6 Cytosquellette</t>
  </si>
  <si>
    <t>J10 Du chromosome à l'ADN</t>
  </si>
  <si>
    <t xml:space="preserve">J2 Transcription et régulation </t>
  </si>
  <si>
    <t>J10 Dos</t>
  </si>
  <si>
    <t xml:space="preserve">J6 Abdomen et pelvis 2 </t>
  </si>
  <si>
    <t>J2 Membre supérieur 1</t>
  </si>
  <si>
    <t xml:space="preserve">J0 Membre supérieur 2 </t>
  </si>
  <si>
    <t>J15 La composition des membranes cellulaire</t>
  </si>
  <si>
    <t>J6 Réplication de l'ADN</t>
  </si>
  <si>
    <t xml:space="preserve">J6 Outils mathématique </t>
  </si>
  <si>
    <t xml:space="preserve">J6 Métrologie </t>
  </si>
  <si>
    <t xml:space="preserve">J6 États  de la matière et leur caractérisation </t>
  </si>
  <si>
    <t>J15 intro: tissus</t>
  </si>
  <si>
    <t>J10 Thorax</t>
  </si>
  <si>
    <t>J6 Membre inférieur 1</t>
  </si>
  <si>
    <t>J0 Membre supérieur 3</t>
  </si>
  <si>
    <t xml:space="preserve">J10 La discipline anthropologique </t>
  </si>
  <si>
    <t xml:space="preserve">J6 psychologie générale </t>
  </si>
  <si>
    <t>J0 Introduction épidémiologie et stats</t>
  </si>
  <si>
    <t>J0 stats descriptives</t>
  </si>
  <si>
    <t>J0 Probabiltés</t>
  </si>
  <si>
    <t>J0 épidémiologie descriptive</t>
  </si>
  <si>
    <t xml:space="preserve">J6 Mutations </t>
  </si>
  <si>
    <t xml:space="preserve">J0 Les très basses fréquences du spectre électromagnétique </t>
  </si>
  <si>
    <t xml:space="preserve">J15 intro: région, fascias et appareil </t>
  </si>
  <si>
    <t xml:space="preserve">J6 Membre inférieur 2 </t>
  </si>
  <si>
    <t xml:space="preserve">J2 Membre supérieur 2 </t>
  </si>
  <si>
    <t>J0 Appareil locomoteur 1</t>
  </si>
  <si>
    <t xml:space="preserve">J10 Transport intracellulaire et trafic vésiculaire </t>
  </si>
  <si>
    <t>J10 Structure et role des nucléotides</t>
  </si>
  <si>
    <t>J6 Réparation de l'ADN</t>
  </si>
  <si>
    <t>J15 Tête</t>
  </si>
  <si>
    <t>J10 Abdomen et pelvis 1</t>
  </si>
  <si>
    <t>J6 Membre inférieur 3</t>
  </si>
  <si>
    <t>J2 Membre supérieur 3</t>
  </si>
  <si>
    <t>J0 Appareil locomoteur 2</t>
  </si>
  <si>
    <t>J10 Sociologie de la profession médicale</t>
  </si>
  <si>
    <t>J2 Introduction épidémiologie et stats</t>
  </si>
  <si>
    <t>J2 stats descriptives</t>
  </si>
  <si>
    <t>J2 Probabiltés</t>
  </si>
  <si>
    <t>J2 épidémiologie descriptive</t>
  </si>
  <si>
    <t>J10 Cytosquellette</t>
  </si>
  <si>
    <t xml:space="preserve">J6 Transcription et régulation </t>
  </si>
  <si>
    <t xml:space="preserve">J2 Les très basses fréquences du spectre électromagnétique </t>
  </si>
  <si>
    <t>J15 Cou</t>
  </si>
  <si>
    <t xml:space="preserve">J10 Abdomen et pelvis 2 </t>
  </si>
  <si>
    <t>J6 Membre supérieur 1</t>
  </si>
  <si>
    <t>J2 Appareil locomoteur 1</t>
  </si>
  <si>
    <t>J0 Appareil locomoteur 3</t>
  </si>
  <si>
    <t>J15 Du chromosome à l'ADN</t>
  </si>
  <si>
    <t>J10 Réplication de l'ADN</t>
  </si>
  <si>
    <t xml:space="preserve">J10 Outils mathématique </t>
  </si>
  <si>
    <t xml:space="preserve">J10 Métrologie </t>
  </si>
  <si>
    <t xml:space="preserve">J10 États  de la matière et leur caractérisation </t>
  </si>
  <si>
    <t>J15 Dos</t>
  </si>
  <si>
    <t>J10 Membre inférieur 1</t>
  </si>
  <si>
    <t>J2 Appareil locomoteur 2</t>
  </si>
  <si>
    <t xml:space="preserve">J10 psychologie générale </t>
  </si>
  <si>
    <t xml:space="preserve">J10 Mutations </t>
  </si>
  <si>
    <t>J15 Thorax</t>
  </si>
  <si>
    <t xml:space="preserve">J10 Membre inférieur 2 </t>
  </si>
  <si>
    <t xml:space="preserve">J6 Membre supérieur 2 </t>
  </si>
  <si>
    <t>J2 Appareil locomoteur 3</t>
  </si>
  <si>
    <t>durée</t>
  </si>
  <si>
    <t>debut</t>
  </si>
  <si>
    <t>fin</t>
  </si>
  <si>
    <t>Type</t>
  </si>
  <si>
    <t>jour</t>
  </si>
  <si>
    <t>duree</t>
  </si>
  <si>
    <t>problème</t>
  </si>
  <si>
    <t>delai</t>
  </si>
  <si>
    <t>fin precedent</t>
  </si>
  <si>
    <t>trop tot</t>
  </si>
  <si>
    <t>Totaal</t>
  </si>
  <si>
    <t>Somme duree</t>
  </si>
  <si>
    <t>pourcentage de la durée initiale</t>
  </si>
  <si>
    <t>delai jours</t>
  </si>
  <si>
    <t>Intervention rééducation part-3</t>
  </si>
  <si>
    <t>Intervention rééducation part-4</t>
  </si>
  <si>
    <t>Intervention rééducation part-5</t>
  </si>
  <si>
    <t>Intervention rééducation part-6</t>
  </si>
  <si>
    <t>de</t>
  </si>
  <si>
    <t>à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</si>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</sst>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&quot;SEM. &quot;0"/>
    <numFmt numFmtId="165" formatCode="dd"/>
    <numFmt numFmtId="166" formatCode="mmmm\ yyyy"/>
    <numFmt numFmtId="167" formatCode="ddd\ dd/mm/yyyy"/>
    <numFmt numFmtId="168" formatCode="&quot;s&quot;0"/>
    <numFmt numFmtId="172" formatCode="0;;"/>
    <numFmt numFmtId="173" formatCode="ddd\ dd/mm/yy"/>
    <numFmt numFmtId="174" formatCode="ddd\ dd/mm\ hh:mm"/>
  </numFmts>
  <fonts count="36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10"/>
      <color rgb="FFFF0000"/>
      <name val="Cambria"/>
      <family val="1"/>
      <scheme val="minor"/>
    </font>
    <font>
      <sz val="10"/>
      <color theme="3" tint="0.14999847407452621"/>
      <name val="Cambria"/>
      <family val="2"/>
      <scheme val="minor"/>
    </font>
    <font>
      <sz val="8"/>
      <name val="Cambria"/>
      <family val="2"/>
      <scheme val="minor"/>
    </font>
    <font>
      <b/>
      <sz val="14"/>
      <color rgb="FFFF0000"/>
      <name val="Cambria"/>
      <family val="1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887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7F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theme="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107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10" borderId="0" xfId="0" applyFill="1">
      <alignment vertical="center"/>
    </xf>
    <xf numFmtId="0" fontId="0" fillId="8" borderId="7" xfId="0" applyFill="1" applyBorder="1" applyProtection="1">
      <alignment vertical="center"/>
      <protection locked="0"/>
    </xf>
    <xf numFmtId="0" fontId="0" fillId="10" borderId="7" xfId="0" applyFill="1" applyBorder="1" applyProtection="1">
      <alignment vertical="center"/>
      <protection locked="0"/>
    </xf>
    <xf numFmtId="0" fontId="20" fillId="8" borderId="17" xfId="0" applyFont="1" applyFill="1" applyBorder="1">
      <alignment vertical="center"/>
    </xf>
    <xf numFmtId="0" fontId="20" fillId="8" borderId="18" xfId="0" applyFont="1" applyFill="1" applyBorder="1">
      <alignment vertical="center"/>
    </xf>
    <xf numFmtId="0" fontId="20" fillId="12" borderId="16" xfId="0" applyFont="1" applyFill="1" applyBorder="1">
      <alignment vertical="center"/>
    </xf>
    <xf numFmtId="0" fontId="20" fillId="12" borderId="17" xfId="0" applyFont="1" applyFill="1" applyBorder="1">
      <alignment vertical="center"/>
    </xf>
    <xf numFmtId="0" fontId="20" fillId="12" borderId="18" xfId="0" applyFont="1" applyFill="1" applyBorder="1">
      <alignment vertical="center"/>
    </xf>
    <xf numFmtId="0" fontId="0" fillId="12" borderId="0" xfId="0" applyFill="1">
      <alignment vertical="center"/>
    </xf>
    <xf numFmtId="0" fontId="30" fillId="11" borderId="0" xfId="0" applyFont="1" applyFill="1">
      <alignment vertical="center"/>
    </xf>
    <xf numFmtId="0" fontId="31" fillId="13" borderId="16" xfId="0" applyFont="1" applyFill="1" applyBorder="1">
      <alignment vertical="center"/>
    </xf>
    <xf numFmtId="0" fontId="31" fillId="13" borderId="17" xfId="0" applyFont="1" applyFill="1" applyBorder="1">
      <alignment vertical="center"/>
    </xf>
    <xf numFmtId="0" fontId="32" fillId="13" borderId="17" xfId="0" applyFont="1" applyFill="1" applyBorder="1">
      <alignment vertical="center"/>
    </xf>
    <xf numFmtId="0" fontId="32" fillId="13" borderId="18" xfId="0" applyFont="1" applyFill="1" applyBorder="1">
      <alignment vertical="center"/>
    </xf>
    <xf numFmtId="0" fontId="0" fillId="13" borderId="0" xfId="0" applyFill="1">
      <alignment vertical="center"/>
    </xf>
    <xf numFmtId="0" fontId="0" fillId="15" borderId="0" xfId="0" applyFill="1">
      <alignment vertical="center"/>
    </xf>
    <xf numFmtId="0" fontId="0" fillId="13" borderId="7" xfId="0" applyFill="1" applyBorder="1" applyProtection="1">
      <alignment vertical="center"/>
      <protection locked="0"/>
    </xf>
    <xf numFmtId="0" fontId="0" fillId="15" borderId="7" xfId="0" applyFill="1" applyBorder="1" applyProtection="1">
      <alignment vertical="center"/>
      <protection locked="0"/>
    </xf>
    <xf numFmtId="0" fontId="20" fillId="14" borderId="16" xfId="0" applyFont="1" applyFill="1" applyBorder="1">
      <alignment vertical="center"/>
    </xf>
    <xf numFmtId="0" fontId="20" fillId="14" borderId="17" xfId="0" applyFont="1" applyFill="1" applyBorder="1">
      <alignment vertical="center"/>
    </xf>
    <xf numFmtId="0" fontId="20" fillId="14" borderId="18" xfId="0" applyFont="1" applyFill="1" applyBorder="1">
      <alignment vertical="center"/>
    </xf>
    <xf numFmtId="0" fontId="20" fillId="10" borderId="16" xfId="0" applyFont="1" applyFill="1" applyBorder="1">
      <alignment vertical="center"/>
    </xf>
    <xf numFmtId="0" fontId="20" fillId="10" borderId="17" xfId="0" applyFont="1" applyFill="1" applyBorder="1">
      <alignment vertical="center"/>
    </xf>
    <xf numFmtId="0" fontId="20" fillId="10" borderId="18" xfId="0" applyFont="1" applyFill="1" applyBorder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0" fontId="20" fillId="9" borderId="18" xfId="0" applyFont="1" applyFill="1" applyBorder="1">
      <alignment vertical="center"/>
    </xf>
    <xf numFmtId="0" fontId="33" fillId="16" borderId="16" xfId="0" applyFont="1" applyFill="1" applyBorder="1">
      <alignment vertical="center"/>
    </xf>
    <xf numFmtId="0" fontId="33" fillId="16" borderId="17" xfId="0" applyFont="1" applyFill="1" applyBorder="1">
      <alignment vertical="center"/>
    </xf>
    <xf numFmtId="0" fontId="33" fillId="16" borderId="18" xfId="0" applyFont="1" applyFill="1" applyBorder="1">
      <alignment vertical="center"/>
    </xf>
    <xf numFmtId="0" fontId="0" fillId="17" borderId="7" xfId="0" applyFill="1" applyBorder="1" applyProtection="1">
      <alignment vertical="center"/>
      <protection locked="0"/>
    </xf>
    <xf numFmtId="0" fontId="0" fillId="17" borderId="0" xfId="0" applyFill="1">
      <alignment vertical="center"/>
    </xf>
    <xf numFmtId="0" fontId="0" fillId="17" borderId="15" xfId="0" applyFill="1" applyBorder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1" fillId="18" borderId="0" xfId="0" applyFont="1" applyFill="1">
      <alignment vertical="center"/>
    </xf>
    <xf numFmtId="0" fontId="31" fillId="5" borderId="0" xfId="0" applyFont="1" applyFill="1">
      <alignment vertical="center"/>
    </xf>
    <xf numFmtId="0" fontId="0" fillId="8" borderId="0" xfId="0" applyFill="1">
      <alignment vertical="center"/>
    </xf>
    <xf numFmtId="0" fontId="0" fillId="8" borderId="15" xfId="0" applyFill="1" applyBorder="1" applyProtection="1">
      <alignment vertical="center"/>
      <protection locked="0"/>
    </xf>
    <xf numFmtId="0" fontId="0" fillId="15" borderId="15" xfId="0" applyFill="1" applyBorder="1" applyProtection="1">
      <alignment vertical="center"/>
      <protection locked="0"/>
    </xf>
    <xf numFmtId="0" fontId="0" fillId="12" borderId="7" xfId="0" applyFill="1" applyBorder="1" applyProtection="1">
      <alignment vertical="center"/>
      <protection locked="0"/>
    </xf>
    <xf numFmtId="0" fontId="0" fillId="13" borderId="15" xfId="0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20" fillId="8" borderId="0" xfId="0" applyFont="1" applyFill="1" applyBorder="1">
      <alignment vertical="center"/>
    </xf>
    <xf numFmtId="0" fontId="20" fillId="12" borderId="0" xfId="0" applyFont="1" applyFill="1" applyBorder="1">
      <alignment vertical="center"/>
    </xf>
    <xf numFmtId="0" fontId="31" fillId="13" borderId="0" xfId="0" applyFont="1" applyFill="1" applyBorder="1">
      <alignment vertical="center"/>
    </xf>
    <xf numFmtId="0" fontId="32" fillId="13" borderId="0" xfId="0" applyFont="1" applyFill="1" applyBorder="1">
      <alignment vertical="center"/>
    </xf>
    <xf numFmtId="0" fontId="20" fillId="14" borderId="0" xfId="0" applyFont="1" applyFill="1" applyBorder="1">
      <alignment vertical="center"/>
    </xf>
    <xf numFmtId="0" fontId="20" fillId="9" borderId="0" xfId="0" applyFont="1" applyFill="1" applyBorder="1">
      <alignment vertical="center"/>
    </xf>
    <xf numFmtId="0" fontId="20" fillId="10" borderId="0" xfId="0" applyFont="1" applyFill="1" applyBorder="1">
      <alignment vertical="center"/>
    </xf>
    <xf numFmtId="0" fontId="33" fillId="16" borderId="0" xfId="0" applyFont="1" applyFill="1" applyBorder="1">
      <alignment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>
      <alignment vertical="center"/>
    </xf>
    <xf numFmtId="0" fontId="0" fillId="0" borderId="0" xfId="0" pivotButton="1">
      <alignment vertical="center"/>
    </xf>
    <xf numFmtId="14" fontId="0" fillId="0" borderId="0" xfId="0" applyNumberFormat="1">
      <alignment vertical="center"/>
    </xf>
    <xf numFmtId="0" fontId="0" fillId="0" borderId="0" xfId="0" applyNumberFormat="1">
      <alignment vertical="center"/>
    </xf>
    <xf numFmtId="173" fontId="0" fillId="0" borderId="0" xfId="0" applyNumberFormat="1" applyAlignment="1">
      <alignment horizontal="center" vertical="center"/>
    </xf>
    <xf numFmtId="0" fontId="0" fillId="0" borderId="0" xfId="0" applyAlignment="1">
      <alignment vertical="center" shrinkToFit="1"/>
    </xf>
    <xf numFmtId="0" fontId="35" fillId="0" borderId="0" xfId="0" applyFont="1" applyAlignment="1">
      <alignment horizontal="center" vertical="center" shrinkToFit="1"/>
    </xf>
    <xf numFmtId="20" fontId="0" fillId="0" borderId="0" xfId="0" applyNumberFormat="1" applyAlignment="1">
      <alignment vertical="center" shrinkToFit="1"/>
    </xf>
    <xf numFmtId="20" fontId="35" fillId="0" borderId="0" xfId="0" applyNumberFormat="1" applyFont="1" applyAlignment="1">
      <alignment horizontal="center" vertical="center" shrinkToFit="1"/>
    </xf>
    <xf numFmtId="172" fontId="0" fillId="0" borderId="0" xfId="0" applyNumberFormat="1" applyAlignment="1">
      <alignment vertical="center" shrinkToFit="1"/>
    </xf>
    <xf numFmtId="0" fontId="26" fillId="19" borderId="2" xfId="0" applyFont="1" applyFill="1" applyBorder="1" applyAlignment="1">
      <alignment horizontal="center" vertical="center" shrinkToFit="1"/>
    </xf>
    <xf numFmtId="173" fontId="0" fillId="0" borderId="0" xfId="0" applyNumberFormat="1" applyAlignment="1">
      <alignment vertical="center" shrinkToFit="1"/>
    </xf>
    <xf numFmtId="174" fontId="0" fillId="0" borderId="0" xfId="0" applyNumberFormat="1" applyAlignment="1">
      <alignment vertical="center" shrinkToFit="1"/>
    </xf>
    <xf numFmtId="0" fontId="26" fillId="19" borderId="0" xfId="0" applyFont="1" applyFill="1" applyBorder="1" applyAlignment="1">
      <alignment horizontal="center" vertical="center" shrinkToFit="1"/>
    </xf>
  </cellXfs>
  <cellStyles count="6">
    <cellStyle name="Berekening" xfId="2" builtinId="22"/>
    <cellStyle name="Kop 1" xfId="3" builtinId="16" customBuiltin="1"/>
    <cellStyle name="Kop 2" xfId="4" builtinId="17" customBuiltin="1"/>
    <cellStyle name="Kop 3" xfId="5" builtinId="18" customBuiltin="1"/>
    <cellStyle name="Kop 4" xfId="1" builtinId="19"/>
    <cellStyle name="Standaard" xfId="0" builtinId="0" customBuiltin="1"/>
  </cellStyles>
  <dxfs count="36"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6" tint="0.59996337778862885"/>
        </patternFill>
      </fill>
    </dxf>
    <dxf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numFmt numFmtId="172" formatCode="0;;"/>
      <alignment vertical="center" textRotation="0" wrapText="0" justifyLastLine="0" shrinkToFit="1" readingOrder="0"/>
    </dxf>
    <dxf>
      <numFmt numFmtId="172" formatCode="0;;"/>
      <alignment vertical="center" textRotation="0" wrapText="0" justifyLastLine="0" shrinkToFit="1" readingOrder="0"/>
    </dxf>
    <dxf>
      <numFmt numFmtId="174" formatCode="ddd\ dd/mm\ hh:mm"/>
      <alignment vertical="center" textRotation="0" wrapText="0" justifyLastLine="0" shrinkToFit="1" readingOrder="0"/>
    </dxf>
    <dxf>
      <numFmt numFmtId="174" formatCode="ddd\ dd/mm\ hh:mm"/>
      <alignment vertical="center" textRotation="0" wrapText="0" justifyLastLine="0" shrinkToFit="1" readingOrder="0"/>
    </dxf>
    <dxf>
      <numFmt numFmtId="174" formatCode="ddd\ dd/mm\ hh:mm"/>
      <alignment vertical="center" textRotation="0" wrapText="0" justifyLastLine="0" shrinkToFit="1" readingOrder="0"/>
    </dxf>
    <dxf>
      <numFmt numFmtId="0" formatCode="General"/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numFmt numFmtId="173" formatCode="ddd\ dd/mm/yy"/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3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inor"/>
      </font>
      <numFmt numFmtId="0" formatCode="General"/>
      <fill>
        <patternFill patternType="solid">
          <fgColor indexed="6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35"/>
      <tableStyleElement type="headerRow" dxfId="34"/>
      <tableStyleElement type="firstRow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36"/>
</file>

<file path=xl/ctrlProps/ctrlProp2.xml><?xml version="1.0" encoding="utf-8"?>
<formControlPr xmlns="http://schemas.microsoft.com/office/spreadsheetml/2009/9/main" objectType="Spin" dx="16" fmlaLink="$C$2" max="3000" min="1904" page="10" val="2025"/>
</file>

<file path=xl/ctrlProps/ctrlProp3.xml><?xml version="1.0" encoding="utf-8"?>
<formControlPr xmlns="http://schemas.microsoft.com/office/spreadsheetml/2009/9/main" objectType="Spin" dx="16" fmlaLink="$E$2" max="12" min="1" page="10" val="9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4</xdr:row>
      <xdr:rowOff>161925</xdr:rowOff>
    </xdr:from>
    <xdr:to>
      <xdr:col>10</xdr:col>
      <xdr:colOff>1400175</xdr:colOff>
      <xdr:row>7</xdr:row>
      <xdr:rowOff>171450</xdr:rowOff>
    </xdr:to>
    <xdr:sp macro="[0]!Depivot" textlink="">
      <xdr:nvSpPr>
        <xdr:cNvPr id="2" name="Pijl: rechts 1">
          <a:extLst>
            <a:ext uri="{FF2B5EF4-FFF2-40B4-BE49-F238E27FC236}">
              <a16:creationId xmlns:a16="http://schemas.microsoft.com/office/drawing/2014/main" id="{6A1A276C-EB12-F2D9-FF58-94A46A288590}"/>
            </a:ext>
          </a:extLst>
        </xdr:cNvPr>
        <xdr:cNvSpPr/>
      </xdr:nvSpPr>
      <xdr:spPr>
        <a:xfrm>
          <a:off x="9115425" y="847725"/>
          <a:ext cx="1838325" cy="6953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76225" y="723899"/>
          <a:ext cx="395332" cy="41275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820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919.776459837965" createdVersion="8" refreshedVersion="8" minRefreshableVersion="3" recordCount="665" xr:uid="{0766A03C-85EB-4AD7-AA17-73060F5304D4}">
  <cacheSource type="worksheet">
    <worksheetSource name="Tabel3"/>
  </cacheSource>
  <cacheFields count="10">
    <cacheField name="Nom du cours" numFmtId="0">
      <sharedItems/>
    </cacheField>
    <cacheField name="Type" numFmtId="0">
      <sharedItems/>
    </cacheField>
    <cacheField name="jour" numFmtId="173">
      <sharedItems containsSemiMixedTypes="0" containsNonDate="0" containsDate="1" containsString="0" minDate="2025-09-01T00:00:00" maxDate="2025-12-13T00:00:00" count="93">
        <d v="2025-09-01T00:00:00"/>
        <d v="2025-09-02T00:00:00"/>
        <d v="2025-09-03T00:00:00"/>
        <d v="2025-09-04T00:00:00"/>
        <d v="2025-09-05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9T00:00:00"/>
        <d v="2025-10-30T00:00:00"/>
        <d v="2025-10-31T00:00:00"/>
        <d v="2025-11-01T00:00:00"/>
        <d v="2025-11-02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4T00:00:00"/>
        <d v="2025-11-15T00:00:00"/>
        <d v="2025-11-16T00:00:00"/>
        <d v="2025-11-17T00:00:00"/>
        <d v="2025-11-18T00:00:00"/>
        <d v="2025-11-21T00:00:00"/>
        <d v="2025-11-22T00:00:00"/>
        <d v="2025-11-23T00:00:00"/>
        <d v="2025-11-24T00:00:00"/>
        <d v="2025-11-28T00:00:00"/>
        <d v="2025-11-29T00:00:00"/>
        <d v="2025-11-30T00:00:00"/>
        <d v="2025-12-01T00:00:00"/>
        <d v="2025-12-02T00:00:00"/>
        <d v="2025-12-05T00:00:00"/>
        <d v="2025-12-06T00:00:00"/>
        <d v="2025-12-07T00:00:00"/>
        <d v="2025-12-08T00:00:00"/>
        <d v="2025-12-09T00:00:00"/>
        <d v="2025-09-06T00:00:00" u="1"/>
        <d v="2025-10-26T00:00:00" u="1"/>
        <d v="2025-10-28T00:00:00" u="1"/>
        <d v="2025-11-03T00:00:00" u="1"/>
        <d v="2025-11-12T00:00:00" u="1"/>
        <d v="2025-11-25T00:00:00" u="1"/>
        <d v="2025-12-12T00:00:00" u="1"/>
      </sharedItems>
    </cacheField>
    <cacheField name="duree" numFmtId="0">
      <sharedItems containsSemiMixedTypes="0" containsString="0" containsNumber="1" minValue="4.6499999999999995" maxValue="120"/>
    </cacheField>
    <cacheField name="delai" numFmtId="0">
      <sharedItems containsSemiMixedTypes="0" containsString="0" containsNumber="1" containsInteger="1" minValue="0" maxValue="30"/>
    </cacheField>
    <cacheField name="fin precedent" numFmtId="174">
      <sharedItems containsDate="1" containsMixedTypes="1" minDate="2025-09-01T08:32:00" maxDate="2025-11-12T14:48:00"/>
    </cacheField>
    <cacheField name="debut" numFmtId="174">
      <sharedItems containsSemiMixedTypes="0" containsNonDate="0" containsDate="1" containsString="0" minDate="2025-09-01T08:00:00" maxDate="2025-12-09T08:12:09"/>
    </cacheField>
    <cacheField name="fin" numFmtId="174">
      <sharedItems containsSemiMixedTypes="0" containsNonDate="0" containsDate="1" containsString="0" minDate="2025-09-01T08:32:00" maxDate="2025-12-09T08:28:21"/>
    </cacheField>
    <cacheField name="problème" numFmtId="172">
      <sharedItems containsSemiMixedTypes="0" containsString="0" containsNumber="1" containsInteger="1" minValue="0" maxValue="1"/>
    </cacheField>
    <cacheField name="trop tot" numFmtId="172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65">
  <r>
    <s v="Répercussion sociétales et empowerment "/>
    <s v="J0"/>
    <x v="0"/>
    <n v="32"/>
    <n v="0"/>
    <s v="-"/>
    <d v="2025-09-01T08:00:00"/>
    <d v="2025-09-01T08:32:00"/>
    <n v="0"/>
    <n v="0"/>
  </r>
  <r>
    <s v="épidémiologie descriptive"/>
    <s v="J0"/>
    <x v="1"/>
    <n v="51"/>
    <n v="0"/>
    <s v="-"/>
    <d v="2025-09-02T08:00:00"/>
    <d v="2025-09-02T08:51:00"/>
    <n v="0"/>
    <n v="0"/>
  </r>
  <r>
    <s v="Économie du système de santé"/>
    <s v="J0"/>
    <x v="1"/>
    <n v="79"/>
    <n v="0"/>
    <s v="-"/>
    <d v="2025-09-02T08:51:00"/>
    <d v="2025-09-02T10:10:00"/>
    <n v="0"/>
    <n v="0"/>
  </r>
  <r>
    <s v="Abdomen et pelvis 1"/>
    <s v="J0"/>
    <x v="1"/>
    <n v="92"/>
    <n v="0"/>
    <s v="-"/>
    <d v="2025-09-02T10:10:00"/>
    <d v="2025-09-02T11:42:00"/>
    <n v="0"/>
    <n v="0"/>
  </r>
  <r>
    <s v="Synthèse tampons, Diagramme de Davenport"/>
    <s v="J0"/>
    <x v="1"/>
    <n v="113"/>
    <n v="0"/>
    <s v="-"/>
    <d v="2025-09-02T11:42:00"/>
    <d v="2025-09-02T13:35:00"/>
    <n v="0"/>
    <n v="0"/>
  </r>
  <r>
    <s v="Répercussion sociétales et empowerment "/>
    <s v="J2"/>
    <x v="2"/>
    <n v="28.8"/>
    <n v="2"/>
    <d v="2025-09-01T08:32:00"/>
    <d v="2025-09-03T08:00:00"/>
    <d v="2025-09-03T08:28:48"/>
    <n v="0"/>
    <n v="0"/>
  </r>
  <r>
    <s v="Thermorégulation"/>
    <s v="J0"/>
    <x v="2"/>
    <n v="66"/>
    <n v="0"/>
    <s v="-"/>
    <d v="2025-09-03T08:28:48"/>
    <d v="2025-09-03T09:34:48"/>
    <n v="0"/>
    <n v="0"/>
  </r>
  <r>
    <s v="Potentiel électrochimique "/>
    <s v="J0"/>
    <x v="2"/>
    <n v="100"/>
    <n v="0"/>
    <s v="-"/>
    <d v="2025-09-03T09:34:48"/>
    <d v="2025-09-03T11:14:48"/>
    <n v="0"/>
    <n v="0"/>
  </r>
  <r>
    <s v="intro: mouvements"/>
    <s v="J0"/>
    <x v="2"/>
    <n v="105"/>
    <n v="0"/>
    <s v="-"/>
    <d v="2025-09-03T11:14:48"/>
    <d v="2025-09-03T12:59:48"/>
    <n v="0"/>
    <n v="0"/>
  </r>
  <r>
    <s v="épidémiologie descriptive"/>
    <s v="J2"/>
    <x v="3"/>
    <n v="45.9"/>
    <n v="2"/>
    <d v="2025-09-02T08:51:00"/>
    <d v="2025-09-04T08:00:00"/>
    <d v="2025-09-04T08:45:54"/>
    <n v="0"/>
    <n v="0"/>
  </r>
  <r>
    <s v="Économie du système de santé"/>
    <s v="J2"/>
    <x v="3"/>
    <n v="71.100000000000009"/>
    <n v="2"/>
    <d v="2025-09-02T10:10:00"/>
    <d v="2025-09-04T08:45:54"/>
    <d v="2025-09-04T09:57:00"/>
    <n v="0"/>
    <n v="0"/>
  </r>
  <r>
    <s v="Abdomen et pelvis 1"/>
    <s v="J2"/>
    <x v="3"/>
    <n v="82.8"/>
    <n v="2"/>
    <d v="2025-09-02T11:42:00"/>
    <d v="2025-09-04T09:57:00"/>
    <d v="2025-09-04T11:19:48"/>
    <n v="0"/>
    <n v="0"/>
  </r>
  <r>
    <s v="Synthèse tampons, Diagramme de Davenport"/>
    <s v="J2"/>
    <x v="3"/>
    <n v="101.7"/>
    <n v="2"/>
    <d v="2025-09-02T13:35:00"/>
    <d v="2025-09-04T11:19:48"/>
    <d v="2025-09-04T13:01:30"/>
    <n v="0"/>
    <n v="0"/>
  </r>
  <r>
    <s v="Thermorégulation"/>
    <s v="J2"/>
    <x v="4"/>
    <n v="59.4"/>
    <n v="2"/>
    <d v="2025-09-03T09:34:48"/>
    <d v="2025-09-05T08:00:00"/>
    <d v="2025-09-05T08:59:24"/>
    <n v="0"/>
    <n v="0"/>
  </r>
  <r>
    <s v="Potentiel électrochimique "/>
    <s v="J2"/>
    <x v="4"/>
    <n v="90"/>
    <n v="2"/>
    <d v="2025-09-03T11:14:48"/>
    <d v="2025-09-05T08:59:24"/>
    <d v="2025-09-05T10:29:24"/>
    <n v="0"/>
    <n v="0"/>
  </r>
  <r>
    <s v="intro: mouvements"/>
    <s v="J2"/>
    <x v="4"/>
    <n v="94.5"/>
    <n v="2"/>
    <d v="2025-09-03T12:59:48"/>
    <d v="2025-09-05T10:29:24"/>
    <d v="2025-09-05T12:03:54"/>
    <n v="0"/>
    <n v="0"/>
  </r>
  <r>
    <s v="Intervention rééducation part-1 "/>
    <s v="J0"/>
    <x v="4"/>
    <n v="63"/>
    <n v="0"/>
    <s v="-"/>
    <d v="2025-09-05T12:03:54"/>
    <d v="2025-09-05T13:06:54"/>
    <n v="0"/>
    <n v="0"/>
  </r>
  <r>
    <s v="Répercussion sociétales et empowerment "/>
    <s v="J6"/>
    <x v="5"/>
    <n v="24"/>
    <n v="4"/>
    <d v="2025-09-03T08:28:48"/>
    <d v="2025-09-07T08:00:00"/>
    <d v="2025-09-07T08:24:00"/>
    <n v="0"/>
    <n v="0"/>
  </r>
  <r>
    <s v="Intervention rééducation part-1 "/>
    <s v="J2"/>
    <x v="5"/>
    <n v="56.7"/>
    <n v="2"/>
    <d v="2025-09-05T13:06:54"/>
    <d v="2025-09-07T08:24:00"/>
    <d v="2025-09-07T09:20:42"/>
    <n v="0"/>
    <n v="0"/>
  </r>
  <r>
    <s v="épidémiologie descriptive"/>
    <s v="J6"/>
    <x v="6"/>
    <n v="38.25"/>
    <n v="4"/>
    <d v="2025-09-04T08:45:54"/>
    <d v="2025-09-08T08:00:00"/>
    <d v="2025-09-08T08:38:15"/>
    <n v="0"/>
    <n v="0"/>
  </r>
  <r>
    <s v="Économie du système de santé"/>
    <s v="J6"/>
    <x v="6"/>
    <n v="59.25"/>
    <n v="4"/>
    <d v="2025-09-04T09:57:00"/>
    <d v="2025-09-08T08:38:15"/>
    <d v="2025-09-08T09:37:30"/>
    <n v="0"/>
    <n v="0"/>
  </r>
  <r>
    <s v="Abdomen et pelvis 1"/>
    <s v="J6"/>
    <x v="6"/>
    <n v="69"/>
    <n v="4"/>
    <d v="2025-09-04T11:19:48"/>
    <d v="2025-09-08T09:37:30"/>
    <d v="2025-09-08T10:46:30"/>
    <n v="0"/>
    <n v="0"/>
  </r>
  <r>
    <s v="Synthèse tampons, Diagramme de Davenport"/>
    <s v="J6"/>
    <x v="6"/>
    <n v="84.75"/>
    <n v="4"/>
    <d v="2025-09-04T13:01:30"/>
    <d v="2025-09-08T10:46:30"/>
    <d v="2025-09-08T12:11:15"/>
    <n v="0"/>
    <n v="0"/>
  </r>
  <r>
    <s v="Législation handicap "/>
    <s v="J0"/>
    <x v="6"/>
    <n v="69"/>
    <n v="0"/>
    <s v="-"/>
    <d v="2025-09-08T12:11:15"/>
    <d v="2025-09-08T13:20:15"/>
    <n v="0"/>
    <n v="0"/>
  </r>
  <r>
    <s v="Dérivés d'acides carboxylique- AG "/>
    <s v="J0"/>
    <x v="6"/>
    <n v="78"/>
    <n v="0"/>
    <s v="-"/>
    <d v="2025-09-08T13:20:15"/>
    <d v="2025-09-08T14:38:15"/>
    <n v="0"/>
    <n v="0"/>
  </r>
  <r>
    <s v="Intervention rééducation part-6"/>
    <s v="J0"/>
    <x v="6"/>
    <n v="83"/>
    <n v="0"/>
    <s v="-"/>
    <d v="2025-09-08T14:38:15"/>
    <d v="2025-09-08T16:01:15"/>
    <n v="0"/>
    <n v="0"/>
  </r>
  <r>
    <s v="Abdomen et pelvis 2 "/>
    <s v="J0"/>
    <x v="6"/>
    <n v="85"/>
    <n v="0"/>
    <s v="-"/>
    <d v="2025-09-08T16:01:15"/>
    <d v="2025-09-08T17:26:15"/>
    <n v="0"/>
    <n v="0"/>
  </r>
  <r>
    <s v="Thorax"/>
    <s v="J0"/>
    <x v="6"/>
    <n v="93"/>
    <n v="0"/>
    <s v="-"/>
    <d v="2025-09-08T17:26:15"/>
    <d v="2025-09-09T08:59:15"/>
    <n v="1"/>
    <n v="0"/>
  </r>
  <r>
    <s v="Propriétés électroniques des liaisons chimiques"/>
    <s v="J0"/>
    <x v="6"/>
    <n v="101"/>
    <n v="0"/>
    <s v="-"/>
    <d v="2025-09-09T08:59:15"/>
    <d v="2025-09-09T10:40:15"/>
    <n v="1"/>
    <n v="0"/>
  </r>
  <r>
    <s v="intro: référence et particularité"/>
    <s v="J0"/>
    <x v="6"/>
    <n v="106"/>
    <n v="0"/>
    <s v="-"/>
    <d v="2025-09-09T10:40:15"/>
    <d v="2025-09-09T12:26:15"/>
    <n v="1"/>
    <n v="0"/>
  </r>
  <r>
    <s v="Thermorégulation"/>
    <s v="J6"/>
    <x v="7"/>
    <n v="49.5"/>
    <n v="4"/>
    <d v="2025-09-05T08:59:24"/>
    <d v="2025-09-09T12:26:15"/>
    <d v="2025-09-09T13:15:45"/>
    <n v="0"/>
    <n v="0"/>
  </r>
  <r>
    <s v="Potentiel électrochimique "/>
    <s v="J6"/>
    <x v="7"/>
    <n v="75"/>
    <n v="4"/>
    <d v="2025-09-05T10:29:24"/>
    <d v="2025-09-09T13:15:45"/>
    <d v="2025-09-09T14:30:45"/>
    <n v="0"/>
    <n v="0"/>
  </r>
  <r>
    <s v="intro: mouvements"/>
    <s v="J6"/>
    <x v="7"/>
    <n v="78.75"/>
    <n v="4"/>
    <d v="2025-09-05T12:03:54"/>
    <d v="2025-09-09T14:30:45"/>
    <d v="2025-09-09T15:49:30"/>
    <n v="0"/>
    <n v="0"/>
  </r>
  <r>
    <s v="Thermodynamique "/>
    <s v="J0"/>
    <x v="7"/>
    <n v="70"/>
    <n v="0"/>
    <s v="-"/>
    <d v="2025-09-09T15:49:30"/>
    <d v="2025-09-09T16:59:30"/>
    <n v="0"/>
    <n v="0"/>
  </r>
  <r>
    <s v="Intervention rééducation part-3"/>
    <s v="J0"/>
    <x v="7"/>
    <n v="108"/>
    <n v="0"/>
    <s v="-"/>
    <d v="2025-09-09T16:59:30"/>
    <d v="2025-09-10T08:47:30"/>
    <n v="1"/>
    <n v="0"/>
  </r>
  <r>
    <s v="Protéines "/>
    <s v="J0"/>
    <x v="7"/>
    <n v="111"/>
    <n v="0"/>
    <s v="-"/>
    <d v="2025-09-10T08:47:30"/>
    <d v="2025-09-10T10:38:30"/>
    <n v="1"/>
    <n v="0"/>
  </r>
  <r>
    <s v="Législation handicap "/>
    <s v="J2"/>
    <x v="8"/>
    <n v="62.1"/>
    <n v="2"/>
    <d v="2025-09-08T13:20:15"/>
    <d v="2025-09-10T10:38:30"/>
    <d v="2025-09-10T11:40:36"/>
    <n v="0"/>
    <n v="0"/>
  </r>
  <r>
    <s v="Dérivés d'acides carboxylique- AG "/>
    <s v="J2"/>
    <x v="8"/>
    <n v="70.2"/>
    <n v="2"/>
    <d v="2025-09-08T14:38:15"/>
    <d v="2025-09-10T11:40:36"/>
    <d v="2025-09-10T12:50:48"/>
    <n v="0"/>
    <n v="0"/>
  </r>
  <r>
    <s v="Intervention rééducation part-6"/>
    <s v="J2"/>
    <x v="8"/>
    <n v="74.7"/>
    <n v="2"/>
    <d v="2025-09-08T16:01:15"/>
    <d v="2025-09-10T12:50:48"/>
    <d v="2025-09-10T14:05:30"/>
    <n v="0"/>
    <n v="0"/>
  </r>
  <r>
    <s v="Abdomen et pelvis 2 "/>
    <s v="J2"/>
    <x v="8"/>
    <n v="76.5"/>
    <n v="2"/>
    <d v="2025-09-08T17:26:15"/>
    <d v="2025-09-10T14:05:30"/>
    <d v="2025-09-10T15:22:00"/>
    <n v="0"/>
    <n v="0"/>
  </r>
  <r>
    <s v="Thorax"/>
    <s v="J2"/>
    <x v="8"/>
    <n v="83.7"/>
    <n v="2"/>
    <d v="2025-09-09T08:59:15"/>
    <d v="2025-09-10T15:22:00"/>
    <d v="2025-09-10T16:45:42"/>
    <n v="0"/>
    <n v="1"/>
  </r>
  <r>
    <s v="Propriétés électroniques des liaisons chimiques"/>
    <s v="J2"/>
    <x v="8"/>
    <n v="90.9"/>
    <n v="2"/>
    <d v="2025-09-09T10:40:15"/>
    <d v="2025-09-10T16:45:42"/>
    <d v="2025-09-11T08:16:36"/>
    <n v="1"/>
    <n v="1"/>
  </r>
  <r>
    <s v="intro: référence et particularité"/>
    <s v="J2"/>
    <x v="8"/>
    <n v="95.4"/>
    <n v="2"/>
    <d v="2025-09-09T12:26:15"/>
    <d v="2025-09-11T08:16:36"/>
    <d v="2025-09-11T09:52:00"/>
    <n v="1"/>
    <n v="0"/>
  </r>
  <r>
    <s v="Intervention rééducation part-1 "/>
    <s v="J6"/>
    <x v="9"/>
    <n v="47.25"/>
    <n v="4"/>
    <d v="2025-09-07T09:20:42"/>
    <d v="2025-09-11T09:52:00"/>
    <d v="2025-09-11T10:39:15"/>
    <n v="0"/>
    <n v="0"/>
  </r>
  <r>
    <s v="Thermodynamique "/>
    <s v="J2"/>
    <x v="9"/>
    <n v="63"/>
    <n v="2"/>
    <d v="2025-09-09T16:59:30"/>
    <d v="2025-09-11T10:39:15"/>
    <d v="2025-09-11T11:42:15"/>
    <n v="0"/>
    <n v="0"/>
  </r>
  <r>
    <s v="Intervention rééducation part-3"/>
    <s v="J2"/>
    <x v="9"/>
    <n v="97.2"/>
    <n v="2"/>
    <d v="2025-09-10T08:47:30"/>
    <d v="2025-09-11T11:42:15"/>
    <d v="2025-09-11T13:19:27"/>
    <n v="0"/>
    <n v="1"/>
  </r>
  <r>
    <s v="Protéines "/>
    <s v="J2"/>
    <x v="9"/>
    <n v="99.9"/>
    <n v="2"/>
    <d v="2025-09-10T10:38:30"/>
    <d v="2025-09-11T13:19:27"/>
    <d v="2025-09-11T14:59:21"/>
    <n v="0"/>
    <n v="1"/>
  </r>
  <r>
    <s v="Répercussion sociétales et empowerment "/>
    <s v="J10"/>
    <x v="9"/>
    <n v="19.2"/>
    <n v="4"/>
    <d v="2025-09-07T08:24:00"/>
    <d v="2025-09-11T14:59:21"/>
    <d v="2025-09-11T15:18:33"/>
    <n v="0"/>
    <n v="0"/>
  </r>
  <r>
    <s v="Intervention rééducation part-4"/>
    <s v="J0"/>
    <x v="9"/>
    <n v="54"/>
    <n v="0"/>
    <s v="-"/>
    <d v="2025-09-11T15:18:33"/>
    <d v="2025-09-11T16:12:33"/>
    <n v="0"/>
    <n v="0"/>
  </r>
  <r>
    <s v="Elément introductif en santé publique"/>
    <s v="J0"/>
    <x v="9"/>
    <n v="63"/>
    <n v="0"/>
    <s v="-"/>
    <d v="2025-09-11T16:12:33"/>
    <d v="2025-09-11T17:15:33"/>
    <n v="0"/>
    <n v="0"/>
  </r>
  <r>
    <s v="épidémiologie descriptive"/>
    <s v="J10"/>
    <x v="10"/>
    <n v="30.599999999999998"/>
    <n v="4"/>
    <d v="2025-09-08T08:38:15"/>
    <d v="2025-09-12T08:00:00"/>
    <d v="2025-09-12T08:30:36"/>
    <n v="0"/>
    <n v="0"/>
  </r>
  <r>
    <s v="Économie du système de santé"/>
    <s v="J10"/>
    <x v="10"/>
    <n v="47.4"/>
    <n v="4"/>
    <d v="2025-09-08T09:37:30"/>
    <d v="2025-09-12T08:30:36"/>
    <d v="2025-09-12T09:18:00"/>
    <n v="0"/>
    <n v="0"/>
  </r>
  <r>
    <s v="Abdomen et pelvis 1"/>
    <s v="J10"/>
    <x v="10"/>
    <n v="55.199999999999996"/>
    <n v="4"/>
    <d v="2025-09-08T10:46:30"/>
    <d v="2025-09-12T09:18:00"/>
    <d v="2025-09-12T10:13:12"/>
    <n v="0"/>
    <n v="0"/>
  </r>
  <r>
    <s v="Synthèse tampons, Diagramme de Davenport"/>
    <s v="J10"/>
    <x v="10"/>
    <n v="67.8"/>
    <n v="4"/>
    <d v="2025-09-08T12:11:15"/>
    <d v="2025-09-12T10:13:12"/>
    <d v="2025-09-12T11:21:00"/>
    <n v="0"/>
    <n v="0"/>
  </r>
  <r>
    <s v="Membre inférieur 3"/>
    <s v="J0"/>
    <x v="10"/>
    <n v="45"/>
    <n v="0"/>
    <s v="-"/>
    <d v="2025-09-12T11:21:00"/>
    <d v="2025-09-12T12:06:00"/>
    <n v="0"/>
    <n v="0"/>
  </r>
  <r>
    <s v="Outils mathématique "/>
    <s v="J0"/>
    <x v="10"/>
    <n v="64"/>
    <n v="0"/>
    <s v="-"/>
    <d v="2025-09-12T12:06:00"/>
    <d v="2025-09-12T13:10:00"/>
    <n v="0"/>
    <n v="0"/>
  </r>
  <r>
    <s v="Mutations "/>
    <s v="J0"/>
    <x v="10"/>
    <n v="87"/>
    <n v="0"/>
    <s v="-"/>
    <d v="2025-09-12T13:10:00"/>
    <d v="2025-09-12T14:37:00"/>
    <n v="0"/>
    <n v="0"/>
  </r>
  <r>
    <s v="La composition des membranes cellulaire"/>
    <s v="J0"/>
    <x v="10"/>
    <n v="92"/>
    <n v="0"/>
    <s v="-"/>
    <d v="2025-09-12T14:37:00"/>
    <d v="2025-09-12T16:09:00"/>
    <n v="0"/>
    <n v="0"/>
  </r>
  <r>
    <s v="Intervention rééducation part-4"/>
    <s v="J2"/>
    <x v="11"/>
    <n v="48.6"/>
    <n v="2"/>
    <d v="2025-09-11T16:12:33"/>
    <d v="2025-09-13T08:00:00"/>
    <d v="2025-09-13T08:48:36"/>
    <n v="0"/>
    <n v="0"/>
  </r>
  <r>
    <s v="Elément introductif en santé publique"/>
    <s v="J2"/>
    <x v="11"/>
    <n v="56.7"/>
    <n v="2"/>
    <d v="2025-09-11T17:15:33"/>
    <d v="2025-09-13T08:48:36"/>
    <d v="2025-09-13T09:45:18"/>
    <n v="0"/>
    <n v="0"/>
  </r>
  <r>
    <s v="Thermorégulation"/>
    <s v="J10"/>
    <x v="11"/>
    <n v="39.6"/>
    <n v="4"/>
    <d v="2025-09-09T13:15:45"/>
    <d v="2025-09-13T09:45:18"/>
    <d v="2025-09-13T10:24:54"/>
    <n v="0"/>
    <n v="0"/>
  </r>
  <r>
    <s v="Potentiel électrochimique "/>
    <s v="J10"/>
    <x v="11"/>
    <n v="60"/>
    <n v="4"/>
    <d v="2025-09-09T14:30:45"/>
    <d v="2025-09-13T10:24:54"/>
    <d v="2025-09-13T11:24:54"/>
    <n v="0"/>
    <n v="0"/>
  </r>
  <r>
    <s v="intro: mouvements"/>
    <s v="J10"/>
    <x v="11"/>
    <n v="63"/>
    <n v="4"/>
    <d v="2025-09-09T15:49:30"/>
    <d v="2025-09-13T11:24:54"/>
    <d v="2025-09-13T12:27:54"/>
    <n v="0"/>
    <n v="0"/>
  </r>
  <r>
    <s v="Législation handicap "/>
    <s v="J6"/>
    <x v="12"/>
    <n v="51.75"/>
    <n v="4"/>
    <d v="2025-09-10T11:40:36"/>
    <d v="2025-09-14T08:00:00"/>
    <d v="2025-09-14T08:51:45"/>
    <n v="0"/>
    <n v="0"/>
  </r>
  <r>
    <s v="Dérivés d'acides carboxylique- AG "/>
    <s v="J6"/>
    <x v="12"/>
    <n v="58.5"/>
    <n v="4"/>
    <d v="2025-09-10T12:50:48"/>
    <d v="2025-09-14T08:51:45"/>
    <d v="2025-09-14T09:50:15"/>
    <n v="0"/>
    <n v="0"/>
  </r>
  <r>
    <s v="Intervention rééducation part-6"/>
    <s v="J6"/>
    <x v="12"/>
    <n v="62.25"/>
    <n v="4"/>
    <d v="2025-09-10T14:05:30"/>
    <d v="2025-09-14T09:50:15"/>
    <d v="2025-09-14T10:52:30"/>
    <n v="0"/>
    <n v="0"/>
  </r>
  <r>
    <s v="Abdomen et pelvis 2 "/>
    <s v="J6"/>
    <x v="12"/>
    <n v="63.75"/>
    <n v="4"/>
    <d v="2025-09-10T15:22:00"/>
    <d v="2025-09-14T10:52:30"/>
    <d v="2025-09-14T11:56:15"/>
    <n v="0"/>
    <n v="0"/>
  </r>
  <r>
    <s v="Thorax"/>
    <s v="J6"/>
    <x v="12"/>
    <n v="69.75"/>
    <n v="4"/>
    <d v="2025-09-10T16:45:42"/>
    <d v="2025-09-14T11:56:15"/>
    <d v="2025-09-14T13:06:00"/>
    <n v="0"/>
    <n v="0"/>
  </r>
  <r>
    <s v="Propriétés électroniques des liaisons chimiques"/>
    <s v="J6"/>
    <x v="12"/>
    <n v="75.75"/>
    <n v="4"/>
    <d v="2025-09-11T08:16:36"/>
    <d v="2025-09-14T13:06:00"/>
    <d v="2025-09-14T14:21:45"/>
    <n v="0"/>
    <n v="1"/>
  </r>
  <r>
    <s v="intro: référence et particularité"/>
    <s v="J6"/>
    <x v="12"/>
    <n v="79.5"/>
    <n v="4"/>
    <d v="2025-09-11T09:52:00"/>
    <d v="2025-09-14T14:21:45"/>
    <d v="2025-09-14T15:41:15"/>
    <n v="0"/>
    <n v="1"/>
  </r>
  <r>
    <s v="Membre inférieur 3"/>
    <s v="J2"/>
    <x v="12"/>
    <n v="40.5"/>
    <n v="2"/>
    <d v="2025-09-12T12:06:00"/>
    <d v="2025-09-14T15:41:15"/>
    <d v="2025-09-14T16:21:45"/>
    <n v="0"/>
    <n v="0"/>
  </r>
  <r>
    <s v="Outils mathématique "/>
    <s v="J2"/>
    <x v="12"/>
    <n v="57.6"/>
    <n v="2"/>
    <d v="2025-09-12T13:10:00"/>
    <d v="2025-09-14T16:21:45"/>
    <d v="2025-09-14T17:19:21"/>
    <n v="0"/>
    <n v="0"/>
  </r>
  <r>
    <s v="Mutations "/>
    <s v="J2"/>
    <x v="12"/>
    <n v="78.3"/>
    <n v="2"/>
    <d v="2025-09-12T14:37:00"/>
    <d v="2025-09-14T17:19:21"/>
    <d v="2025-09-15T08:37:39"/>
    <n v="1"/>
    <n v="0"/>
  </r>
  <r>
    <s v="La composition des membranes cellulaire"/>
    <s v="J2"/>
    <x v="12"/>
    <n v="82.8"/>
    <n v="2"/>
    <d v="2025-09-12T16:09:00"/>
    <d v="2025-09-15T08:37:39"/>
    <d v="2025-09-15T10:00:27"/>
    <n v="1"/>
    <n v="0"/>
  </r>
  <r>
    <s v="Thermodynamique "/>
    <s v="J6"/>
    <x v="13"/>
    <n v="52.5"/>
    <n v="4"/>
    <d v="2025-09-11T11:42:15"/>
    <d v="2025-09-15T10:00:27"/>
    <d v="2025-09-15T10:52:57"/>
    <n v="0"/>
    <n v="0"/>
  </r>
  <r>
    <s v="Intervention rééducation part-3"/>
    <s v="J6"/>
    <x v="13"/>
    <n v="81"/>
    <n v="4"/>
    <d v="2025-09-11T13:19:27"/>
    <d v="2025-09-15T10:52:57"/>
    <d v="2025-09-15T12:13:57"/>
    <n v="0"/>
    <n v="0"/>
  </r>
  <r>
    <s v="Protéines "/>
    <s v="J6"/>
    <x v="13"/>
    <n v="83.25"/>
    <n v="4"/>
    <d v="2025-09-11T14:59:21"/>
    <d v="2025-09-15T12:13:57"/>
    <d v="2025-09-15T13:37:12"/>
    <n v="0"/>
    <n v="0"/>
  </r>
  <r>
    <s v="Intervention rééducation part-1 "/>
    <s v="J10"/>
    <x v="13"/>
    <n v="37.799999999999997"/>
    <n v="4"/>
    <d v="2025-09-11T10:39:15"/>
    <d v="2025-09-15T13:37:12"/>
    <d v="2025-09-15T14:15:00"/>
    <n v="0"/>
    <n v="0"/>
  </r>
  <r>
    <s v="La discipline anthropologique "/>
    <s v="J0"/>
    <x v="13"/>
    <n v="96"/>
    <n v="0"/>
    <s v="-"/>
    <d v="2025-09-15T14:15:00"/>
    <d v="2025-09-15T15:51:00"/>
    <n v="0"/>
    <n v="0"/>
  </r>
  <r>
    <s v="intro: tissus"/>
    <s v="J0"/>
    <x v="13"/>
    <n v="113"/>
    <n v="0"/>
    <s v="-"/>
    <d v="2025-09-15T15:51:00"/>
    <d v="2025-09-15T17:44:00"/>
    <n v="0"/>
    <n v="0"/>
  </r>
  <r>
    <s v="Répercussion sociétales et empowerment "/>
    <s v="J15"/>
    <x v="14"/>
    <n v="14.4"/>
    <n v="5"/>
    <d v="2025-09-11T15:18:33"/>
    <d v="2025-09-16T08:00:00"/>
    <d v="2025-09-16T08:14:24"/>
    <n v="0"/>
    <n v="0"/>
  </r>
  <r>
    <s v="Représentations sociales du handicap "/>
    <s v="J0"/>
    <x v="14"/>
    <n v="36"/>
    <n v="0"/>
    <s v="-"/>
    <d v="2025-09-16T08:14:24"/>
    <d v="2025-09-16T08:50:24"/>
    <n v="0"/>
    <n v="0"/>
  </r>
  <r>
    <s v="intro : généralités"/>
    <s v="J0"/>
    <x v="14"/>
    <n v="45"/>
    <n v="0"/>
    <s v="-"/>
    <d v="2025-09-16T08:50:24"/>
    <d v="2025-09-16T09:35:24"/>
    <n v="0"/>
    <n v="0"/>
  </r>
  <r>
    <s v="Division cellulaire"/>
    <s v="J0"/>
    <x v="14"/>
    <n v="48"/>
    <n v="0"/>
    <s v="-"/>
    <d v="2025-09-16T09:35:24"/>
    <d v="2025-09-16T10:23:24"/>
    <n v="0"/>
    <n v="0"/>
  </r>
  <r>
    <s v="Transcription et régulation "/>
    <s v="J0"/>
    <x v="14"/>
    <n v="49"/>
    <n v="0"/>
    <s v="-"/>
    <d v="2025-09-16T10:23:24"/>
    <d v="2025-09-16T11:12:24"/>
    <n v="0"/>
    <n v="0"/>
  </r>
  <r>
    <s v="Membre inférieur 2 "/>
    <s v="J0"/>
    <x v="14"/>
    <n v="60"/>
    <n v="0"/>
    <s v="-"/>
    <d v="2025-09-16T11:12:24"/>
    <d v="2025-09-16T12:12:24"/>
    <n v="0"/>
    <n v="0"/>
  </r>
  <r>
    <s v="Intervention rééducation part-4"/>
    <s v="J6"/>
    <x v="15"/>
    <n v="40.5"/>
    <n v="4"/>
    <d v="2025-09-13T08:48:36"/>
    <d v="2025-09-17T08:00:00"/>
    <d v="2025-09-17T08:40:30"/>
    <n v="0"/>
    <n v="0"/>
  </r>
  <r>
    <s v="Elément introductif en santé publique"/>
    <s v="J6"/>
    <x v="15"/>
    <n v="47.25"/>
    <n v="4"/>
    <d v="2025-09-13T09:45:18"/>
    <d v="2025-09-17T08:40:30"/>
    <d v="2025-09-17T09:27:45"/>
    <n v="0"/>
    <n v="0"/>
  </r>
  <r>
    <s v="La discipline anthropologique "/>
    <s v="J2"/>
    <x v="15"/>
    <n v="86.4"/>
    <n v="2"/>
    <d v="2025-09-15T15:51:00"/>
    <d v="2025-09-17T09:27:45"/>
    <d v="2025-09-17T10:54:09"/>
    <n v="0"/>
    <n v="0"/>
  </r>
  <r>
    <s v="intro: tissus"/>
    <s v="J2"/>
    <x v="15"/>
    <n v="101.7"/>
    <n v="2"/>
    <d v="2025-09-15T17:44:00"/>
    <d v="2025-09-17T10:54:09"/>
    <d v="2025-09-17T12:35:51"/>
    <n v="0"/>
    <n v="0"/>
  </r>
  <r>
    <s v="épidémiologie descriptive"/>
    <s v="J15"/>
    <x v="15"/>
    <n v="22.95"/>
    <n v="5"/>
    <d v="2025-09-12T08:30:36"/>
    <d v="2025-09-17T12:35:51"/>
    <d v="2025-09-17T12:58:48"/>
    <n v="0"/>
    <n v="0"/>
  </r>
  <r>
    <s v="Économie du système de santé"/>
    <s v="J15"/>
    <x v="15"/>
    <n v="35.550000000000004"/>
    <n v="5"/>
    <d v="2025-09-12T09:18:00"/>
    <d v="2025-09-17T12:58:48"/>
    <d v="2025-09-17T13:34:21"/>
    <n v="0"/>
    <n v="0"/>
  </r>
  <r>
    <s v="Abdomen et pelvis 1"/>
    <s v="J15"/>
    <x v="15"/>
    <n v="41.4"/>
    <n v="5"/>
    <d v="2025-09-12T10:13:12"/>
    <d v="2025-09-17T13:34:21"/>
    <d v="2025-09-17T14:15:45"/>
    <n v="0"/>
    <n v="0"/>
  </r>
  <r>
    <s v="Synthèse tampons, Diagramme de Davenport"/>
    <s v="J15"/>
    <x v="15"/>
    <n v="50.85"/>
    <n v="5"/>
    <d v="2025-09-12T11:21:00"/>
    <d v="2025-09-17T14:15:45"/>
    <d v="2025-09-17T15:06:36"/>
    <n v="0"/>
    <n v="0"/>
  </r>
  <r>
    <s v="États  de la matière et leur caractérisation "/>
    <s v="J0"/>
    <x v="15"/>
    <n v="90"/>
    <n v="0"/>
    <s v="-"/>
    <d v="2025-09-17T15:06:36"/>
    <d v="2025-09-17T16:36:36"/>
    <n v="0"/>
    <n v="0"/>
  </r>
  <r>
    <s v="Interaction rayonnement-Matière "/>
    <s v="J0"/>
    <x v="15"/>
    <n v="112"/>
    <n v="0"/>
    <s v="-"/>
    <d v="2025-09-17T16:36:36"/>
    <d v="2025-09-18T08:28:36"/>
    <n v="1"/>
    <n v="0"/>
  </r>
  <r>
    <s v="essai thérapeutique "/>
    <s v="J0"/>
    <x v="15"/>
    <n v="113"/>
    <n v="0"/>
    <s v="-"/>
    <d v="2025-09-18T08:28:36"/>
    <d v="2025-09-18T10:21:36"/>
    <n v="1"/>
    <n v="0"/>
  </r>
  <r>
    <s v="Les très basses fréquences du spectre électromagnétique "/>
    <s v="J0"/>
    <x v="15"/>
    <n v="120"/>
    <n v="0"/>
    <s v="-"/>
    <d v="2025-09-18T10:21:36"/>
    <d v="2025-09-18T12:21:36"/>
    <n v="1"/>
    <n v="0"/>
  </r>
  <r>
    <s v="Membre inférieur 3"/>
    <s v="J6"/>
    <x v="16"/>
    <n v="33.75"/>
    <n v="4"/>
    <d v="2025-09-14T16:21:45"/>
    <d v="2025-09-18T12:21:36"/>
    <d v="2025-09-18T12:55:21"/>
    <n v="0"/>
    <n v="0"/>
  </r>
  <r>
    <s v="Outils mathématique "/>
    <s v="J6"/>
    <x v="16"/>
    <n v="48"/>
    <n v="4"/>
    <d v="2025-09-14T17:19:21"/>
    <d v="2025-09-18T12:55:21"/>
    <d v="2025-09-18T13:43:21"/>
    <n v="0"/>
    <n v="0"/>
  </r>
  <r>
    <s v="Mutations "/>
    <s v="J6"/>
    <x v="16"/>
    <n v="65.25"/>
    <n v="4"/>
    <d v="2025-09-15T08:37:39"/>
    <d v="2025-09-18T13:43:21"/>
    <d v="2025-09-18T14:48:36"/>
    <n v="0"/>
    <n v="1"/>
  </r>
  <r>
    <s v="La composition des membranes cellulaire"/>
    <s v="J6"/>
    <x v="16"/>
    <n v="69"/>
    <n v="4"/>
    <d v="2025-09-15T10:00:27"/>
    <d v="2025-09-18T14:48:36"/>
    <d v="2025-09-18T15:57:36"/>
    <n v="0"/>
    <n v="1"/>
  </r>
  <r>
    <s v="Représentations sociales du handicap "/>
    <s v="J2"/>
    <x v="16"/>
    <n v="32.4"/>
    <n v="2"/>
    <d v="2025-09-16T08:50:24"/>
    <d v="2025-09-18T15:57:36"/>
    <d v="2025-09-18T16:30:00"/>
    <n v="0"/>
    <n v="0"/>
  </r>
  <r>
    <s v="intro : généralités"/>
    <s v="J2"/>
    <x v="16"/>
    <n v="40.5"/>
    <n v="2"/>
    <d v="2025-09-16T09:35:24"/>
    <d v="2025-09-18T16:30:00"/>
    <d v="2025-09-18T17:10:30"/>
    <n v="0"/>
    <n v="0"/>
  </r>
  <r>
    <s v="Division cellulaire"/>
    <s v="J2"/>
    <x v="16"/>
    <n v="43.2"/>
    <n v="2"/>
    <d v="2025-09-16T10:23:24"/>
    <d v="2025-09-18T17:10:30"/>
    <d v="2025-09-18T17:53:42"/>
    <n v="0"/>
    <n v="0"/>
  </r>
  <r>
    <s v="Transcription et régulation "/>
    <s v="J2"/>
    <x v="16"/>
    <n v="44.1"/>
    <n v="2"/>
    <d v="2025-09-16T11:12:24"/>
    <d v="2025-09-18T17:53:42"/>
    <d v="2025-09-19T08:37:48"/>
    <n v="1"/>
    <n v="0"/>
  </r>
  <r>
    <s v="Membre inférieur 2 "/>
    <s v="J2"/>
    <x v="16"/>
    <n v="54"/>
    <n v="2"/>
    <d v="2025-09-16T12:12:24"/>
    <d v="2025-09-19T08:37:48"/>
    <d v="2025-09-19T09:31:48"/>
    <n v="1"/>
    <n v="0"/>
  </r>
  <r>
    <s v="Thermorégulation"/>
    <s v="J15"/>
    <x v="16"/>
    <n v="29.7"/>
    <n v="5"/>
    <d v="2025-09-13T10:24:54"/>
    <d v="2025-09-19T09:31:48"/>
    <d v="2025-09-19T10:01:30"/>
    <n v="1"/>
    <n v="0"/>
  </r>
  <r>
    <s v="Potentiel électrochimique "/>
    <s v="J15"/>
    <x v="16"/>
    <n v="45"/>
    <n v="5"/>
    <d v="2025-09-13T11:24:54"/>
    <d v="2025-09-19T10:01:30"/>
    <d v="2025-09-19T10:46:30"/>
    <n v="1"/>
    <n v="0"/>
  </r>
  <r>
    <s v="intro: mouvements"/>
    <s v="J15"/>
    <x v="16"/>
    <n v="47.25"/>
    <n v="5"/>
    <d v="2025-09-13T12:27:54"/>
    <d v="2025-09-19T10:46:30"/>
    <d v="2025-09-19T11:33:45"/>
    <n v="1"/>
    <n v="0"/>
  </r>
  <r>
    <s v="Législation handicap "/>
    <s v="J10"/>
    <x v="16"/>
    <n v="41.4"/>
    <n v="4"/>
    <d v="2025-09-14T08:51:45"/>
    <d v="2025-09-19T11:33:45"/>
    <d v="2025-09-19T12:15:09"/>
    <n v="1"/>
    <n v="0"/>
  </r>
  <r>
    <s v="Dérivés d'acides carboxylique- AG "/>
    <s v="J10"/>
    <x v="16"/>
    <n v="46.8"/>
    <n v="4"/>
    <d v="2025-09-14T09:50:15"/>
    <d v="2025-09-19T12:15:09"/>
    <d v="2025-09-19T13:01:57"/>
    <n v="1"/>
    <n v="0"/>
  </r>
  <r>
    <s v="Intervention rééducation part-6"/>
    <s v="J10"/>
    <x v="16"/>
    <n v="49.8"/>
    <n v="4"/>
    <d v="2025-09-14T10:52:30"/>
    <d v="2025-09-19T13:01:57"/>
    <d v="2025-09-19T13:51:45"/>
    <n v="1"/>
    <n v="0"/>
  </r>
  <r>
    <s v="Abdomen et pelvis 2 "/>
    <s v="J10"/>
    <x v="16"/>
    <n v="51"/>
    <n v="4"/>
    <d v="2025-09-14T11:56:15"/>
    <d v="2025-09-19T13:51:45"/>
    <d v="2025-09-19T14:42:45"/>
    <n v="1"/>
    <n v="0"/>
  </r>
  <r>
    <s v="Thorax"/>
    <s v="J10"/>
    <x v="16"/>
    <n v="55.8"/>
    <n v="4"/>
    <d v="2025-09-14T13:06:00"/>
    <d v="2025-09-19T14:42:45"/>
    <d v="2025-09-19T15:38:33"/>
    <n v="1"/>
    <n v="0"/>
  </r>
  <r>
    <s v="Propriétés électroniques des liaisons chimiques"/>
    <s v="J10"/>
    <x v="16"/>
    <n v="60.599999999999994"/>
    <n v="4"/>
    <d v="2025-09-14T14:21:45"/>
    <d v="2025-09-19T15:38:33"/>
    <d v="2025-09-19T16:39:09"/>
    <n v="1"/>
    <n v="0"/>
  </r>
  <r>
    <s v="intro: référence et particularité"/>
    <s v="J10"/>
    <x v="16"/>
    <n v="63.599999999999994"/>
    <n v="4"/>
    <d v="2025-09-14T15:41:15"/>
    <d v="2025-09-19T16:39:09"/>
    <d v="2025-09-19T17:42:45"/>
    <n v="1"/>
    <n v="0"/>
  </r>
  <r>
    <s v="Acides Aminés- peptides "/>
    <s v="J0"/>
    <x v="16"/>
    <n v="31"/>
    <n v="0"/>
    <s v="-"/>
    <d v="2025-09-19T17:42:45"/>
    <d v="2025-09-22T08:13:45"/>
    <n v="1"/>
    <n v="0"/>
  </r>
  <r>
    <s v="Intervention rééducation part-2"/>
    <s v="J0"/>
    <x v="16"/>
    <n v="40"/>
    <n v="0"/>
    <s v="-"/>
    <d v="2025-09-22T08:13:45"/>
    <d v="2025-09-22T08:53:45"/>
    <n v="1"/>
    <n v="0"/>
  </r>
  <r>
    <s v="Du chromosome à l'ADN"/>
    <s v="J0"/>
    <x v="16"/>
    <n v="60"/>
    <n v="0"/>
    <s v="-"/>
    <d v="2025-09-22T08:53:45"/>
    <d v="2025-09-22T09:53:45"/>
    <n v="1"/>
    <n v="0"/>
  </r>
  <r>
    <s v="corrélation et régression linéaire"/>
    <s v="J0"/>
    <x v="16"/>
    <n v="73"/>
    <n v="0"/>
    <s v="-"/>
    <d v="2025-09-22T09:53:45"/>
    <d v="2025-09-22T11:06:45"/>
    <n v="1"/>
    <n v="0"/>
  </r>
  <r>
    <s v="Signalisation intracellulaire part 1"/>
    <s v="J0"/>
    <x v="16"/>
    <n v="82"/>
    <n v="0"/>
    <s v="-"/>
    <d v="2025-09-22T11:06:45"/>
    <d v="2025-09-22T12:28:45"/>
    <n v="1"/>
    <n v="0"/>
  </r>
  <r>
    <s v="Régulation et rôle du rein "/>
    <s v="J0"/>
    <x v="16"/>
    <n v="99"/>
    <n v="0"/>
    <s v="-"/>
    <d v="2025-09-22T12:28:45"/>
    <d v="2025-09-22T14:07:45"/>
    <n v="1"/>
    <n v="0"/>
  </r>
  <r>
    <s v="Liaisons chimique et interactions moléculaires"/>
    <s v="J0"/>
    <x v="16"/>
    <n v="107"/>
    <n v="0"/>
    <s v="-"/>
    <d v="2025-09-22T14:07:45"/>
    <d v="2025-09-22T15:54:45"/>
    <n v="1"/>
    <n v="0"/>
  </r>
  <r>
    <s v="Physiologie et compartiments liquidiens "/>
    <s v="J0"/>
    <x v="16"/>
    <n v="110"/>
    <n v="0"/>
    <s v="-"/>
    <d v="2025-09-22T15:54:45"/>
    <d v="2025-09-22T17:44:45"/>
    <n v="1"/>
    <n v="0"/>
  </r>
  <r>
    <s v="États  de la matière et leur caractérisation "/>
    <s v="J2"/>
    <x v="17"/>
    <n v="81"/>
    <n v="2"/>
    <d v="2025-09-17T16:36:36"/>
    <d v="2025-09-22T17:44:45"/>
    <d v="2025-09-23T09:05:45"/>
    <n v="1"/>
    <n v="0"/>
  </r>
  <r>
    <s v="Interaction rayonnement-Matière "/>
    <s v="J2"/>
    <x v="17"/>
    <n v="100.8"/>
    <n v="2"/>
    <d v="2025-09-18T08:28:36"/>
    <d v="2025-09-23T09:05:45"/>
    <d v="2025-09-23T10:46:33"/>
    <n v="1"/>
    <n v="0"/>
  </r>
  <r>
    <s v="essai thérapeutique "/>
    <s v="J2"/>
    <x v="17"/>
    <n v="101.7"/>
    <n v="2"/>
    <d v="2025-09-18T10:21:36"/>
    <d v="2025-09-23T10:46:33"/>
    <d v="2025-09-23T12:28:15"/>
    <n v="1"/>
    <n v="0"/>
  </r>
  <r>
    <s v="Les très basses fréquences du spectre électromagnétique "/>
    <s v="J2"/>
    <x v="17"/>
    <n v="108"/>
    <n v="2"/>
    <d v="2025-09-18T12:21:36"/>
    <d v="2025-09-23T12:28:15"/>
    <d v="2025-09-23T14:16:15"/>
    <n v="1"/>
    <n v="0"/>
  </r>
  <r>
    <s v="Thermodynamique "/>
    <s v="J10"/>
    <x v="17"/>
    <n v="42"/>
    <n v="4"/>
    <d v="2025-09-15T10:52:57"/>
    <d v="2025-09-23T14:16:15"/>
    <d v="2025-09-23T14:58:15"/>
    <n v="1"/>
    <n v="0"/>
  </r>
  <r>
    <s v="Intervention rééducation part-3"/>
    <s v="J10"/>
    <x v="17"/>
    <n v="64.8"/>
    <n v="4"/>
    <d v="2025-09-15T12:13:57"/>
    <d v="2025-09-23T14:58:15"/>
    <d v="2025-09-23T16:03:03"/>
    <n v="1"/>
    <n v="0"/>
  </r>
  <r>
    <s v="Protéines "/>
    <s v="J10"/>
    <x v="17"/>
    <n v="66.599999999999994"/>
    <n v="4"/>
    <d v="2025-09-15T13:37:12"/>
    <d v="2025-09-23T16:03:03"/>
    <d v="2025-09-23T17:09:39"/>
    <n v="1"/>
    <n v="0"/>
  </r>
  <r>
    <s v="psychologie générale "/>
    <s v="J0"/>
    <x v="17"/>
    <n v="32"/>
    <n v="0"/>
    <s v="-"/>
    <d v="2025-09-23T17:09:39"/>
    <d v="2025-09-23T17:41:39"/>
    <n v="1"/>
    <n v="0"/>
  </r>
  <r>
    <s v="schéma d'étude "/>
    <s v="J0"/>
    <x v="17"/>
    <n v="56"/>
    <n v="0"/>
    <s v="-"/>
    <d v="2025-09-23T17:41:39"/>
    <d v="2025-09-24T08:37:39"/>
    <n v="1"/>
    <n v="0"/>
  </r>
  <r>
    <s v="Les alcools- les amines"/>
    <s v="J0"/>
    <x v="17"/>
    <n v="56"/>
    <n v="0"/>
    <s v="-"/>
    <d v="2025-09-24T08:37:39"/>
    <d v="2025-09-24T09:33:39"/>
    <n v="1"/>
    <n v="0"/>
  </r>
  <r>
    <s v="Introduction épidémiologie et stats"/>
    <s v="J0"/>
    <x v="17"/>
    <n v="102"/>
    <n v="0"/>
    <s v="-"/>
    <d v="2025-09-24T09:33:39"/>
    <d v="2025-09-24T11:15:39"/>
    <n v="1"/>
    <n v="0"/>
  </r>
  <r>
    <s v="Intervention rééducation part-5"/>
    <s v="J0"/>
    <x v="17"/>
    <n v="104"/>
    <n v="0"/>
    <s v="-"/>
    <d v="2025-09-24T11:15:39"/>
    <d v="2025-09-24T12:59:39"/>
    <n v="1"/>
    <n v="0"/>
  </r>
  <r>
    <s v="Acides Aminés- peptides "/>
    <s v="J2"/>
    <x v="18"/>
    <n v="27.900000000000002"/>
    <n v="2"/>
    <d v="2025-09-22T08:13:45"/>
    <d v="2025-09-24T12:59:39"/>
    <d v="2025-09-24T13:27:33"/>
    <n v="1"/>
    <n v="0"/>
  </r>
  <r>
    <s v="Intervention rééducation part-2"/>
    <s v="J2"/>
    <x v="18"/>
    <n v="36"/>
    <n v="2"/>
    <d v="2025-09-22T08:53:45"/>
    <d v="2025-09-24T13:27:33"/>
    <d v="2025-09-24T14:03:33"/>
    <n v="1"/>
    <n v="0"/>
  </r>
  <r>
    <s v="Du chromosome à l'ADN"/>
    <s v="J2"/>
    <x v="18"/>
    <n v="54"/>
    <n v="2"/>
    <d v="2025-09-22T09:53:45"/>
    <d v="2025-09-24T14:03:33"/>
    <d v="2025-09-24T14:57:33"/>
    <n v="1"/>
    <n v="0"/>
  </r>
  <r>
    <s v="corrélation et régression linéaire"/>
    <s v="J2"/>
    <x v="18"/>
    <n v="65.7"/>
    <n v="2"/>
    <d v="2025-09-22T11:06:45"/>
    <d v="2025-09-24T14:57:33"/>
    <d v="2025-09-24T16:03:15"/>
    <n v="1"/>
    <n v="0"/>
  </r>
  <r>
    <s v="Signalisation intracellulaire part 1"/>
    <s v="J2"/>
    <x v="18"/>
    <n v="73.8"/>
    <n v="2"/>
    <d v="2025-09-22T12:28:45"/>
    <d v="2025-09-24T16:03:15"/>
    <d v="2025-09-24T17:17:03"/>
    <n v="1"/>
    <n v="0"/>
  </r>
  <r>
    <s v="Régulation et rôle du rein "/>
    <s v="J2"/>
    <x v="18"/>
    <n v="89.100000000000009"/>
    <n v="2"/>
    <d v="2025-09-22T14:07:45"/>
    <d v="2025-09-24T17:17:03"/>
    <d v="2025-09-25T08:46:09"/>
    <n v="1"/>
    <n v="0"/>
  </r>
  <r>
    <s v="Liaisons chimique et interactions moléculaires"/>
    <s v="J2"/>
    <x v="18"/>
    <n v="96.3"/>
    <n v="2"/>
    <d v="2025-09-22T15:54:45"/>
    <d v="2025-09-25T08:46:09"/>
    <d v="2025-09-25T10:22:27"/>
    <n v="1"/>
    <n v="0"/>
  </r>
  <r>
    <s v="Physiologie et compartiments liquidiens "/>
    <s v="J2"/>
    <x v="18"/>
    <n v="99"/>
    <n v="2"/>
    <d v="2025-09-22T17:44:45"/>
    <d v="2025-09-25T10:22:27"/>
    <d v="2025-09-25T12:01:27"/>
    <n v="1"/>
    <n v="0"/>
  </r>
  <r>
    <s v="Intervention rééducation part-1 "/>
    <s v="J15"/>
    <x v="18"/>
    <n v="28.35"/>
    <n v="5"/>
    <d v="2025-09-15T14:15:00"/>
    <d v="2025-09-25T12:01:27"/>
    <d v="2025-09-25T12:29:48"/>
    <n v="1"/>
    <n v="0"/>
  </r>
  <r>
    <s v="La discipline anthropologique "/>
    <s v="J6"/>
    <x v="19"/>
    <n v="72"/>
    <n v="4"/>
    <d v="2025-09-17T10:54:09"/>
    <d v="2025-09-25T12:29:48"/>
    <d v="2025-09-25T13:41:48"/>
    <n v="1"/>
    <n v="0"/>
  </r>
  <r>
    <s v="intro: tissus"/>
    <s v="J6"/>
    <x v="19"/>
    <n v="84.75"/>
    <n v="4"/>
    <d v="2025-09-17T12:35:51"/>
    <d v="2025-09-25T13:41:48"/>
    <d v="2025-09-25T15:06:33"/>
    <n v="1"/>
    <n v="0"/>
  </r>
  <r>
    <s v="psychologie générale "/>
    <s v="J2"/>
    <x v="19"/>
    <n v="28.8"/>
    <n v="2"/>
    <d v="2025-09-23T17:41:39"/>
    <d v="2025-09-25T15:06:33"/>
    <d v="2025-09-25T15:35:21"/>
    <n v="1"/>
    <n v="0"/>
  </r>
  <r>
    <s v="schéma d'étude "/>
    <s v="J2"/>
    <x v="19"/>
    <n v="50.4"/>
    <n v="2"/>
    <d v="2025-09-24T08:37:39"/>
    <d v="2025-09-25T15:35:21"/>
    <d v="2025-09-25T16:25:45"/>
    <n v="1"/>
    <n v="1"/>
  </r>
  <r>
    <s v="Les alcools- les amines"/>
    <s v="J2"/>
    <x v="19"/>
    <n v="50.4"/>
    <n v="2"/>
    <d v="2025-09-24T09:33:39"/>
    <d v="2025-09-25T16:25:45"/>
    <d v="2025-09-25T17:16:09"/>
    <n v="1"/>
    <n v="1"/>
  </r>
  <r>
    <s v="Introduction épidémiologie et stats"/>
    <s v="J2"/>
    <x v="19"/>
    <n v="91.8"/>
    <n v="2"/>
    <d v="2025-09-24T11:15:39"/>
    <d v="2025-09-25T17:16:09"/>
    <d v="2025-09-26T08:47:57"/>
    <n v="1"/>
    <n v="1"/>
  </r>
  <r>
    <s v="Intervention rééducation part-5"/>
    <s v="J2"/>
    <x v="19"/>
    <n v="93.600000000000009"/>
    <n v="2"/>
    <d v="2025-09-24T12:59:39"/>
    <d v="2025-09-26T08:47:57"/>
    <d v="2025-09-26T10:21:33"/>
    <n v="1"/>
    <n v="0"/>
  </r>
  <r>
    <s v="Intervention rééducation part-4"/>
    <s v="J10"/>
    <x v="19"/>
    <n v="32.4"/>
    <n v="4"/>
    <d v="2025-09-17T08:40:30"/>
    <d v="2025-09-26T10:21:33"/>
    <d v="2025-09-26T10:53:57"/>
    <n v="1"/>
    <n v="0"/>
  </r>
  <r>
    <s v="Elément introductif en santé publique"/>
    <s v="J10"/>
    <x v="19"/>
    <n v="37.799999999999997"/>
    <n v="4"/>
    <d v="2025-09-17T09:27:45"/>
    <d v="2025-09-26T10:53:57"/>
    <d v="2025-09-26T11:31:45"/>
    <n v="1"/>
    <n v="0"/>
  </r>
  <r>
    <s v="Représentations sociales du handicap "/>
    <s v="J6"/>
    <x v="20"/>
    <n v="27"/>
    <n v="4"/>
    <d v="2025-09-18T16:30:00"/>
    <d v="2025-09-26T11:31:45"/>
    <d v="2025-09-26T11:58:45"/>
    <n v="1"/>
    <n v="0"/>
  </r>
  <r>
    <s v="intro : généralités"/>
    <s v="J6"/>
    <x v="20"/>
    <n v="33.75"/>
    <n v="4"/>
    <d v="2025-09-18T17:10:30"/>
    <d v="2025-09-26T11:58:45"/>
    <d v="2025-09-26T12:32:30"/>
    <n v="1"/>
    <n v="0"/>
  </r>
  <r>
    <s v="Division cellulaire"/>
    <s v="J6"/>
    <x v="20"/>
    <n v="36"/>
    <n v="4"/>
    <d v="2025-09-18T17:53:42"/>
    <d v="2025-09-26T12:32:30"/>
    <d v="2025-09-26T13:08:30"/>
    <n v="1"/>
    <n v="0"/>
  </r>
  <r>
    <s v="Transcription et régulation "/>
    <s v="J6"/>
    <x v="20"/>
    <n v="36.75"/>
    <n v="4"/>
    <d v="2025-09-19T08:37:48"/>
    <d v="2025-09-26T13:08:30"/>
    <d v="2025-09-26T13:45:15"/>
    <n v="1"/>
    <n v="0"/>
  </r>
  <r>
    <s v="Membre inférieur 2 "/>
    <s v="J6"/>
    <x v="20"/>
    <n v="45"/>
    <n v="4"/>
    <d v="2025-09-19T09:31:48"/>
    <d v="2025-09-26T13:45:15"/>
    <d v="2025-09-26T14:30:15"/>
    <n v="1"/>
    <n v="0"/>
  </r>
  <r>
    <s v="Membre inférieur 3"/>
    <s v="J10"/>
    <x v="20"/>
    <n v="27"/>
    <n v="4"/>
    <d v="2025-09-18T12:55:21"/>
    <d v="2025-09-26T14:30:15"/>
    <d v="2025-09-26T14:57:15"/>
    <n v="1"/>
    <n v="0"/>
  </r>
  <r>
    <s v="Outils mathématique "/>
    <s v="J10"/>
    <x v="20"/>
    <n v="38.4"/>
    <n v="4"/>
    <d v="2025-09-18T13:43:21"/>
    <d v="2025-09-26T14:57:15"/>
    <d v="2025-09-26T15:35:39"/>
    <n v="1"/>
    <n v="0"/>
  </r>
  <r>
    <s v="Mutations "/>
    <s v="J10"/>
    <x v="20"/>
    <n v="52.199999999999996"/>
    <n v="4"/>
    <d v="2025-09-18T14:48:36"/>
    <d v="2025-09-26T15:35:39"/>
    <d v="2025-09-26T16:27:51"/>
    <n v="1"/>
    <n v="0"/>
  </r>
  <r>
    <s v="La composition des membranes cellulaire"/>
    <s v="J10"/>
    <x v="20"/>
    <n v="55.199999999999996"/>
    <n v="4"/>
    <d v="2025-09-18T15:57:36"/>
    <d v="2025-09-26T16:27:51"/>
    <d v="2025-09-26T17:23:03"/>
    <n v="1"/>
    <n v="0"/>
  </r>
  <r>
    <s v="Transport intracellulaire et trafic vésiculaire "/>
    <s v="J0"/>
    <x v="20"/>
    <n v="33"/>
    <n v="0"/>
    <s v="-"/>
    <d v="2025-09-26T17:23:03"/>
    <d v="2025-09-26T17:56:03"/>
    <n v="1"/>
    <n v="0"/>
  </r>
  <r>
    <s v="Membre inférieur 1"/>
    <s v="J0"/>
    <x v="20"/>
    <n v="110"/>
    <n v="0"/>
    <s v="-"/>
    <d v="2025-09-26T17:56:03"/>
    <d v="2025-09-29T09:46:03"/>
    <n v="1"/>
    <n v="0"/>
  </r>
  <r>
    <s v="intro: région, fascias et appareil "/>
    <s v="J0"/>
    <x v="20"/>
    <n v="112"/>
    <n v="0"/>
    <s v="-"/>
    <d v="2025-09-29T09:46:03"/>
    <d v="2025-09-29T11:38:03"/>
    <n v="1"/>
    <n v="0"/>
  </r>
  <r>
    <s v="États  de la matière et leur caractérisation "/>
    <s v="J6"/>
    <x v="21"/>
    <n v="67.5"/>
    <n v="4"/>
    <d v="2025-09-23T09:05:45"/>
    <d v="2025-09-29T11:38:03"/>
    <d v="2025-09-29T12:45:33"/>
    <n v="1"/>
    <n v="0"/>
  </r>
  <r>
    <s v="Interaction rayonnement-Matière "/>
    <s v="J6"/>
    <x v="21"/>
    <n v="84"/>
    <n v="4"/>
    <d v="2025-09-23T10:46:33"/>
    <d v="2025-09-29T12:45:33"/>
    <d v="2025-09-29T14:09:33"/>
    <n v="1"/>
    <n v="0"/>
  </r>
  <r>
    <s v="essai thérapeutique "/>
    <s v="J6"/>
    <x v="21"/>
    <n v="84.75"/>
    <n v="4"/>
    <d v="2025-09-23T12:28:15"/>
    <d v="2025-09-29T14:09:33"/>
    <d v="2025-09-29T15:34:18"/>
    <n v="1"/>
    <n v="0"/>
  </r>
  <r>
    <s v="Les très basses fréquences du spectre électromagnétique "/>
    <s v="J6"/>
    <x v="21"/>
    <n v="90"/>
    <n v="4"/>
    <d v="2025-09-23T14:16:15"/>
    <d v="2025-09-29T15:34:18"/>
    <d v="2025-09-29T17:04:18"/>
    <n v="1"/>
    <n v="0"/>
  </r>
  <r>
    <s v="Législation handicap "/>
    <s v="J15"/>
    <x v="21"/>
    <n v="31.05"/>
    <n v="5"/>
    <d v="2025-09-19T12:15:09"/>
    <d v="2025-09-29T17:04:18"/>
    <d v="2025-09-29T17:35:21"/>
    <n v="1"/>
    <n v="0"/>
  </r>
  <r>
    <s v="Dérivés d'acides carboxylique- AG "/>
    <s v="J15"/>
    <x v="21"/>
    <n v="35.1"/>
    <n v="5"/>
    <d v="2025-09-19T13:01:57"/>
    <d v="2025-09-29T17:35:21"/>
    <d v="2025-09-30T08:10:27"/>
    <n v="1"/>
    <n v="0"/>
  </r>
  <r>
    <s v="Intervention rééducation part-6"/>
    <s v="J15"/>
    <x v="21"/>
    <n v="37.35"/>
    <n v="5"/>
    <d v="2025-09-19T13:51:45"/>
    <d v="2025-09-30T08:10:27"/>
    <d v="2025-09-30T08:47:48"/>
    <n v="1"/>
    <n v="0"/>
  </r>
  <r>
    <s v="Abdomen et pelvis 2 "/>
    <s v="J15"/>
    <x v="21"/>
    <n v="38.25"/>
    <n v="5"/>
    <d v="2025-09-19T14:42:45"/>
    <d v="2025-09-30T08:47:48"/>
    <d v="2025-09-30T09:26:03"/>
    <n v="1"/>
    <n v="0"/>
  </r>
  <r>
    <s v="Thorax"/>
    <s v="J15"/>
    <x v="21"/>
    <n v="41.85"/>
    <n v="5"/>
    <d v="2025-09-19T15:38:33"/>
    <d v="2025-09-30T09:26:03"/>
    <d v="2025-09-30T10:07:54"/>
    <n v="1"/>
    <n v="0"/>
  </r>
  <r>
    <s v="Propriétés électroniques des liaisons chimiques"/>
    <s v="J15"/>
    <x v="21"/>
    <n v="45.45"/>
    <n v="5"/>
    <d v="2025-09-19T16:39:09"/>
    <d v="2025-09-30T10:07:54"/>
    <d v="2025-09-30T10:53:21"/>
    <n v="1"/>
    <n v="0"/>
  </r>
  <r>
    <s v="intro: référence et particularité"/>
    <s v="J15"/>
    <x v="21"/>
    <n v="47.7"/>
    <n v="5"/>
    <d v="2025-09-19T17:42:45"/>
    <d v="2025-09-30T10:53:21"/>
    <d v="2025-09-30T11:41:03"/>
    <n v="1"/>
    <n v="0"/>
  </r>
  <r>
    <s v="CI du fonctionnement, du handicap et de la santé "/>
    <s v="J0"/>
    <x v="21"/>
    <n v="58"/>
    <n v="0"/>
    <s v="-"/>
    <d v="2025-09-30T11:41:03"/>
    <d v="2025-09-30T12:39:03"/>
    <n v="1"/>
    <n v="0"/>
  </r>
  <r>
    <s v="Jonction neuro-musculaire"/>
    <s v="J0"/>
    <x v="21"/>
    <n v="78"/>
    <n v="0"/>
    <s v="-"/>
    <d v="2025-09-30T12:39:03"/>
    <d v="2025-09-30T13:57:03"/>
    <n v="1"/>
    <n v="0"/>
  </r>
  <r>
    <s v="Culture, corps et santé"/>
    <s v="J0"/>
    <x v="21"/>
    <n v="82"/>
    <n v="0"/>
    <s v="-"/>
    <d v="2025-09-30T13:57:03"/>
    <d v="2025-09-30T15:19:03"/>
    <n v="1"/>
    <n v="0"/>
  </r>
  <r>
    <s v="Les acides aminés- les oses "/>
    <s v="J0"/>
    <x v="21"/>
    <n v="102"/>
    <n v="0"/>
    <s v="-"/>
    <d v="2025-09-30T15:19:03"/>
    <d v="2025-09-30T17:01:03"/>
    <n v="1"/>
    <n v="0"/>
  </r>
  <r>
    <s v="Acides Aminés- peptides "/>
    <s v="J6"/>
    <x v="22"/>
    <n v="23.25"/>
    <n v="4"/>
    <d v="2025-09-24T13:27:33"/>
    <d v="2025-09-30T17:01:03"/>
    <d v="2025-09-30T17:24:18"/>
    <n v="1"/>
    <n v="0"/>
  </r>
  <r>
    <s v="Intervention rééducation part-2"/>
    <s v="J6"/>
    <x v="22"/>
    <n v="30"/>
    <n v="4"/>
    <d v="2025-09-24T14:03:33"/>
    <d v="2025-09-30T17:24:18"/>
    <d v="2025-09-30T17:54:18"/>
    <n v="1"/>
    <n v="0"/>
  </r>
  <r>
    <s v="Du chromosome à l'ADN"/>
    <s v="J6"/>
    <x v="22"/>
    <n v="45"/>
    <n v="4"/>
    <d v="2025-09-24T14:57:33"/>
    <d v="2025-09-30T17:54:18"/>
    <d v="2025-10-01T08:39:18"/>
    <n v="1"/>
    <n v="0"/>
  </r>
  <r>
    <s v="corrélation et régression linéaire"/>
    <s v="J6"/>
    <x v="22"/>
    <n v="54.75"/>
    <n v="4"/>
    <d v="2025-09-24T16:03:15"/>
    <d v="2025-10-01T08:39:18"/>
    <d v="2025-10-01T09:34:03"/>
    <n v="1"/>
    <n v="0"/>
  </r>
  <r>
    <s v="Signalisation intracellulaire part 1"/>
    <s v="J6"/>
    <x v="22"/>
    <n v="61.5"/>
    <n v="4"/>
    <d v="2025-09-24T17:17:03"/>
    <d v="2025-10-01T09:34:03"/>
    <d v="2025-10-01T10:35:33"/>
    <n v="1"/>
    <n v="0"/>
  </r>
  <r>
    <s v="Régulation et rôle du rein "/>
    <s v="J6"/>
    <x v="22"/>
    <n v="74.25"/>
    <n v="4"/>
    <d v="2025-09-25T08:46:09"/>
    <d v="2025-10-01T10:35:33"/>
    <d v="2025-10-01T11:49:48"/>
    <n v="1"/>
    <n v="0"/>
  </r>
  <r>
    <s v="Liaisons chimique et interactions moléculaires"/>
    <s v="J6"/>
    <x v="22"/>
    <n v="80.25"/>
    <n v="4"/>
    <d v="2025-09-25T10:22:27"/>
    <d v="2025-10-01T11:49:48"/>
    <d v="2025-10-01T13:10:03"/>
    <n v="1"/>
    <n v="0"/>
  </r>
  <r>
    <s v="Physiologie et compartiments liquidiens "/>
    <s v="J6"/>
    <x v="22"/>
    <n v="82.5"/>
    <n v="4"/>
    <d v="2025-09-25T12:01:27"/>
    <d v="2025-10-01T13:10:03"/>
    <d v="2025-10-01T14:32:33"/>
    <n v="1"/>
    <n v="0"/>
  </r>
  <r>
    <s v="Transport intracellulaire et trafic vésiculaire "/>
    <s v="J2"/>
    <x v="22"/>
    <n v="29.7"/>
    <n v="2"/>
    <d v="2025-09-26T17:56:03"/>
    <d v="2025-10-01T14:32:33"/>
    <d v="2025-10-01T15:02:15"/>
    <n v="1"/>
    <n v="0"/>
  </r>
  <r>
    <s v="Membre inférieur 1"/>
    <s v="J2"/>
    <x v="22"/>
    <n v="99"/>
    <n v="2"/>
    <d v="2025-09-29T09:46:03"/>
    <d v="2025-10-01T15:02:15"/>
    <d v="2025-10-01T16:41:15"/>
    <n v="1"/>
    <n v="0"/>
  </r>
  <r>
    <s v="intro: région, fascias et appareil "/>
    <s v="J2"/>
    <x v="22"/>
    <n v="100.8"/>
    <n v="2"/>
    <d v="2025-09-29T11:38:03"/>
    <d v="2025-10-01T16:41:15"/>
    <d v="2025-10-02T08:22:03"/>
    <n v="1"/>
    <n v="0"/>
  </r>
  <r>
    <s v="Thermodynamique "/>
    <s v="J15"/>
    <x v="22"/>
    <n v="31.5"/>
    <n v="5"/>
    <d v="2025-09-23T14:58:15"/>
    <d v="2025-10-02T08:22:03"/>
    <d v="2025-10-02T08:53:33"/>
    <n v="1"/>
    <n v="0"/>
  </r>
  <r>
    <s v="Intervention rééducation part-3"/>
    <s v="J15"/>
    <x v="22"/>
    <n v="48.6"/>
    <n v="5"/>
    <d v="2025-09-23T16:03:03"/>
    <d v="2025-10-02T08:53:33"/>
    <d v="2025-10-02T09:42:09"/>
    <n v="1"/>
    <n v="0"/>
  </r>
  <r>
    <s v="Protéines "/>
    <s v="J15"/>
    <x v="22"/>
    <n v="49.95"/>
    <n v="5"/>
    <d v="2025-09-23T17:09:39"/>
    <d v="2025-10-02T09:42:09"/>
    <d v="2025-10-02T10:32:06"/>
    <n v="1"/>
    <n v="0"/>
  </r>
  <r>
    <s v="Structure des glucides "/>
    <s v="J0"/>
    <x v="22"/>
    <n v="40"/>
    <n v="0"/>
    <s v="-"/>
    <d v="2025-10-02T10:32:06"/>
    <d v="2025-10-02T11:12:06"/>
    <n v="1"/>
    <n v="0"/>
  </r>
  <r>
    <s v="Cytosquellette"/>
    <s v="J0"/>
    <x v="22"/>
    <n v="60"/>
    <n v="0"/>
    <s v="-"/>
    <d v="2025-10-02T11:12:06"/>
    <d v="2025-10-02T12:12:06"/>
    <n v="1"/>
    <n v="0"/>
  </r>
  <r>
    <s v="Membre supérieur 3"/>
    <s v="J0"/>
    <x v="22"/>
    <n v="69"/>
    <n v="0"/>
    <s v="-"/>
    <d v="2025-10-02T12:12:06"/>
    <d v="2025-10-02T13:21:06"/>
    <n v="1"/>
    <n v="0"/>
  </r>
  <r>
    <s v="Dos"/>
    <s v="J0"/>
    <x v="22"/>
    <n v="98"/>
    <n v="0"/>
    <s v="-"/>
    <d v="2025-10-02T13:21:06"/>
    <d v="2025-10-02T14:59:06"/>
    <n v="1"/>
    <n v="0"/>
  </r>
  <r>
    <s v="Le domaine de l'optique "/>
    <s v="J0"/>
    <x v="22"/>
    <n v="100"/>
    <n v="0"/>
    <s v="-"/>
    <d v="2025-10-02T14:59:06"/>
    <d v="2025-10-02T16:39:06"/>
    <n v="1"/>
    <n v="0"/>
  </r>
  <r>
    <s v="Rayons X et gamma-Rayonnement particulaire"/>
    <s v="J0"/>
    <x v="22"/>
    <n v="100"/>
    <n v="0"/>
    <s v="-"/>
    <d v="2025-10-02T16:39:06"/>
    <d v="2025-10-03T08:19:06"/>
    <n v="1"/>
    <n v="0"/>
  </r>
  <r>
    <s v="Tête"/>
    <s v="J0"/>
    <x v="22"/>
    <n v="100"/>
    <n v="0"/>
    <s v="-"/>
    <d v="2025-10-03T08:19:06"/>
    <d v="2025-10-03T09:59:06"/>
    <n v="1"/>
    <n v="0"/>
  </r>
  <r>
    <s v="psychologie générale "/>
    <s v="J6"/>
    <x v="23"/>
    <n v="24"/>
    <n v="4"/>
    <d v="2025-09-25T15:35:21"/>
    <d v="2025-10-03T09:59:06"/>
    <d v="2025-10-03T10:23:06"/>
    <n v="1"/>
    <n v="0"/>
  </r>
  <r>
    <s v="schéma d'étude "/>
    <s v="J6"/>
    <x v="23"/>
    <n v="42"/>
    <n v="4"/>
    <d v="2025-09-25T16:25:45"/>
    <d v="2025-10-03T10:23:06"/>
    <d v="2025-10-03T11:05:06"/>
    <n v="1"/>
    <n v="0"/>
  </r>
  <r>
    <s v="Les alcools- les amines"/>
    <s v="J6"/>
    <x v="23"/>
    <n v="42"/>
    <n v="4"/>
    <d v="2025-09-25T17:16:09"/>
    <d v="2025-10-03T11:05:06"/>
    <d v="2025-10-03T11:47:06"/>
    <n v="1"/>
    <n v="0"/>
  </r>
  <r>
    <s v="Introduction épidémiologie et stats"/>
    <s v="J6"/>
    <x v="23"/>
    <n v="76.5"/>
    <n v="4"/>
    <d v="2025-09-26T08:47:57"/>
    <d v="2025-10-03T11:47:06"/>
    <d v="2025-10-03T13:03:36"/>
    <n v="1"/>
    <n v="0"/>
  </r>
  <r>
    <s v="Intervention rééducation part-5"/>
    <s v="J6"/>
    <x v="23"/>
    <n v="78"/>
    <n v="4"/>
    <d v="2025-09-26T10:21:33"/>
    <d v="2025-10-03T13:03:36"/>
    <d v="2025-10-03T14:21:36"/>
    <n v="1"/>
    <n v="0"/>
  </r>
  <r>
    <s v="CI du fonctionnement, du handicap et de la santé "/>
    <s v="J2"/>
    <x v="23"/>
    <n v="52.2"/>
    <n v="2"/>
    <d v="2025-09-30T12:39:03"/>
    <d v="2025-10-03T14:21:36"/>
    <d v="2025-10-03T15:13:48"/>
    <n v="1"/>
    <n v="0"/>
  </r>
  <r>
    <s v="Jonction neuro-musculaire"/>
    <s v="J2"/>
    <x v="23"/>
    <n v="70.2"/>
    <n v="2"/>
    <d v="2025-09-30T13:57:03"/>
    <d v="2025-10-03T15:13:48"/>
    <d v="2025-10-03T16:24:00"/>
    <n v="1"/>
    <n v="0"/>
  </r>
  <r>
    <s v="Culture, corps et santé"/>
    <s v="J2"/>
    <x v="23"/>
    <n v="73.8"/>
    <n v="2"/>
    <d v="2025-09-30T15:19:03"/>
    <d v="2025-10-03T16:24:00"/>
    <d v="2025-10-03T17:37:48"/>
    <n v="1"/>
    <n v="0"/>
  </r>
  <r>
    <s v="Les acides aminés- les oses "/>
    <s v="J2"/>
    <x v="23"/>
    <n v="91.8"/>
    <n v="2"/>
    <d v="2025-09-30T17:01:03"/>
    <d v="2025-10-03T17:37:48"/>
    <d v="2025-10-06T09:09:36"/>
    <n v="1"/>
    <n v="0"/>
  </r>
  <r>
    <s v="La discipline anthropologique "/>
    <s v="J10"/>
    <x v="23"/>
    <n v="57.599999999999994"/>
    <n v="4"/>
    <d v="2025-09-25T13:41:48"/>
    <d v="2025-10-06T09:09:36"/>
    <d v="2025-10-06T10:07:12"/>
    <n v="1"/>
    <n v="0"/>
  </r>
  <r>
    <s v="intro: tissus"/>
    <s v="J10"/>
    <x v="23"/>
    <n v="67.8"/>
    <n v="4"/>
    <d v="2025-09-25T15:06:33"/>
    <d v="2025-10-06T10:07:12"/>
    <d v="2025-10-06T11:15:00"/>
    <n v="1"/>
    <n v="0"/>
  </r>
  <r>
    <s v="Membre supérieur 1"/>
    <s v="J0"/>
    <x v="23"/>
    <n v="34"/>
    <n v="0"/>
    <s v="-"/>
    <d v="2025-10-06T11:15:00"/>
    <d v="2025-10-06T11:49:00"/>
    <n v="1"/>
    <n v="0"/>
  </r>
  <r>
    <s v="pH et équilibre acido basique d'une solution"/>
    <s v="J0"/>
    <x v="23"/>
    <n v="36"/>
    <n v="0"/>
    <s v="-"/>
    <d v="2025-10-06T11:49:00"/>
    <d v="2025-10-06T12:25:00"/>
    <n v="1"/>
    <n v="0"/>
  </r>
  <r>
    <s v="système nerveux autonome "/>
    <s v="J0"/>
    <x v="23"/>
    <n v="70"/>
    <n v="0"/>
    <s v="-"/>
    <d v="2025-10-06T12:25:00"/>
    <d v="2025-10-06T13:35:00"/>
    <n v="1"/>
    <n v="0"/>
  </r>
  <r>
    <s v="Maladies, itinéraire thérapeutique"/>
    <s v="J0"/>
    <x v="23"/>
    <n v="76"/>
    <n v="0"/>
    <s v="-"/>
    <d v="2025-10-06T13:35:00"/>
    <d v="2025-10-06T14:51:00"/>
    <n v="1"/>
    <n v="0"/>
  </r>
  <r>
    <s v="Nomenclature chimique- Isomérie "/>
    <s v="J0"/>
    <x v="23"/>
    <n v="88"/>
    <n v="0"/>
    <s v="-"/>
    <d v="2025-10-06T14:51:00"/>
    <d v="2025-10-06T16:19:00"/>
    <n v="1"/>
    <n v="0"/>
  </r>
  <r>
    <s v="Structure des glucides "/>
    <s v="J2"/>
    <x v="24"/>
    <n v="36"/>
    <n v="2"/>
    <d v="2025-10-02T11:12:06"/>
    <d v="2025-10-06T16:19:00"/>
    <d v="2025-10-06T16:55:00"/>
    <n v="1"/>
    <n v="0"/>
  </r>
  <r>
    <s v="Cytosquellette"/>
    <s v="J2"/>
    <x v="24"/>
    <n v="54"/>
    <n v="2"/>
    <d v="2025-10-02T12:12:06"/>
    <d v="2025-10-06T16:55:00"/>
    <d v="2025-10-06T17:49:00"/>
    <n v="1"/>
    <n v="0"/>
  </r>
  <r>
    <s v="Membre supérieur 3"/>
    <s v="J2"/>
    <x v="24"/>
    <n v="62.1"/>
    <n v="2"/>
    <d v="2025-10-02T13:21:06"/>
    <d v="2025-10-06T17:49:00"/>
    <d v="2025-10-07T08:51:06"/>
    <n v="1"/>
    <n v="0"/>
  </r>
  <r>
    <s v="Dos"/>
    <s v="J2"/>
    <x v="24"/>
    <n v="88.2"/>
    <n v="2"/>
    <d v="2025-10-02T14:59:06"/>
    <d v="2025-10-07T08:51:06"/>
    <d v="2025-10-07T10:19:18"/>
    <n v="1"/>
    <n v="0"/>
  </r>
  <r>
    <s v="Le domaine de l'optique "/>
    <s v="J2"/>
    <x v="24"/>
    <n v="90"/>
    <n v="2"/>
    <d v="2025-10-02T16:39:06"/>
    <d v="2025-10-07T10:19:18"/>
    <d v="2025-10-07T11:49:18"/>
    <n v="1"/>
    <n v="0"/>
  </r>
  <r>
    <s v="Rayons X et gamma-Rayonnement particulaire"/>
    <s v="J2"/>
    <x v="24"/>
    <n v="90"/>
    <n v="2"/>
    <d v="2025-10-03T08:19:06"/>
    <d v="2025-10-07T11:49:18"/>
    <d v="2025-10-07T13:19:18"/>
    <n v="1"/>
    <n v="0"/>
  </r>
  <r>
    <s v="Tête"/>
    <s v="J2"/>
    <x v="24"/>
    <n v="90"/>
    <n v="2"/>
    <d v="2025-10-03T09:59:06"/>
    <d v="2025-10-07T13:19:18"/>
    <d v="2025-10-07T14:49:18"/>
    <n v="1"/>
    <n v="0"/>
  </r>
  <r>
    <s v="Intervention rééducation part-4"/>
    <s v="J15"/>
    <x v="24"/>
    <n v="24.3"/>
    <n v="5"/>
    <d v="2025-09-26T10:53:57"/>
    <d v="2025-10-07T14:49:18"/>
    <d v="2025-10-07T15:13:36"/>
    <n v="1"/>
    <n v="0"/>
  </r>
  <r>
    <s v="Elément introductif en santé publique"/>
    <s v="J15"/>
    <x v="24"/>
    <n v="28.35"/>
    <n v="5"/>
    <d v="2025-09-26T11:31:45"/>
    <d v="2025-10-07T15:13:36"/>
    <d v="2025-10-07T15:41:57"/>
    <n v="1"/>
    <n v="0"/>
  </r>
  <r>
    <s v="Représentations sociales du handicap "/>
    <s v="J10"/>
    <x v="24"/>
    <n v="21.599999999999998"/>
    <n v="4"/>
    <d v="2025-09-26T11:58:45"/>
    <d v="2025-10-07T15:41:57"/>
    <d v="2025-10-07T16:03:33"/>
    <n v="1"/>
    <n v="0"/>
  </r>
  <r>
    <s v="intro : généralités"/>
    <s v="J10"/>
    <x v="24"/>
    <n v="27"/>
    <n v="4"/>
    <d v="2025-09-26T12:32:30"/>
    <d v="2025-10-07T16:03:33"/>
    <d v="2025-10-07T16:30:33"/>
    <n v="1"/>
    <n v="0"/>
  </r>
  <r>
    <s v="Division cellulaire"/>
    <s v="J10"/>
    <x v="24"/>
    <n v="28.799999999999997"/>
    <n v="4"/>
    <d v="2025-09-26T13:08:30"/>
    <d v="2025-10-07T16:30:33"/>
    <d v="2025-10-07T16:59:21"/>
    <n v="1"/>
    <n v="0"/>
  </r>
  <r>
    <s v="Transcription et régulation "/>
    <s v="J10"/>
    <x v="24"/>
    <n v="29.4"/>
    <n v="4"/>
    <d v="2025-09-26T13:45:15"/>
    <d v="2025-10-07T16:59:21"/>
    <d v="2025-10-07T17:28:45"/>
    <n v="1"/>
    <n v="0"/>
  </r>
  <r>
    <s v="Membre inférieur 2 "/>
    <s v="J10"/>
    <x v="24"/>
    <n v="36"/>
    <n v="4"/>
    <d v="2025-09-26T14:30:15"/>
    <d v="2025-10-07T17:28:45"/>
    <d v="2025-10-08T08:04:45"/>
    <n v="1"/>
    <n v="0"/>
  </r>
  <r>
    <s v="Membre supérieur 1"/>
    <s v="J2"/>
    <x v="25"/>
    <n v="30.6"/>
    <n v="2"/>
    <d v="2025-10-06T11:49:00"/>
    <d v="2025-10-08T08:04:45"/>
    <d v="2025-10-08T08:35:21"/>
    <n v="1"/>
    <n v="0"/>
  </r>
  <r>
    <s v="pH et équilibre acido basique d'une solution"/>
    <s v="J2"/>
    <x v="25"/>
    <n v="32.4"/>
    <n v="2"/>
    <d v="2025-10-06T12:25:00"/>
    <d v="2025-10-08T08:35:21"/>
    <d v="2025-10-08T09:07:45"/>
    <n v="1"/>
    <n v="0"/>
  </r>
  <r>
    <s v="système nerveux autonome "/>
    <s v="J2"/>
    <x v="25"/>
    <n v="63"/>
    <n v="2"/>
    <d v="2025-10-06T13:35:00"/>
    <d v="2025-10-08T09:07:45"/>
    <d v="2025-10-08T10:10:45"/>
    <n v="1"/>
    <n v="0"/>
  </r>
  <r>
    <s v="Maladies, itinéraire thérapeutique"/>
    <s v="J2"/>
    <x v="25"/>
    <n v="68.400000000000006"/>
    <n v="2"/>
    <d v="2025-10-06T14:51:00"/>
    <d v="2025-10-08T10:10:45"/>
    <d v="2025-10-08T11:19:09"/>
    <n v="1"/>
    <n v="0"/>
  </r>
  <r>
    <s v="Nomenclature chimique- Isomérie "/>
    <s v="J2"/>
    <x v="25"/>
    <n v="79.2"/>
    <n v="2"/>
    <d v="2025-10-06T16:19:00"/>
    <d v="2025-10-08T11:19:09"/>
    <d v="2025-10-08T12:38:21"/>
    <n v="1"/>
    <n v="0"/>
  </r>
  <r>
    <s v="Membre inférieur 3"/>
    <s v="J15"/>
    <x v="25"/>
    <n v="20.25"/>
    <n v="5"/>
    <d v="2025-09-26T14:57:15"/>
    <d v="2025-10-08T12:38:21"/>
    <d v="2025-10-08T12:58:36"/>
    <n v="1"/>
    <n v="0"/>
  </r>
  <r>
    <s v="Outils mathématique "/>
    <s v="J15"/>
    <x v="25"/>
    <n v="28.8"/>
    <n v="5"/>
    <d v="2025-09-26T15:35:39"/>
    <d v="2025-10-08T12:58:36"/>
    <d v="2025-10-08T13:27:24"/>
    <n v="1"/>
    <n v="0"/>
  </r>
  <r>
    <s v="Mutations "/>
    <s v="J15"/>
    <x v="25"/>
    <n v="39.15"/>
    <n v="5"/>
    <d v="2025-09-26T16:27:51"/>
    <d v="2025-10-08T13:27:24"/>
    <d v="2025-10-08T14:06:33"/>
    <n v="1"/>
    <n v="0"/>
  </r>
  <r>
    <s v="La composition des membranes cellulaire"/>
    <s v="J15"/>
    <x v="25"/>
    <n v="41.4"/>
    <n v="5"/>
    <d v="2025-09-26T17:23:03"/>
    <d v="2025-10-08T14:06:33"/>
    <d v="2025-10-08T14:47:57"/>
    <n v="1"/>
    <n v="0"/>
  </r>
  <r>
    <s v="États  de la matière et leur caractérisation "/>
    <s v="J10"/>
    <x v="25"/>
    <n v="54"/>
    <n v="4"/>
    <d v="2025-09-29T12:45:33"/>
    <d v="2025-10-08T14:47:57"/>
    <d v="2025-10-08T15:41:57"/>
    <n v="1"/>
    <n v="0"/>
  </r>
  <r>
    <s v="Interaction rayonnement-Matière "/>
    <s v="J10"/>
    <x v="25"/>
    <n v="67.2"/>
    <n v="4"/>
    <d v="2025-09-29T14:09:33"/>
    <d v="2025-10-08T15:41:57"/>
    <d v="2025-10-08T16:49:09"/>
    <n v="1"/>
    <n v="0"/>
  </r>
  <r>
    <s v="essai thérapeutique "/>
    <s v="J10"/>
    <x v="25"/>
    <n v="67.8"/>
    <n v="4"/>
    <d v="2025-09-29T15:34:18"/>
    <d v="2025-10-08T16:49:09"/>
    <d v="2025-10-08T17:56:57"/>
    <n v="1"/>
    <n v="0"/>
  </r>
  <r>
    <s v="Les très basses fréquences du spectre électromagnétique "/>
    <s v="J10"/>
    <x v="25"/>
    <n v="72"/>
    <n v="4"/>
    <d v="2025-09-29T17:04:18"/>
    <d v="2025-10-08T17:56:57"/>
    <d v="2025-10-09T09:08:57"/>
    <n v="1"/>
    <n v="0"/>
  </r>
  <r>
    <s v="Transport intracellulaire et trafic vésiculaire "/>
    <s v="J6"/>
    <x v="26"/>
    <n v="24.75"/>
    <n v="4"/>
    <d v="2025-10-01T15:02:15"/>
    <d v="2025-10-09T09:08:57"/>
    <d v="2025-10-09T09:33:42"/>
    <n v="1"/>
    <n v="0"/>
  </r>
  <r>
    <s v="Membre inférieur 1"/>
    <s v="J6"/>
    <x v="26"/>
    <n v="82.5"/>
    <n v="4"/>
    <d v="2025-10-01T16:41:15"/>
    <d v="2025-10-09T09:33:42"/>
    <d v="2025-10-09T10:56:12"/>
    <n v="1"/>
    <n v="0"/>
  </r>
  <r>
    <s v="intro: région, fascias et appareil "/>
    <s v="J6"/>
    <x v="26"/>
    <n v="84"/>
    <n v="4"/>
    <d v="2025-10-02T08:22:03"/>
    <d v="2025-10-09T10:56:12"/>
    <d v="2025-10-09T12:20:12"/>
    <n v="1"/>
    <n v="0"/>
  </r>
  <r>
    <s v="Acides Aminés- peptides "/>
    <s v="J10"/>
    <x v="26"/>
    <n v="18.599999999999998"/>
    <n v="4"/>
    <d v="2025-09-30T17:24:18"/>
    <d v="2025-10-09T12:20:12"/>
    <d v="2025-10-09T12:38:48"/>
    <n v="1"/>
    <n v="0"/>
  </r>
  <r>
    <s v="Intervention rééducation part-2"/>
    <s v="J10"/>
    <x v="26"/>
    <n v="24"/>
    <n v="4"/>
    <d v="2025-09-30T17:54:18"/>
    <d v="2025-10-09T12:38:48"/>
    <d v="2025-10-09T13:02:48"/>
    <n v="1"/>
    <n v="0"/>
  </r>
  <r>
    <s v="Du chromosome à l'ADN"/>
    <s v="J10"/>
    <x v="26"/>
    <n v="36"/>
    <n v="4"/>
    <d v="2025-10-01T08:39:18"/>
    <d v="2025-10-09T13:02:48"/>
    <d v="2025-10-09T13:38:48"/>
    <n v="1"/>
    <n v="0"/>
  </r>
  <r>
    <s v="corrélation et régression linéaire"/>
    <s v="J10"/>
    <x v="26"/>
    <n v="43.8"/>
    <n v="4"/>
    <d v="2025-10-01T09:34:03"/>
    <d v="2025-10-09T13:38:48"/>
    <d v="2025-10-09T14:22:36"/>
    <n v="1"/>
    <n v="0"/>
  </r>
  <r>
    <s v="Signalisation intracellulaire part 1"/>
    <s v="J10"/>
    <x v="26"/>
    <n v="49.199999999999996"/>
    <n v="4"/>
    <d v="2025-10-01T10:35:33"/>
    <d v="2025-10-09T14:22:36"/>
    <d v="2025-10-09T15:11:48"/>
    <n v="1"/>
    <n v="0"/>
  </r>
  <r>
    <s v="Régulation et rôle du rein "/>
    <s v="J10"/>
    <x v="26"/>
    <n v="59.4"/>
    <n v="4"/>
    <d v="2025-10-01T11:49:48"/>
    <d v="2025-10-09T15:11:48"/>
    <d v="2025-10-09T16:11:12"/>
    <n v="1"/>
    <n v="0"/>
  </r>
  <r>
    <s v="Liaisons chimique et interactions moléculaires"/>
    <s v="J10"/>
    <x v="26"/>
    <n v="64.2"/>
    <n v="4"/>
    <d v="2025-10-01T13:10:03"/>
    <d v="2025-10-09T16:11:12"/>
    <d v="2025-10-09T17:15:24"/>
    <n v="1"/>
    <n v="0"/>
  </r>
  <r>
    <s v="Physiologie et compartiments liquidiens "/>
    <s v="J10"/>
    <x v="26"/>
    <n v="66"/>
    <n v="4"/>
    <d v="2025-10-01T14:32:33"/>
    <d v="2025-10-09T17:15:24"/>
    <d v="2025-10-10T08:21:24"/>
    <n v="1"/>
    <n v="0"/>
  </r>
  <r>
    <s v="CI du fonctionnement, du handicap et de la santé "/>
    <s v="J6"/>
    <x v="27"/>
    <n v="43.5"/>
    <n v="4"/>
    <d v="2025-10-03T15:13:48"/>
    <d v="2025-10-10T08:21:24"/>
    <d v="2025-10-10T09:04:54"/>
    <n v="1"/>
    <n v="0"/>
  </r>
  <r>
    <s v="Jonction neuro-musculaire"/>
    <s v="J6"/>
    <x v="27"/>
    <n v="58.5"/>
    <n v="4"/>
    <d v="2025-10-03T16:24:00"/>
    <d v="2025-10-10T09:04:54"/>
    <d v="2025-10-10T10:03:24"/>
    <n v="1"/>
    <n v="0"/>
  </r>
  <r>
    <s v="Culture, corps et santé"/>
    <s v="J6"/>
    <x v="27"/>
    <n v="61.5"/>
    <n v="4"/>
    <d v="2025-10-03T17:37:48"/>
    <d v="2025-10-10T10:03:24"/>
    <d v="2025-10-10T11:04:54"/>
    <n v="1"/>
    <n v="0"/>
  </r>
  <r>
    <s v="Les acides aminés- les oses "/>
    <s v="J6"/>
    <x v="27"/>
    <n v="76.5"/>
    <n v="4"/>
    <d v="2025-10-06T09:09:36"/>
    <d v="2025-10-10T11:04:54"/>
    <d v="2025-10-10T12:21:24"/>
    <n v="1"/>
    <n v="0"/>
  </r>
  <r>
    <s v="psychologie générale "/>
    <s v="J10"/>
    <x v="27"/>
    <n v="19.2"/>
    <n v="4"/>
    <d v="2025-10-03T10:23:06"/>
    <d v="2025-10-10T12:21:24"/>
    <d v="2025-10-10T12:40:36"/>
    <n v="1"/>
    <n v="0"/>
  </r>
  <r>
    <s v="schéma d'étude "/>
    <s v="J10"/>
    <x v="27"/>
    <n v="33.6"/>
    <n v="4"/>
    <d v="2025-10-03T11:05:06"/>
    <d v="2025-10-10T12:40:36"/>
    <d v="2025-10-10T13:14:12"/>
    <n v="1"/>
    <n v="0"/>
  </r>
  <r>
    <s v="Les alcools- les amines"/>
    <s v="J10"/>
    <x v="27"/>
    <n v="33.6"/>
    <n v="4"/>
    <d v="2025-10-03T11:47:06"/>
    <d v="2025-10-10T13:14:12"/>
    <d v="2025-10-10T13:47:48"/>
    <n v="1"/>
    <n v="0"/>
  </r>
  <r>
    <s v="Introduction épidémiologie et stats"/>
    <s v="J10"/>
    <x v="27"/>
    <n v="61.199999999999996"/>
    <n v="4"/>
    <d v="2025-10-03T13:03:36"/>
    <d v="2025-10-10T13:47:48"/>
    <d v="2025-10-10T14:49:00"/>
    <n v="1"/>
    <n v="0"/>
  </r>
  <r>
    <s v="Intervention rééducation part-5"/>
    <s v="J10"/>
    <x v="27"/>
    <n v="62.4"/>
    <n v="4"/>
    <d v="2025-10-03T14:21:36"/>
    <d v="2025-10-10T14:49:00"/>
    <d v="2025-10-10T15:51:24"/>
    <n v="1"/>
    <n v="0"/>
  </r>
  <r>
    <s v="Appareil locomoteur 1"/>
    <s v="J0"/>
    <x v="27"/>
    <n v="79"/>
    <n v="0"/>
    <s v="-"/>
    <d v="2025-10-10T15:51:24"/>
    <d v="2025-10-10T17:10:24"/>
    <n v="1"/>
    <n v="0"/>
  </r>
  <r>
    <s v="Réplication de l'ADN"/>
    <s v="J0"/>
    <x v="27"/>
    <n v="108"/>
    <n v="0"/>
    <s v="-"/>
    <d v="2025-10-10T17:10:24"/>
    <d v="2025-10-13T08:58:24"/>
    <n v="1"/>
    <n v="0"/>
  </r>
  <r>
    <s v="Structure des glucides "/>
    <s v="J6"/>
    <x v="28"/>
    <n v="30"/>
    <n v="4"/>
    <d v="2025-10-06T16:55:00"/>
    <d v="2025-10-13T08:58:24"/>
    <d v="2025-10-13T09:28:24"/>
    <n v="1"/>
    <n v="0"/>
  </r>
  <r>
    <s v="Cytosquellette"/>
    <s v="J6"/>
    <x v="28"/>
    <n v="45"/>
    <n v="4"/>
    <d v="2025-10-06T17:49:00"/>
    <d v="2025-10-13T09:28:24"/>
    <d v="2025-10-13T10:13:24"/>
    <n v="1"/>
    <n v="0"/>
  </r>
  <r>
    <s v="Membre supérieur 3"/>
    <s v="J6"/>
    <x v="28"/>
    <n v="51.75"/>
    <n v="4"/>
    <d v="2025-10-07T08:51:06"/>
    <d v="2025-10-13T10:13:24"/>
    <d v="2025-10-13T11:05:09"/>
    <n v="1"/>
    <n v="0"/>
  </r>
  <r>
    <s v="Dos"/>
    <s v="J6"/>
    <x v="28"/>
    <n v="73.5"/>
    <n v="4"/>
    <d v="2025-10-07T10:19:18"/>
    <d v="2025-10-13T11:05:09"/>
    <d v="2025-10-13T12:18:39"/>
    <n v="1"/>
    <n v="0"/>
  </r>
  <r>
    <s v="Le domaine de l'optique "/>
    <s v="J6"/>
    <x v="28"/>
    <n v="75"/>
    <n v="4"/>
    <d v="2025-10-07T11:49:18"/>
    <d v="2025-10-13T12:18:39"/>
    <d v="2025-10-13T13:33:39"/>
    <n v="1"/>
    <n v="0"/>
  </r>
  <r>
    <s v="Rayons X et gamma-Rayonnement particulaire"/>
    <s v="J6"/>
    <x v="28"/>
    <n v="75"/>
    <n v="4"/>
    <d v="2025-10-07T13:19:18"/>
    <d v="2025-10-13T13:33:39"/>
    <d v="2025-10-13T14:48:39"/>
    <n v="1"/>
    <n v="0"/>
  </r>
  <r>
    <s v="Tête"/>
    <s v="J6"/>
    <x v="28"/>
    <n v="75"/>
    <n v="4"/>
    <d v="2025-10-07T14:49:18"/>
    <d v="2025-10-13T14:48:39"/>
    <d v="2025-10-13T16:03:39"/>
    <n v="1"/>
    <n v="0"/>
  </r>
  <r>
    <s v="La discipline anthropologique "/>
    <s v="J15"/>
    <x v="28"/>
    <n v="43.2"/>
    <n v="5"/>
    <d v="2025-10-06T10:07:12"/>
    <d v="2025-10-13T16:03:39"/>
    <d v="2025-10-13T16:46:51"/>
    <n v="1"/>
    <n v="0"/>
  </r>
  <r>
    <s v="intro: tissus"/>
    <s v="J15"/>
    <x v="28"/>
    <n v="50.85"/>
    <n v="5"/>
    <d v="2025-10-06T11:15:00"/>
    <d v="2025-10-13T16:46:51"/>
    <d v="2025-10-13T17:37:42"/>
    <n v="1"/>
    <n v="0"/>
  </r>
  <r>
    <s v="Sociologie de la profession médicale"/>
    <s v="J0"/>
    <x v="28"/>
    <n v="59"/>
    <n v="0"/>
    <s v="-"/>
    <d v="2025-10-13T17:37:42"/>
    <d v="2025-10-14T08:36:42"/>
    <n v="1"/>
    <n v="0"/>
  </r>
  <r>
    <s v="Structure et role des nucléotides"/>
    <s v="J0"/>
    <x v="28"/>
    <n v="114"/>
    <n v="0"/>
    <s v="-"/>
    <d v="2025-10-14T08:36:42"/>
    <d v="2025-10-14T10:30:42"/>
    <n v="1"/>
    <n v="0"/>
  </r>
  <r>
    <s v="évolution des conceptions relatives au stress"/>
    <s v="J0"/>
    <x v="28"/>
    <n v="118"/>
    <n v="0"/>
    <s v="-"/>
    <d v="2025-10-14T10:30:42"/>
    <d v="2025-10-14T12:28:42"/>
    <n v="1"/>
    <n v="0"/>
  </r>
  <r>
    <s v="Membre supérieur 1"/>
    <s v="J6"/>
    <x v="29"/>
    <n v="25.5"/>
    <n v="4"/>
    <d v="2025-10-08T08:35:21"/>
    <d v="2025-10-14T12:28:42"/>
    <d v="2025-10-14T12:54:12"/>
    <n v="1"/>
    <n v="0"/>
  </r>
  <r>
    <s v="pH et équilibre acido basique d'une solution"/>
    <s v="J6"/>
    <x v="29"/>
    <n v="27"/>
    <n v="4"/>
    <d v="2025-10-08T09:07:45"/>
    <d v="2025-10-14T12:54:12"/>
    <d v="2025-10-14T13:21:12"/>
    <n v="1"/>
    <n v="0"/>
  </r>
  <r>
    <s v="système nerveux autonome "/>
    <s v="J6"/>
    <x v="29"/>
    <n v="52.5"/>
    <n v="4"/>
    <d v="2025-10-08T10:10:45"/>
    <d v="2025-10-14T13:21:12"/>
    <d v="2025-10-14T14:13:42"/>
    <n v="1"/>
    <n v="0"/>
  </r>
  <r>
    <s v="Maladies, itinéraire thérapeutique"/>
    <s v="J6"/>
    <x v="29"/>
    <n v="57"/>
    <n v="4"/>
    <d v="2025-10-08T11:19:09"/>
    <d v="2025-10-14T14:13:42"/>
    <d v="2025-10-14T15:10:42"/>
    <n v="1"/>
    <n v="0"/>
  </r>
  <r>
    <s v="Nomenclature chimique- Isomérie "/>
    <s v="J6"/>
    <x v="29"/>
    <n v="66"/>
    <n v="4"/>
    <d v="2025-10-08T12:38:21"/>
    <d v="2025-10-14T15:10:42"/>
    <d v="2025-10-14T16:16:42"/>
    <n v="1"/>
    <n v="0"/>
  </r>
  <r>
    <s v="Répercussion sociétales et empowerment "/>
    <s v="J30"/>
    <x v="29"/>
    <n v="9.6"/>
    <n v="15"/>
    <d v="2025-09-16T08:14:24"/>
    <d v="2025-10-14T16:16:42"/>
    <d v="2025-10-14T16:26:18"/>
    <n v="1"/>
    <n v="0"/>
  </r>
  <r>
    <s v="Appareil locomoteur 1"/>
    <s v="J2"/>
    <x v="29"/>
    <n v="71.100000000000009"/>
    <n v="2"/>
    <d v="2025-10-10T17:10:24"/>
    <d v="2025-10-14T16:26:18"/>
    <d v="2025-10-14T17:37:24"/>
    <n v="1"/>
    <n v="0"/>
  </r>
  <r>
    <s v="Réplication de l'ADN"/>
    <s v="J2"/>
    <x v="29"/>
    <n v="97.2"/>
    <n v="2"/>
    <d v="2025-10-13T08:58:24"/>
    <d v="2025-10-14T17:37:24"/>
    <d v="2025-10-15T09:14:36"/>
    <n v="1"/>
    <n v="1"/>
  </r>
  <r>
    <s v="Représentations sociales du handicap "/>
    <s v="J15"/>
    <x v="29"/>
    <n v="16.2"/>
    <n v="5"/>
    <d v="2025-10-07T16:03:33"/>
    <d v="2025-10-15T09:14:36"/>
    <d v="2025-10-15T09:30:48"/>
    <n v="1"/>
    <n v="0"/>
  </r>
  <r>
    <s v="intro : généralités"/>
    <s v="J15"/>
    <x v="29"/>
    <n v="20.25"/>
    <n v="5"/>
    <d v="2025-10-07T16:30:33"/>
    <d v="2025-10-15T09:30:48"/>
    <d v="2025-10-15T09:51:03"/>
    <n v="1"/>
    <n v="0"/>
  </r>
  <r>
    <s v="Division cellulaire"/>
    <s v="J15"/>
    <x v="29"/>
    <n v="21.6"/>
    <n v="5"/>
    <d v="2025-10-07T16:59:21"/>
    <d v="2025-10-15T09:51:03"/>
    <d v="2025-10-15T10:12:39"/>
    <n v="1"/>
    <n v="0"/>
  </r>
  <r>
    <s v="Transcription et régulation "/>
    <s v="J15"/>
    <x v="29"/>
    <n v="22.05"/>
    <n v="5"/>
    <d v="2025-10-07T17:28:45"/>
    <d v="2025-10-15T10:12:39"/>
    <d v="2025-10-15T10:34:42"/>
    <n v="1"/>
    <n v="0"/>
  </r>
  <r>
    <s v="Membre inférieur 2 "/>
    <s v="J15"/>
    <x v="29"/>
    <n v="27"/>
    <n v="5"/>
    <d v="2025-10-08T08:04:45"/>
    <d v="2025-10-15T10:34:42"/>
    <d v="2025-10-15T11:01:42"/>
    <n v="1"/>
    <n v="0"/>
  </r>
  <r>
    <s v="Appareil locomoteur 3"/>
    <s v="J0"/>
    <x v="29"/>
    <n v="50"/>
    <n v="0"/>
    <s v="-"/>
    <d v="2025-10-15T11:01:42"/>
    <d v="2025-10-15T11:51:42"/>
    <n v="1"/>
    <n v="0"/>
  </r>
  <r>
    <s v="tests stats et méthodologie de choix de test "/>
    <s v="J0"/>
    <x v="29"/>
    <n v="60"/>
    <n v="0"/>
    <s v="-"/>
    <d v="2025-10-15T11:51:42"/>
    <d v="2025-10-15T12:51:42"/>
    <n v="1"/>
    <n v="0"/>
  </r>
  <r>
    <s v="Signalisation intracellulaire part 2"/>
    <s v="J0"/>
    <x v="29"/>
    <n v="89"/>
    <n v="0"/>
    <s v="-"/>
    <d v="2025-10-15T12:51:42"/>
    <d v="2025-10-15T14:20:42"/>
    <n v="1"/>
    <n v="0"/>
  </r>
  <r>
    <s v="Membre supérieur 2 "/>
    <s v="J0"/>
    <x v="29"/>
    <n v="102"/>
    <n v="0"/>
    <s v="-"/>
    <d v="2025-10-15T14:20:42"/>
    <d v="2025-10-15T16:02:42"/>
    <n v="1"/>
    <n v="0"/>
  </r>
  <r>
    <s v="épidémiologie descriptive"/>
    <s v="J30"/>
    <x v="30"/>
    <n v="15.299999999999999"/>
    <n v="15"/>
    <d v="2025-09-17T12:58:48"/>
    <d v="2025-10-15T16:02:42"/>
    <d v="2025-10-15T16:18:00"/>
    <n v="1"/>
    <n v="0"/>
  </r>
  <r>
    <s v="Économie du système de santé"/>
    <s v="J30"/>
    <x v="30"/>
    <n v="23.7"/>
    <n v="15"/>
    <d v="2025-09-17T13:34:21"/>
    <d v="2025-10-15T16:18:00"/>
    <d v="2025-10-15T16:41:42"/>
    <n v="1"/>
    <n v="0"/>
  </r>
  <r>
    <s v="Abdomen et pelvis 1"/>
    <s v="J30"/>
    <x v="30"/>
    <n v="27.599999999999998"/>
    <n v="15"/>
    <d v="2025-09-17T14:15:45"/>
    <d v="2025-10-15T16:41:42"/>
    <d v="2025-10-15T17:09:18"/>
    <n v="1"/>
    <n v="0"/>
  </r>
  <r>
    <s v="Synthèse tampons, Diagramme de Davenport"/>
    <s v="J30"/>
    <x v="30"/>
    <n v="33.9"/>
    <n v="15"/>
    <d v="2025-09-17T15:06:36"/>
    <d v="2025-10-15T17:09:18"/>
    <d v="2025-10-15T17:43:12"/>
    <n v="1"/>
    <n v="0"/>
  </r>
  <r>
    <s v="Sociologie de la profession médicale"/>
    <s v="J2"/>
    <x v="30"/>
    <n v="53.1"/>
    <n v="2"/>
    <d v="2025-10-14T08:36:42"/>
    <d v="2025-10-15T17:43:12"/>
    <d v="2025-10-16T08:36:18"/>
    <n v="1"/>
    <n v="1"/>
  </r>
  <r>
    <s v="Structure et role des nucléotides"/>
    <s v="J2"/>
    <x v="30"/>
    <n v="102.60000000000001"/>
    <n v="2"/>
    <d v="2025-10-14T10:30:42"/>
    <d v="2025-10-16T08:36:18"/>
    <d v="2025-10-16T10:18:54"/>
    <n v="1"/>
    <n v="0"/>
  </r>
  <r>
    <s v="évolution des conceptions relatives au stress"/>
    <s v="J2"/>
    <x v="30"/>
    <n v="106.2"/>
    <n v="2"/>
    <d v="2025-10-14T12:28:42"/>
    <d v="2025-10-16T10:18:54"/>
    <d v="2025-10-16T12:05:06"/>
    <n v="1"/>
    <n v="0"/>
  </r>
  <r>
    <s v="États  de la matière et leur caractérisation "/>
    <s v="J15"/>
    <x v="30"/>
    <n v="40.5"/>
    <n v="5"/>
    <d v="2025-10-08T15:41:57"/>
    <d v="2025-10-16T12:05:06"/>
    <d v="2025-10-16T12:45:36"/>
    <n v="1"/>
    <n v="0"/>
  </r>
  <r>
    <s v="Interaction rayonnement-Matière "/>
    <s v="J15"/>
    <x v="30"/>
    <n v="50.4"/>
    <n v="5"/>
    <d v="2025-10-08T16:49:09"/>
    <d v="2025-10-16T12:45:36"/>
    <d v="2025-10-16T13:36:00"/>
    <n v="1"/>
    <n v="0"/>
  </r>
  <r>
    <s v="essai thérapeutique "/>
    <s v="J15"/>
    <x v="30"/>
    <n v="50.85"/>
    <n v="5"/>
    <d v="2025-10-08T17:56:57"/>
    <d v="2025-10-16T13:36:00"/>
    <d v="2025-10-16T14:26:51"/>
    <n v="1"/>
    <n v="0"/>
  </r>
  <r>
    <s v="Les très basses fréquences du spectre électromagnétique "/>
    <s v="J15"/>
    <x v="30"/>
    <n v="54"/>
    <n v="5"/>
    <d v="2025-10-09T09:08:57"/>
    <d v="2025-10-16T14:26:51"/>
    <d v="2025-10-16T15:20:51"/>
    <n v="1"/>
    <n v="0"/>
  </r>
  <r>
    <s v="Transport intracellulaire et trafic vésiculaire "/>
    <s v="J10"/>
    <x v="30"/>
    <n v="19.8"/>
    <n v="4"/>
    <d v="2025-10-09T09:33:42"/>
    <d v="2025-10-16T15:20:51"/>
    <d v="2025-10-16T15:40:39"/>
    <n v="1"/>
    <n v="0"/>
  </r>
  <r>
    <s v="Membre inférieur 1"/>
    <s v="J10"/>
    <x v="30"/>
    <n v="66"/>
    <n v="4"/>
    <d v="2025-10-09T10:56:12"/>
    <d v="2025-10-16T15:40:39"/>
    <d v="2025-10-16T16:46:39"/>
    <n v="1"/>
    <n v="0"/>
  </r>
  <r>
    <s v="intro: région, fascias et appareil "/>
    <s v="J10"/>
    <x v="30"/>
    <n v="67.2"/>
    <n v="4"/>
    <d v="2025-10-09T12:20:12"/>
    <d v="2025-10-16T16:46:39"/>
    <d v="2025-10-16T17:53:51"/>
    <n v="1"/>
    <n v="0"/>
  </r>
  <r>
    <s v="Appareil locomoteur 2"/>
    <s v="J0"/>
    <x v="30"/>
    <n v="76"/>
    <n v="0"/>
    <s v="-"/>
    <d v="2025-10-16T17:53:51"/>
    <d v="2025-10-17T09:09:51"/>
    <n v="1"/>
    <n v="0"/>
  </r>
  <r>
    <s v="Méthode d'évaluation du stress objectif "/>
    <s v="J0"/>
    <x v="30"/>
    <n v="119"/>
    <n v="0"/>
    <s v="-"/>
    <d v="2025-10-17T09:09:51"/>
    <d v="2025-10-17T11:08:51"/>
    <n v="1"/>
    <n v="0"/>
  </r>
  <r>
    <s v="Thermorégulation"/>
    <s v="J30"/>
    <x v="31"/>
    <n v="19.8"/>
    <n v="15"/>
    <d v="2025-09-19T10:01:30"/>
    <d v="2025-10-17T11:08:51"/>
    <d v="2025-10-17T11:28:39"/>
    <n v="1"/>
    <n v="0"/>
  </r>
  <r>
    <s v="Potentiel électrochimique "/>
    <s v="J30"/>
    <x v="31"/>
    <n v="30"/>
    <n v="15"/>
    <d v="2025-09-19T10:46:30"/>
    <d v="2025-10-17T11:28:39"/>
    <d v="2025-10-17T11:58:39"/>
    <n v="1"/>
    <n v="0"/>
  </r>
  <r>
    <s v="intro: mouvements"/>
    <s v="J30"/>
    <x v="31"/>
    <n v="31.5"/>
    <n v="15"/>
    <d v="2025-09-19T11:33:45"/>
    <d v="2025-10-17T11:58:39"/>
    <d v="2025-10-17T12:30:09"/>
    <n v="1"/>
    <n v="0"/>
  </r>
  <r>
    <s v="Appareil locomoteur 3"/>
    <s v="J2"/>
    <x v="31"/>
    <n v="45"/>
    <n v="2"/>
    <d v="2025-10-15T11:51:42"/>
    <d v="2025-10-17T12:30:09"/>
    <d v="2025-10-17T13:15:09"/>
    <n v="1"/>
    <n v="0"/>
  </r>
  <r>
    <s v="tests stats et méthodologie de choix de test "/>
    <s v="J2"/>
    <x v="31"/>
    <n v="54"/>
    <n v="2"/>
    <d v="2025-10-15T12:51:42"/>
    <d v="2025-10-17T13:15:09"/>
    <d v="2025-10-17T14:09:09"/>
    <n v="1"/>
    <n v="0"/>
  </r>
  <r>
    <s v="Signalisation intracellulaire part 2"/>
    <s v="J2"/>
    <x v="31"/>
    <n v="80.100000000000009"/>
    <n v="2"/>
    <d v="2025-10-15T14:20:42"/>
    <d v="2025-10-17T14:09:09"/>
    <d v="2025-10-17T15:29:15"/>
    <n v="1"/>
    <n v="0"/>
  </r>
  <r>
    <s v="Membre supérieur 2 "/>
    <s v="J2"/>
    <x v="31"/>
    <n v="91.8"/>
    <n v="2"/>
    <d v="2025-10-15T16:02:42"/>
    <d v="2025-10-17T15:29:15"/>
    <d v="2025-10-17T17:01:03"/>
    <n v="1"/>
    <n v="0"/>
  </r>
  <r>
    <s v="Acides Aminés- peptides "/>
    <s v="J15"/>
    <x v="31"/>
    <n v="13.950000000000001"/>
    <n v="5"/>
    <d v="2025-10-09T12:38:48"/>
    <d v="2025-10-17T17:01:03"/>
    <d v="2025-10-17T17:15:00"/>
    <n v="1"/>
    <n v="0"/>
  </r>
  <r>
    <s v="Intervention rééducation part-2"/>
    <s v="J15"/>
    <x v="31"/>
    <n v="18"/>
    <n v="5"/>
    <d v="2025-10-09T13:02:48"/>
    <d v="2025-10-17T17:15:00"/>
    <d v="2025-10-17T17:33:00"/>
    <n v="1"/>
    <n v="0"/>
  </r>
  <r>
    <s v="Du chromosome à l'ADN"/>
    <s v="J15"/>
    <x v="31"/>
    <n v="27"/>
    <n v="5"/>
    <d v="2025-10-09T13:38:48"/>
    <d v="2025-10-17T17:33:00"/>
    <d v="2025-10-20T08:00:00"/>
    <n v="1"/>
    <n v="0"/>
  </r>
  <r>
    <s v="corrélation et régression linéaire"/>
    <s v="J15"/>
    <x v="31"/>
    <n v="32.85"/>
    <n v="5"/>
    <d v="2025-10-09T14:22:36"/>
    <d v="2025-10-20T08:00:00"/>
    <d v="2025-10-20T08:32:51"/>
    <n v="1"/>
    <n v="0"/>
  </r>
  <r>
    <s v="Signalisation intracellulaire part 1"/>
    <s v="J15"/>
    <x v="31"/>
    <n v="36.9"/>
    <n v="5"/>
    <d v="2025-10-09T15:11:48"/>
    <d v="2025-10-20T08:32:51"/>
    <d v="2025-10-20T09:09:45"/>
    <n v="1"/>
    <n v="0"/>
  </r>
  <r>
    <s v="Régulation et rôle du rein "/>
    <s v="J15"/>
    <x v="31"/>
    <n v="44.550000000000004"/>
    <n v="5"/>
    <d v="2025-10-09T16:11:12"/>
    <d v="2025-10-20T09:09:45"/>
    <d v="2025-10-20T09:54:18"/>
    <n v="1"/>
    <n v="0"/>
  </r>
  <r>
    <s v="Liaisons chimique et interactions moléculaires"/>
    <s v="J15"/>
    <x v="31"/>
    <n v="48.15"/>
    <n v="5"/>
    <d v="2025-10-09T17:15:24"/>
    <d v="2025-10-20T09:54:18"/>
    <d v="2025-10-20T10:42:27"/>
    <n v="1"/>
    <n v="0"/>
  </r>
  <r>
    <s v="Physiologie et compartiments liquidiens "/>
    <s v="J15"/>
    <x v="31"/>
    <n v="49.5"/>
    <n v="5"/>
    <d v="2025-10-10T08:21:24"/>
    <d v="2025-10-20T10:42:27"/>
    <d v="2025-10-20T11:31:57"/>
    <n v="1"/>
    <n v="0"/>
  </r>
  <r>
    <s v="CI du fonctionnement, du handicap et de la santé "/>
    <s v="J10"/>
    <x v="31"/>
    <n v="34.799999999999997"/>
    <n v="4"/>
    <d v="2025-10-10T09:04:54"/>
    <d v="2025-10-20T11:31:57"/>
    <d v="2025-10-20T12:06:45"/>
    <n v="1"/>
    <n v="0"/>
  </r>
  <r>
    <s v="Jonction neuro-musculaire"/>
    <s v="J10"/>
    <x v="31"/>
    <n v="46.8"/>
    <n v="4"/>
    <d v="2025-10-10T10:03:24"/>
    <d v="2025-10-20T12:06:45"/>
    <d v="2025-10-20T12:53:33"/>
    <n v="1"/>
    <n v="0"/>
  </r>
  <r>
    <s v="Culture, corps et santé"/>
    <s v="J10"/>
    <x v="31"/>
    <n v="49.199999999999996"/>
    <n v="4"/>
    <d v="2025-10-10T11:04:54"/>
    <d v="2025-10-20T12:53:33"/>
    <d v="2025-10-20T13:42:45"/>
    <n v="1"/>
    <n v="0"/>
  </r>
  <r>
    <s v="Les acides aminés- les oses "/>
    <s v="J10"/>
    <x v="31"/>
    <n v="61.199999999999996"/>
    <n v="4"/>
    <d v="2025-10-10T12:21:24"/>
    <d v="2025-10-20T13:42:45"/>
    <d v="2025-10-20T14:43:57"/>
    <n v="1"/>
    <n v="0"/>
  </r>
  <r>
    <s v="stats descriptives"/>
    <s v="J0"/>
    <x v="31"/>
    <n v="62"/>
    <n v="0"/>
    <s v="-"/>
    <d v="2025-10-20T14:43:57"/>
    <d v="2025-10-20T15:45:57"/>
    <n v="1"/>
    <n v="0"/>
  </r>
  <r>
    <s v="Cou"/>
    <s v="J0"/>
    <x v="31"/>
    <n v="62"/>
    <n v="0"/>
    <s v="-"/>
    <d v="2025-10-20T15:45:57"/>
    <d v="2025-10-20T16:47:57"/>
    <n v="1"/>
    <n v="0"/>
  </r>
  <r>
    <s v="Synthèse et dégradation des protéines"/>
    <s v="J0"/>
    <x v="31"/>
    <n v="106"/>
    <n v="0"/>
    <s v="-"/>
    <d v="2025-10-20T16:47:57"/>
    <d v="2025-10-21T08:33:57"/>
    <n v="1"/>
    <n v="0"/>
  </r>
  <r>
    <s v="Appareil locomoteur 2"/>
    <s v="J2"/>
    <x v="32"/>
    <n v="68.400000000000006"/>
    <n v="2"/>
    <d v="2025-10-17T09:09:51"/>
    <d v="2025-10-21T08:33:57"/>
    <d v="2025-10-21T09:42:21"/>
    <n v="1"/>
    <n v="0"/>
  </r>
  <r>
    <s v="Méthode d'évaluation du stress objectif "/>
    <s v="J2"/>
    <x v="32"/>
    <n v="107.10000000000001"/>
    <n v="2"/>
    <d v="2025-10-17T11:08:51"/>
    <d v="2025-10-21T09:42:21"/>
    <d v="2025-10-21T11:29:27"/>
    <n v="1"/>
    <n v="0"/>
  </r>
  <r>
    <s v="psychologie générale "/>
    <s v="J15"/>
    <x v="32"/>
    <n v="14.4"/>
    <n v="5"/>
    <d v="2025-10-10T12:40:36"/>
    <d v="2025-10-21T11:29:27"/>
    <d v="2025-10-21T11:43:51"/>
    <n v="1"/>
    <n v="0"/>
  </r>
  <r>
    <s v="schéma d'étude "/>
    <s v="J15"/>
    <x v="32"/>
    <n v="25.2"/>
    <n v="5"/>
    <d v="2025-10-10T13:14:12"/>
    <d v="2025-10-21T11:43:51"/>
    <d v="2025-10-21T12:09:03"/>
    <n v="1"/>
    <n v="0"/>
  </r>
  <r>
    <s v="Les alcools- les amines"/>
    <s v="J15"/>
    <x v="32"/>
    <n v="25.2"/>
    <n v="5"/>
    <d v="2025-10-10T13:47:48"/>
    <d v="2025-10-21T12:09:03"/>
    <d v="2025-10-21T12:34:15"/>
    <n v="1"/>
    <n v="0"/>
  </r>
  <r>
    <s v="Introduction épidémiologie et stats"/>
    <s v="J15"/>
    <x v="32"/>
    <n v="45.9"/>
    <n v="5"/>
    <d v="2025-10-10T14:49:00"/>
    <d v="2025-10-21T12:34:15"/>
    <d v="2025-10-21T13:20:09"/>
    <n v="1"/>
    <n v="0"/>
  </r>
  <r>
    <s v="Intervention rééducation part-5"/>
    <s v="J15"/>
    <x v="32"/>
    <n v="46.800000000000004"/>
    <n v="5"/>
    <d v="2025-10-10T15:51:24"/>
    <d v="2025-10-21T13:20:09"/>
    <d v="2025-10-21T14:06:57"/>
    <n v="1"/>
    <n v="0"/>
  </r>
  <r>
    <s v="Structure des glucides "/>
    <s v="J10"/>
    <x v="32"/>
    <n v="24"/>
    <n v="4"/>
    <d v="2025-10-13T09:28:24"/>
    <d v="2025-10-21T14:06:57"/>
    <d v="2025-10-21T14:30:57"/>
    <n v="1"/>
    <n v="0"/>
  </r>
  <r>
    <s v="Cytosquellette"/>
    <s v="J10"/>
    <x v="32"/>
    <n v="36"/>
    <n v="4"/>
    <d v="2025-10-13T10:13:24"/>
    <d v="2025-10-21T14:30:57"/>
    <d v="2025-10-21T15:06:57"/>
    <n v="1"/>
    <n v="0"/>
  </r>
  <r>
    <s v="Membre supérieur 3"/>
    <s v="J10"/>
    <x v="32"/>
    <n v="41.4"/>
    <n v="4"/>
    <d v="2025-10-13T11:05:09"/>
    <d v="2025-10-21T15:06:57"/>
    <d v="2025-10-21T15:48:21"/>
    <n v="1"/>
    <n v="0"/>
  </r>
  <r>
    <s v="Dos"/>
    <s v="J10"/>
    <x v="32"/>
    <n v="58.8"/>
    <n v="4"/>
    <d v="2025-10-13T12:18:39"/>
    <d v="2025-10-21T15:48:21"/>
    <d v="2025-10-21T16:47:09"/>
    <n v="1"/>
    <n v="0"/>
  </r>
  <r>
    <s v="Le domaine de l'optique "/>
    <s v="J10"/>
    <x v="32"/>
    <n v="60"/>
    <n v="4"/>
    <d v="2025-10-13T13:33:39"/>
    <d v="2025-10-21T16:47:09"/>
    <d v="2025-10-21T17:47:09"/>
    <n v="1"/>
    <n v="0"/>
  </r>
  <r>
    <s v="Rayons X et gamma-Rayonnement particulaire"/>
    <s v="J10"/>
    <x v="32"/>
    <n v="60"/>
    <n v="4"/>
    <d v="2025-10-13T14:48:39"/>
    <d v="2025-10-21T17:47:09"/>
    <d v="2025-10-22T08:47:09"/>
    <n v="1"/>
    <n v="0"/>
  </r>
  <r>
    <s v="Tête"/>
    <s v="J10"/>
    <x v="32"/>
    <n v="60"/>
    <n v="4"/>
    <d v="2025-10-13T16:03:39"/>
    <d v="2025-10-22T08:47:09"/>
    <d v="2025-10-22T09:47:09"/>
    <n v="1"/>
    <n v="0"/>
  </r>
  <r>
    <s v="Appareil locomoteur 1"/>
    <s v="J6"/>
    <x v="33"/>
    <n v="59.25"/>
    <n v="4"/>
    <d v="2025-10-14T17:37:24"/>
    <d v="2025-10-22T09:47:09"/>
    <d v="2025-10-22T10:46:24"/>
    <n v="1"/>
    <n v="0"/>
  </r>
  <r>
    <s v="Réplication de l'ADN"/>
    <s v="J6"/>
    <x v="33"/>
    <n v="81"/>
    <n v="4"/>
    <d v="2025-10-15T09:14:36"/>
    <d v="2025-10-22T10:46:24"/>
    <d v="2025-10-22T12:07:24"/>
    <n v="1"/>
    <n v="0"/>
  </r>
  <r>
    <s v="Intervention rééducation part-1 "/>
    <s v="J30"/>
    <x v="33"/>
    <n v="18.899999999999999"/>
    <n v="15"/>
    <d v="2025-09-25T12:29:48"/>
    <d v="2025-10-22T12:07:24"/>
    <d v="2025-10-22T12:26:18"/>
    <n v="1"/>
    <n v="0"/>
  </r>
  <r>
    <s v="stats descriptives"/>
    <s v="J2"/>
    <x v="33"/>
    <n v="55.800000000000004"/>
    <n v="2"/>
    <d v="2025-10-20T15:45:57"/>
    <d v="2025-10-22T12:26:18"/>
    <d v="2025-10-22T13:22:06"/>
    <n v="1"/>
    <n v="0"/>
  </r>
  <r>
    <s v="Cou"/>
    <s v="J2"/>
    <x v="33"/>
    <n v="55.800000000000004"/>
    <n v="2"/>
    <d v="2025-10-20T16:47:57"/>
    <d v="2025-10-22T13:22:06"/>
    <d v="2025-10-22T14:17:54"/>
    <n v="1"/>
    <n v="0"/>
  </r>
  <r>
    <s v="Synthèse et dégradation des protéines"/>
    <s v="J2"/>
    <x v="33"/>
    <n v="95.4"/>
    <n v="2"/>
    <d v="2025-10-21T08:33:57"/>
    <d v="2025-10-22T14:17:54"/>
    <d v="2025-10-22T15:53:18"/>
    <n v="1"/>
    <n v="1"/>
  </r>
  <r>
    <s v="Membre supérieur 1"/>
    <s v="J10"/>
    <x v="33"/>
    <n v="20.399999999999999"/>
    <n v="4"/>
    <d v="2025-10-14T12:54:12"/>
    <d v="2025-10-22T15:53:18"/>
    <d v="2025-10-22T16:13:42"/>
    <n v="1"/>
    <n v="0"/>
  </r>
  <r>
    <s v="pH et équilibre acido basique d'une solution"/>
    <s v="J10"/>
    <x v="33"/>
    <n v="21.599999999999998"/>
    <n v="4"/>
    <d v="2025-10-14T13:21:12"/>
    <d v="2025-10-22T16:13:42"/>
    <d v="2025-10-22T16:35:18"/>
    <n v="1"/>
    <n v="0"/>
  </r>
  <r>
    <s v="système nerveux autonome "/>
    <s v="J10"/>
    <x v="33"/>
    <n v="42"/>
    <n v="4"/>
    <d v="2025-10-14T14:13:42"/>
    <d v="2025-10-22T16:35:18"/>
    <d v="2025-10-22T17:17:18"/>
    <n v="1"/>
    <n v="0"/>
  </r>
  <r>
    <s v="Maladies, itinéraire thérapeutique"/>
    <s v="J10"/>
    <x v="33"/>
    <n v="45.6"/>
    <n v="4"/>
    <d v="2025-10-14T15:10:42"/>
    <d v="2025-10-22T17:17:18"/>
    <d v="2025-10-23T08:02:54"/>
    <n v="1"/>
    <n v="0"/>
  </r>
  <r>
    <s v="Nomenclature chimique- Isomérie "/>
    <s v="J10"/>
    <x v="33"/>
    <n v="52.8"/>
    <n v="4"/>
    <d v="2025-10-14T16:16:42"/>
    <d v="2025-10-23T08:02:54"/>
    <d v="2025-10-23T08:55:42"/>
    <n v="1"/>
    <n v="0"/>
  </r>
  <r>
    <s v="Sociologie de la profession médicale"/>
    <s v="J6"/>
    <x v="34"/>
    <n v="44.25"/>
    <n v="4"/>
    <d v="2025-10-16T08:36:18"/>
    <d v="2025-10-23T08:55:42"/>
    <d v="2025-10-23T09:39:57"/>
    <n v="1"/>
    <n v="0"/>
  </r>
  <r>
    <s v="Structure et role des nucléotides"/>
    <s v="J6"/>
    <x v="34"/>
    <n v="85.5"/>
    <n v="4"/>
    <d v="2025-10-16T10:18:54"/>
    <d v="2025-10-23T09:39:57"/>
    <d v="2025-10-23T11:05:27"/>
    <n v="1"/>
    <n v="0"/>
  </r>
  <r>
    <s v="évolution des conceptions relatives au stress"/>
    <s v="J6"/>
    <x v="34"/>
    <n v="88.5"/>
    <n v="4"/>
    <d v="2025-10-16T12:05:06"/>
    <d v="2025-10-23T11:05:27"/>
    <d v="2025-10-23T12:33:57"/>
    <n v="1"/>
    <n v="0"/>
  </r>
  <r>
    <s v="Prévention-Alla "/>
    <s v="J0"/>
    <x v="34"/>
    <n v="71"/>
    <n v="0"/>
    <s v="-"/>
    <d v="2025-10-23T12:33:57"/>
    <d v="2025-10-23T13:44:57"/>
    <n v="1"/>
    <n v="0"/>
  </r>
  <r>
    <s v="Transports membranaires"/>
    <s v="J0"/>
    <x v="34"/>
    <n v="71"/>
    <n v="0"/>
    <s v="-"/>
    <d v="2025-10-23T13:44:57"/>
    <d v="2025-10-23T14:55:57"/>
    <n v="1"/>
    <n v="0"/>
  </r>
  <r>
    <s v="Appareil locomoteur 3"/>
    <s v="J6"/>
    <x v="35"/>
    <n v="37.5"/>
    <n v="4"/>
    <d v="2025-10-17T13:15:09"/>
    <d v="2025-10-23T14:55:57"/>
    <d v="2025-10-23T15:33:27"/>
    <n v="1"/>
    <n v="0"/>
  </r>
  <r>
    <s v="tests stats et méthodologie de choix de test "/>
    <s v="J6"/>
    <x v="35"/>
    <n v="45"/>
    <n v="4"/>
    <d v="2025-10-17T14:09:09"/>
    <d v="2025-10-23T15:33:27"/>
    <d v="2025-10-23T16:18:27"/>
    <n v="1"/>
    <n v="0"/>
  </r>
  <r>
    <s v="Signalisation intracellulaire part 2"/>
    <s v="J6"/>
    <x v="35"/>
    <n v="66.75"/>
    <n v="4"/>
    <d v="2025-10-17T15:29:15"/>
    <d v="2025-10-23T16:18:27"/>
    <d v="2025-10-23T17:25:12"/>
    <n v="1"/>
    <n v="0"/>
  </r>
  <r>
    <s v="Membre supérieur 2 "/>
    <s v="J6"/>
    <x v="35"/>
    <n v="76.5"/>
    <n v="4"/>
    <d v="2025-10-17T17:01:03"/>
    <d v="2025-10-23T17:25:12"/>
    <d v="2025-10-24T08:41:42"/>
    <n v="1"/>
    <n v="0"/>
  </r>
  <r>
    <s v="Transport intracellulaire et trafic vésiculaire "/>
    <s v="J15"/>
    <x v="35"/>
    <n v="14.85"/>
    <n v="5"/>
    <d v="2025-10-16T15:40:39"/>
    <d v="2025-10-24T08:41:42"/>
    <d v="2025-10-24T08:56:33"/>
    <n v="1"/>
    <n v="0"/>
  </r>
  <r>
    <s v="Membre inférieur 1"/>
    <s v="J15"/>
    <x v="35"/>
    <n v="49.5"/>
    <n v="5"/>
    <d v="2025-10-16T16:46:39"/>
    <d v="2025-10-24T08:56:33"/>
    <d v="2025-10-24T09:46:03"/>
    <n v="1"/>
    <n v="0"/>
  </r>
  <r>
    <s v="intro: région, fascias et appareil "/>
    <s v="J15"/>
    <x v="35"/>
    <n v="50.4"/>
    <n v="5"/>
    <d v="2025-10-16T17:53:51"/>
    <d v="2025-10-24T09:46:03"/>
    <d v="2025-10-24T10:36:27"/>
    <n v="1"/>
    <n v="0"/>
  </r>
  <r>
    <s v="Détection des rayonnements "/>
    <s v="J0"/>
    <x v="35"/>
    <n v="36"/>
    <n v="0"/>
    <s v="-"/>
    <d v="2025-10-24T10:36:27"/>
    <d v="2025-10-24T11:12:27"/>
    <n v="1"/>
    <n v="0"/>
  </r>
  <r>
    <s v="Atomes"/>
    <s v="J0"/>
    <x v="35"/>
    <n v="66"/>
    <n v="0"/>
    <s v="-"/>
    <d v="2025-10-24T11:12:27"/>
    <d v="2025-10-24T12:18:27"/>
    <n v="1"/>
    <n v="0"/>
  </r>
  <r>
    <s v="Cellules souches"/>
    <s v="J0"/>
    <x v="35"/>
    <n v="84"/>
    <n v="0"/>
    <s v="-"/>
    <d v="2025-10-24T12:18:27"/>
    <d v="2025-10-24T13:42:27"/>
    <n v="1"/>
    <n v="0"/>
  </r>
  <r>
    <s v="Mouvement molécules de surface"/>
    <s v="J0"/>
    <x v="35"/>
    <n v="101"/>
    <n v="0"/>
    <s v="-"/>
    <d v="2025-10-24T13:42:27"/>
    <d v="2025-10-24T15:23:27"/>
    <n v="1"/>
    <n v="0"/>
  </r>
  <r>
    <s v="Molécules du vivant"/>
    <s v="J0"/>
    <x v="35"/>
    <n v="109"/>
    <n v="0"/>
    <s v="-"/>
    <d v="2025-10-24T15:23:27"/>
    <d v="2025-10-24T17:12:27"/>
    <n v="1"/>
    <n v="0"/>
  </r>
  <r>
    <s v="Appareil locomoteur 2"/>
    <s v="J6"/>
    <x v="36"/>
    <n v="57"/>
    <n v="4"/>
    <d v="2025-10-21T09:42:21"/>
    <d v="2025-10-24T17:12:27"/>
    <d v="2025-10-27T08:09:27"/>
    <n v="1"/>
    <n v="1"/>
  </r>
  <r>
    <s v="Méthode d'évaluation du stress objectif "/>
    <s v="J6"/>
    <x v="36"/>
    <n v="89.25"/>
    <n v="4"/>
    <d v="2025-10-21T11:29:27"/>
    <d v="2025-10-27T08:09:27"/>
    <d v="2025-10-27T09:38:42"/>
    <n v="1"/>
    <n v="0"/>
  </r>
  <r>
    <s v="Législation handicap "/>
    <s v="J30"/>
    <x v="36"/>
    <n v="20.7"/>
    <n v="15"/>
    <d v="2025-09-29T17:35:21"/>
    <d v="2025-10-27T09:38:42"/>
    <d v="2025-10-27T09:59:24"/>
    <n v="1"/>
    <n v="0"/>
  </r>
  <r>
    <s v="Dérivés d'acides carboxylique- AG "/>
    <s v="J30"/>
    <x v="36"/>
    <n v="23.4"/>
    <n v="15"/>
    <d v="2025-09-30T08:10:27"/>
    <d v="2025-10-27T09:59:24"/>
    <d v="2025-10-27T10:22:48"/>
    <n v="1"/>
    <n v="0"/>
  </r>
  <r>
    <s v="Intervention rééducation part-6"/>
    <s v="J30"/>
    <x v="36"/>
    <n v="24.9"/>
    <n v="15"/>
    <d v="2025-09-30T08:47:48"/>
    <d v="2025-10-27T10:22:48"/>
    <d v="2025-10-27T10:47:42"/>
    <n v="1"/>
    <n v="0"/>
  </r>
  <r>
    <s v="Abdomen et pelvis 2 "/>
    <s v="J30"/>
    <x v="36"/>
    <n v="25.5"/>
    <n v="15"/>
    <d v="2025-09-30T09:26:03"/>
    <d v="2025-10-27T10:47:42"/>
    <d v="2025-10-27T11:13:12"/>
    <n v="1"/>
    <n v="0"/>
  </r>
  <r>
    <s v="Thorax"/>
    <s v="J30"/>
    <x v="36"/>
    <n v="27.9"/>
    <n v="15"/>
    <d v="2025-09-30T10:07:54"/>
    <d v="2025-10-27T11:13:12"/>
    <d v="2025-10-27T11:41:06"/>
    <n v="1"/>
    <n v="0"/>
  </r>
  <r>
    <s v="Propriétés électroniques des liaisons chimiques"/>
    <s v="J30"/>
    <x v="36"/>
    <n v="30.299999999999997"/>
    <n v="15"/>
    <d v="2025-09-30T10:53:21"/>
    <d v="2025-10-27T11:41:06"/>
    <d v="2025-10-27T12:11:24"/>
    <n v="1"/>
    <n v="0"/>
  </r>
  <r>
    <s v="intro: référence et particularité"/>
    <s v="J30"/>
    <x v="36"/>
    <n v="31.799999999999997"/>
    <n v="15"/>
    <d v="2025-09-30T11:41:03"/>
    <d v="2025-10-27T12:11:24"/>
    <d v="2025-10-27T12:43:12"/>
    <n v="1"/>
    <n v="0"/>
  </r>
  <r>
    <s v="Prévention-Alla "/>
    <s v="J2"/>
    <x v="36"/>
    <n v="63.9"/>
    <n v="2"/>
    <d v="2025-10-23T13:44:57"/>
    <d v="2025-10-27T12:43:12"/>
    <d v="2025-10-27T13:47:06"/>
    <n v="1"/>
    <n v="0"/>
  </r>
  <r>
    <s v="Transports membranaires"/>
    <s v="J2"/>
    <x v="36"/>
    <n v="63.9"/>
    <n v="2"/>
    <d v="2025-10-23T14:55:57"/>
    <d v="2025-10-27T13:47:06"/>
    <d v="2025-10-27T14:51:00"/>
    <n v="1"/>
    <n v="0"/>
  </r>
  <r>
    <s v="CI du fonctionnement, du handicap et de la santé "/>
    <s v="J15"/>
    <x v="36"/>
    <n v="26.1"/>
    <n v="5"/>
    <d v="2025-10-20T12:06:45"/>
    <d v="2025-10-27T14:51:00"/>
    <d v="2025-10-27T15:17:06"/>
    <n v="1"/>
    <n v="0"/>
  </r>
  <r>
    <s v="Jonction neuro-musculaire"/>
    <s v="J15"/>
    <x v="36"/>
    <n v="35.1"/>
    <n v="5"/>
    <d v="2025-10-20T12:53:33"/>
    <d v="2025-10-27T15:17:06"/>
    <d v="2025-10-27T15:52:12"/>
    <n v="1"/>
    <n v="0"/>
  </r>
  <r>
    <s v="Culture, corps et santé"/>
    <s v="J15"/>
    <x v="36"/>
    <n v="36.9"/>
    <n v="5"/>
    <d v="2025-10-20T13:42:45"/>
    <d v="2025-10-27T15:52:12"/>
    <d v="2025-10-27T16:29:06"/>
    <n v="1"/>
    <n v="0"/>
  </r>
  <r>
    <s v="Les acides aminés- les oses "/>
    <s v="J15"/>
    <x v="36"/>
    <n v="45.9"/>
    <n v="5"/>
    <d v="2025-10-20T14:43:57"/>
    <d v="2025-10-27T16:29:06"/>
    <d v="2025-10-27T17:15:00"/>
    <n v="1"/>
    <n v="0"/>
  </r>
  <r>
    <s v="évaluation des procédures diagnostiques"/>
    <s v="J0"/>
    <x v="36"/>
    <n v="40"/>
    <n v="0"/>
    <s v="-"/>
    <d v="2025-10-27T17:15:00"/>
    <d v="2025-10-27T17:55:00"/>
    <n v="1"/>
    <n v="0"/>
  </r>
  <r>
    <s v="Réparation de l'ADN"/>
    <s v="J0"/>
    <x v="36"/>
    <n v="81"/>
    <n v="0"/>
    <s v="-"/>
    <d v="2025-10-27T17:55:00"/>
    <d v="2025-10-28T09:16:00"/>
    <n v="1"/>
    <n v="0"/>
  </r>
  <r>
    <s v="stats descriptives"/>
    <s v="J6"/>
    <x v="37"/>
    <n v="46.5"/>
    <n v="4"/>
    <d v="2025-10-22T13:22:06"/>
    <d v="2025-10-28T09:16:00"/>
    <d v="2025-10-28T10:02:30"/>
    <n v="1"/>
    <n v="0"/>
  </r>
  <r>
    <s v="Cou"/>
    <s v="J6"/>
    <x v="37"/>
    <n v="46.5"/>
    <n v="4"/>
    <d v="2025-10-22T14:17:54"/>
    <d v="2025-10-28T10:02:30"/>
    <d v="2025-10-28T10:49:00"/>
    <n v="1"/>
    <n v="0"/>
  </r>
  <r>
    <s v="Synthèse et dégradation des protéines"/>
    <s v="J6"/>
    <x v="37"/>
    <n v="79.5"/>
    <n v="4"/>
    <d v="2025-10-22T15:53:18"/>
    <d v="2025-10-28T10:49:00"/>
    <d v="2025-10-28T12:08:30"/>
    <n v="1"/>
    <n v="0"/>
  </r>
  <r>
    <s v="Thermodynamique "/>
    <s v="J30"/>
    <x v="37"/>
    <n v="21"/>
    <n v="15"/>
    <d v="2025-10-02T08:53:33"/>
    <d v="2025-10-28T12:08:30"/>
    <d v="2025-10-28T12:29:30"/>
    <n v="1"/>
    <n v="0"/>
  </r>
  <r>
    <s v="Intervention rééducation part-3"/>
    <s v="J30"/>
    <x v="37"/>
    <n v="32.4"/>
    <n v="15"/>
    <d v="2025-10-02T09:42:09"/>
    <d v="2025-10-28T12:29:30"/>
    <d v="2025-10-28T13:01:54"/>
    <n v="1"/>
    <n v="0"/>
  </r>
  <r>
    <s v="Protéines "/>
    <s v="J30"/>
    <x v="37"/>
    <n v="33.299999999999997"/>
    <n v="15"/>
    <d v="2025-10-02T10:32:06"/>
    <d v="2025-10-28T13:01:54"/>
    <d v="2025-10-28T13:35:12"/>
    <n v="1"/>
    <n v="0"/>
  </r>
  <r>
    <s v="Détection des rayonnements "/>
    <s v="J2"/>
    <x v="37"/>
    <n v="32.4"/>
    <n v="2"/>
    <d v="2025-10-24T11:12:27"/>
    <d v="2025-10-28T13:35:12"/>
    <d v="2025-10-28T14:07:36"/>
    <n v="1"/>
    <n v="0"/>
  </r>
  <r>
    <s v="Atomes"/>
    <s v="J2"/>
    <x v="37"/>
    <n v="59.4"/>
    <n v="2"/>
    <d v="2025-10-24T12:18:27"/>
    <d v="2025-10-28T14:07:36"/>
    <d v="2025-10-28T15:07:00"/>
    <n v="1"/>
    <n v="0"/>
  </r>
  <r>
    <s v="Cellules souches"/>
    <s v="J2"/>
    <x v="37"/>
    <n v="75.600000000000009"/>
    <n v="2"/>
    <d v="2025-10-24T13:42:27"/>
    <d v="2025-10-28T15:07:00"/>
    <d v="2025-10-28T16:22:36"/>
    <n v="1"/>
    <n v="0"/>
  </r>
  <r>
    <s v="Mouvement molécules de surface"/>
    <s v="J2"/>
    <x v="37"/>
    <n v="90.9"/>
    <n v="2"/>
    <d v="2025-10-24T15:23:27"/>
    <d v="2025-10-28T16:22:36"/>
    <d v="2025-10-28T17:53:30"/>
    <n v="1"/>
    <n v="0"/>
  </r>
  <r>
    <s v="Molécules du vivant"/>
    <s v="J2"/>
    <x v="37"/>
    <n v="98.100000000000009"/>
    <n v="2"/>
    <d v="2025-10-24T17:12:27"/>
    <d v="2025-10-28T17:53:30"/>
    <d v="2025-10-29T09:31:36"/>
    <n v="1"/>
    <n v="0"/>
  </r>
  <r>
    <s v="Structure des glucides "/>
    <s v="J15"/>
    <x v="37"/>
    <n v="18"/>
    <n v="5"/>
    <d v="2025-10-21T14:30:57"/>
    <d v="2025-10-29T09:31:36"/>
    <d v="2025-10-29T09:49:36"/>
    <n v="1"/>
    <n v="0"/>
  </r>
  <r>
    <s v="Cytosquellette"/>
    <s v="J15"/>
    <x v="37"/>
    <n v="27"/>
    <n v="5"/>
    <d v="2025-10-21T15:06:57"/>
    <d v="2025-10-29T09:49:36"/>
    <d v="2025-10-29T10:16:36"/>
    <n v="1"/>
    <n v="0"/>
  </r>
  <r>
    <s v="Membre supérieur 3"/>
    <s v="J15"/>
    <x v="37"/>
    <n v="31.05"/>
    <n v="5"/>
    <d v="2025-10-21T15:48:21"/>
    <d v="2025-10-29T10:16:36"/>
    <d v="2025-10-29T10:47:39"/>
    <n v="1"/>
    <n v="0"/>
  </r>
  <r>
    <s v="Dos"/>
    <s v="J15"/>
    <x v="37"/>
    <n v="44.1"/>
    <n v="5"/>
    <d v="2025-10-21T16:47:09"/>
    <d v="2025-10-29T10:47:39"/>
    <d v="2025-10-29T11:31:45"/>
    <n v="1"/>
    <n v="0"/>
  </r>
  <r>
    <s v="Le domaine de l'optique "/>
    <s v="J15"/>
    <x v="37"/>
    <n v="45"/>
    <n v="5"/>
    <d v="2025-10-21T17:47:09"/>
    <d v="2025-10-29T11:31:45"/>
    <d v="2025-10-29T12:16:45"/>
    <n v="1"/>
    <n v="0"/>
  </r>
  <r>
    <s v="Rayons X et gamma-Rayonnement particulaire"/>
    <s v="J15"/>
    <x v="37"/>
    <n v="45"/>
    <n v="5"/>
    <d v="2025-10-22T08:47:09"/>
    <d v="2025-10-29T12:16:45"/>
    <d v="2025-10-29T13:01:45"/>
    <n v="1"/>
    <n v="0"/>
  </r>
  <r>
    <s v="Tête"/>
    <s v="J15"/>
    <x v="37"/>
    <n v="45"/>
    <n v="5"/>
    <d v="2025-10-22T09:47:09"/>
    <d v="2025-10-29T13:01:45"/>
    <d v="2025-10-29T13:46:45"/>
    <n v="1"/>
    <n v="0"/>
  </r>
  <r>
    <s v="Appareil locomoteur 1"/>
    <s v="J10"/>
    <x v="37"/>
    <n v="47.4"/>
    <n v="4"/>
    <d v="2025-10-22T10:46:24"/>
    <d v="2025-10-29T13:46:45"/>
    <d v="2025-10-29T14:34:09"/>
    <n v="1"/>
    <n v="0"/>
  </r>
  <r>
    <s v="Réplication de l'ADN"/>
    <s v="J10"/>
    <x v="37"/>
    <n v="64.8"/>
    <n v="4"/>
    <d v="2025-10-22T12:07:24"/>
    <d v="2025-10-29T14:34:09"/>
    <d v="2025-10-29T15:38:57"/>
    <n v="1"/>
    <n v="0"/>
  </r>
  <r>
    <s v="Probabiltés"/>
    <s v="J0"/>
    <x v="37"/>
    <n v="66"/>
    <n v="0"/>
    <s v="-"/>
    <d v="2025-10-29T15:38:57"/>
    <d v="2025-10-29T16:44:57"/>
    <n v="1"/>
    <n v="0"/>
  </r>
  <r>
    <s v="Métrologie "/>
    <s v="J0"/>
    <x v="37"/>
    <n v="110"/>
    <n v="0"/>
    <s v="-"/>
    <d v="2025-10-29T16:44:57"/>
    <d v="2025-10-30T08:34:57"/>
    <n v="1"/>
    <n v="0"/>
  </r>
  <r>
    <s v="évaluation des procédures diagnostiques"/>
    <s v="J2"/>
    <x v="38"/>
    <n v="36"/>
    <n v="2"/>
    <d v="2025-10-27T17:55:00"/>
    <d v="2025-10-30T08:34:57"/>
    <d v="2025-10-30T09:10:57"/>
    <n v="1"/>
    <n v="0"/>
  </r>
  <r>
    <s v="Réparation de l'ADN"/>
    <s v="J2"/>
    <x v="38"/>
    <n v="72.900000000000006"/>
    <n v="2"/>
    <d v="2025-10-28T09:16:00"/>
    <d v="2025-10-30T09:10:57"/>
    <d v="2025-10-30T10:23:51"/>
    <n v="1"/>
    <n v="0"/>
  </r>
  <r>
    <s v="Membre supérieur 1"/>
    <s v="J15"/>
    <x v="38"/>
    <n v="15.3"/>
    <n v="5"/>
    <d v="2025-10-22T16:13:42"/>
    <d v="2025-10-30T10:23:51"/>
    <d v="2025-10-30T10:39:09"/>
    <n v="1"/>
    <n v="0"/>
  </r>
  <r>
    <s v="pH et équilibre acido basique d'une solution"/>
    <s v="J15"/>
    <x v="38"/>
    <n v="16.2"/>
    <n v="5"/>
    <d v="2025-10-22T16:35:18"/>
    <d v="2025-10-30T10:39:09"/>
    <d v="2025-10-30T10:55:21"/>
    <n v="1"/>
    <n v="0"/>
  </r>
  <r>
    <s v="système nerveux autonome "/>
    <s v="J15"/>
    <x v="38"/>
    <n v="31.5"/>
    <n v="5"/>
    <d v="2025-10-22T17:17:18"/>
    <d v="2025-10-30T10:55:21"/>
    <d v="2025-10-30T11:26:51"/>
    <n v="1"/>
    <n v="0"/>
  </r>
  <r>
    <s v="Maladies, itinéraire thérapeutique"/>
    <s v="J15"/>
    <x v="38"/>
    <n v="34.200000000000003"/>
    <n v="5"/>
    <d v="2025-10-23T08:02:54"/>
    <d v="2025-10-30T11:26:51"/>
    <d v="2025-10-30T12:01:03"/>
    <n v="1"/>
    <n v="0"/>
  </r>
  <r>
    <s v="Nomenclature chimique- Isomérie "/>
    <s v="J15"/>
    <x v="38"/>
    <n v="39.6"/>
    <n v="5"/>
    <d v="2025-10-23T08:55:42"/>
    <d v="2025-10-30T12:01:03"/>
    <d v="2025-10-30T12:40:39"/>
    <n v="1"/>
    <n v="0"/>
  </r>
  <r>
    <s v="Sociologie de la profession médicale"/>
    <s v="J10"/>
    <x v="38"/>
    <n v="35.4"/>
    <n v="4"/>
    <d v="2025-10-23T09:39:57"/>
    <d v="2025-10-30T12:40:39"/>
    <d v="2025-10-30T13:16:03"/>
    <n v="1"/>
    <n v="0"/>
  </r>
  <r>
    <s v="Structure et role des nucléotides"/>
    <s v="J10"/>
    <x v="38"/>
    <n v="68.399999999999991"/>
    <n v="4"/>
    <d v="2025-10-23T11:05:27"/>
    <d v="2025-10-30T13:16:03"/>
    <d v="2025-10-30T14:24:27"/>
    <n v="1"/>
    <n v="0"/>
  </r>
  <r>
    <s v="évolution des conceptions relatives au stress"/>
    <s v="J10"/>
    <x v="38"/>
    <n v="70.8"/>
    <n v="4"/>
    <d v="2025-10-23T12:33:57"/>
    <d v="2025-10-30T14:24:27"/>
    <d v="2025-10-30T15:35:15"/>
    <n v="1"/>
    <n v="0"/>
  </r>
  <r>
    <s v="Dérivés carbonyles"/>
    <s v="J0"/>
    <x v="38"/>
    <n v="81"/>
    <n v="0"/>
    <s v="-"/>
    <d v="2025-10-30T15:35:15"/>
    <d v="2025-10-30T16:56:15"/>
    <n v="1"/>
    <n v="0"/>
  </r>
  <r>
    <s v="Enjeux éthiques "/>
    <s v="J0"/>
    <x v="38"/>
    <n v="108"/>
    <n v="0"/>
    <s v="-"/>
    <d v="2025-10-30T16:56:15"/>
    <d v="2025-10-31T08:44:15"/>
    <n v="1"/>
    <n v="0"/>
  </r>
  <r>
    <s v="Intervention rééducation part-4"/>
    <s v="J30"/>
    <x v="39"/>
    <n v="16.2"/>
    <n v="15"/>
    <d v="2025-10-07T15:13:36"/>
    <d v="2025-10-31T08:44:15"/>
    <d v="2025-10-31T09:00:27"/>
    <n v="1"/>
    <n v="0"/>
  </r>
  <r>
    <s v="Elément introductif en santé publique"/>
    <s v="J30"/>
    <x v="39"/>
    <n v="18.899999999999999"/>
    <n v="15"/>
    <d v="2025-10-07T15:41:57"/>
    <d v="2025-10-31T09:00:27"/>
    <d v="2025-10-31T09:19:21"/>
    <n v="1"/>
    <n v="0"/>
  </r>
  <r>
    <s v="Probabiltés"/>
    <s v="J2"/>
    <x v="39"/>
    <n v="59.4"/>
    <n v="2"/>
    <d v="2025-10-29T16:44:57"/>
    <d v="2025-10-31T09:19:21"/>
    <d v="2025-10-31T10:18:45"/>
    <n v="1"/>
    <n v="0"/>
  </r>
  <r>
    <s v="Métrologie "/>
    <s v="J2"/>
    <x v="39"/>
    <n v="99"/>
    <n v="2"/>
    <d v="2025-10-30T08:34:57"/>
    <d v="2025-10-31T10:18:45"/>
    <d v="2025-10-31T11:57:45"/>
    <n v="1"/>
    <n v="1"/>
  </r>
  <r>
    <s v="Appareil locomoteur 3"/>
    <s v="J10"/>
    <x v="39"/>
    <n v="30"/>
    <n v="4"/>
    <d v="2025-10-23T15:33:27"/>
    <d v="2025-10-31T11:57:45"/>
    <d v="2025-10-31T12:27:45"/>
    <n v="1"/>
    <n v="0"/>
  </r>
  <r>
    <s v="tests stats et méthodologie de choix de test "/>
    <s v="J10"/>
    <x v="39"/>
    <n v="36"/>
    <n v="4"/>
    <d v="2025-10-23T16:18:27"/>
    <d v="2025-10-31T12:27:45"/>
    <d v="2025-10-31T13:03:45"/>
    <n v="1"/>
    <n v="0"/>
  </r>
  <r>
    <s v="Signalisation intracellulaire part 2"/>
    <s v="J10"/>
    <x v="39"/>
    <n v="53.4"/>
    <n v="4"/>
    <d v="2025-10-23T17:25:12"/>
    <d v="2025-10-31T13:03:45"/>
    <d v="2025-10-31T13:57:09"/>
    <n v="1"/>
    <n v="0"/>
  </r>
  <r>
    <s v="Membre supérieur 2 "/>
    <s v="J10"/>
    <x v="39"/>
    <n v="61.199999999999996"/>
    <n v="4"/>
    <d v="2025-10-24T08:41:42"/>
    <d v="2025-10-31T13:57:09"/>
    <d v="2025-10-31T14:58:21"/>
    <n v="1"/>
    <n v="0"/>
  </r>
  <r>
    <s v="Prévention-Alla "/>
    <s v="J6"/>
    <x v="40"/>
    <n v="53.25"/>
    <n v="4"/>
    <d v="2025-10-27T13:47:06"/>
    <d v="2025-10-31T14:58:21"/>
    <d v="2025-10-31T15:51:36"/>
    <n v="1"/>
    <n v="0"/>
  </r>
  <r>
    <s v="Transports membranaires"/>
    <s v="J6"/>
    <x v="40"/>
    <n v="53.25"/>
    <n v="4"/>
    <d v="2025-10-27T14:51:00"/>
    <d v="2025-10-31T15:51:36"/>
    <d v="2025-10-31T16:44:51"/>
    <n v="1"/>
    <n v="0"/>
  </r>
  <r>
    <s v="Membre inférieur 3"/>
    <s v="J30"/>
    <x v="40"/>
    <n v="13.5"/>
    <n v="15"/>
    <d v="2025-10-08T12:58:36"/>
    <d v="2025-10-31T16:44:51"/>
    <d v="2025-10-31T16:58:21"/>
    <n v="1"/>
    <n v="0"/>
  </r>
  <r>
    <s v="Outils mathématique "/>
    <s v="J30"/>
    <x v="40"/>
    <n v="19.2"/>
    <n v="15"/>
    <d v="2025-10-08T13:27:24"/>
    <d v="2025-10-31T16:58:21"/>
    <d v="2025-10-31T17:17:33"/>
    <n v="1"/>
    <n v="0"/>
  </r>
  <r>
    <s v="Mutations "/>
    <s v="J30"/>
    <x v="40"/>
    <n v="26.099999999999998"/>
    <n v="15"/>
    <d v="2025-10-08T14:06:33"/>
    <d v="2025-10-31T17:17:33"/>
    <d v="2025-10-31T17:43:39"/>
    <n v="1"/>
    <n v="0"/>
  </r>
  <r>
    <s v="La composition des membranes cellulaire"/>
    <s v="J30"/>
    <x v="40"/>
    <n v="27.599999999999998"/>
    <n v="15"/>
    <d v="2025-10-08T14:47:57"/>
    <d v="2025-10-31T17:43:39"/>
    <d v="2025-11-03T08:11:15"/>
    <n v="1"/>
    <n v="0"/>
  </r>
  <r>
    <s v="Dérivés carbonyles"/>
    <s v="J2"/>
    <x v="40"/>
    <n v="72.900000000000006"/>
    <n v="2"/>
    <d v="2025-10-30T16:56:15"/>
    <d v="2025-11-03T08:11:15"/>
    <d v="2025-11-03T09:24:09"/>
    <n v="1"/>
    <n v="0"/>
  </r>
  <r>
    <s v="Enjeux éthiques "/>
    <s v="J2"/>
    <x v="40"/>
    <n v="97.2"/>
    <n v="2"/>
    <d v="2025-10-31T08:44:15"/>
    <d v="2025-11-03T09:24:09"/>
    <d v="2025-11-03T11:01:21"/>
    <n v="1"/>
    <n v="0"/>
  </r>
  <r>
    <s v="Appareil locomoteur 2"/>
    <s v="J10"/>
    <x v="40"/>
    <n v="45.6"/>
    <n v="4"/>
    <d v="2025-10-27T08:09:27"/>
    <d v="2025-11-03T11:01:21"/>
    <d v="2025-11-03T11:46:57"/>
    <n v="1"/>
    <n v="0"/>
  </r>
  <r>
    <s v="Méthode d'évaluation du stress objectif "/>
    <s v="J10"/>
    <x v="40"/>
    <n v="71.399999999999991"/>
    <n v="4"/>
    <d v="2025-10-27T09:38:42"/>
    <d v="2025-11-03T11:46:57"/>
    <d v="2025-11-03T12:58:21"/>
    <n v="1"/>
    <n v="0"/>
  </r>
  <r>
    <s v="Détection des rayonnements "/>
    <s v="J6"/>
    <x v="41"/>
    <n v="27"/>
    <n v="4"/>
    <d v="2025-10-28T14:07:36"/>
    <d v="2025-11-03T12:58:21"/>
    <d v="2025-11-03T13:25:21"/>
    <n v="1"/>
    <n v="0"/>
  </r>
  <r>
    <s v="Atomes"/>
    <s v="J6"/>
    <x v="41"/>
    <n v="49.5"/>
    <n v="4"/>
    <d v="2025-10-28T15:07:00"/>
    <d v="2025-11-03T13:25:21"/>
    <d v="2025-11-03T14:14:51"/>
    <n v="1"/>
    <n v="0"/>
  </r>
  <r>
    <s v="Cellules souches"/>
    <s v="J6"/>
    <x v="41"/>
    <n v="63"/>
    <n v="4"/>
    <d v="2025-10-28T16:22:36"/>
    <d v="2025-11-03T14:14:51"/>
    <d v="2025-11-03T15:17:51"/>
    <n v="1"/>
    <n v="0"/>
  </r>
  <r>
    <s v="Mouvement molécules de surface"/>
    <s v="J6"/>
    <x v="41"/>
    <n v="75.75"/>
    <n v="4"/>
    <d v="2025-10-28T17:53:30"/>
    <d v="2025-11-03T15:17:51"/>
    <d v="2025-11-03T16:33:36"/>
    <n v="1"/>
    <n v="0"/>
  </r>
  <r>
    <s v="Molécules du vivant"/>
    <s v="J6"/>
    <x v="41"/>
    <n v="81.75"/>
    <n v="4"/>
    <d v="2025-10-29T09:31:36"/>
    <d v="2025-11-03T16:33:36"/>
    <d v="2025-11-03T17:55:21"/>
    <n v="1"/>
    <n v="0"/>
  </r>
  <r>
    <s v="stats descriptives"/>
    <s v="J10"/>
    <x v="41"/>
    <n v="37.199999999999996"/>
    <n v="4"/>
    <d v="2025-10-28T10:02:30"/>
    <d v="2025-11-03T17:55:21"/>
    <d v="2025-11-04T08:32:33"/>
    <n v="1"/>
    <n v="0"/>
  </r>
  <r>
    <s v="Cou"/>
    <s v="J10"/>
    <x v="41"/>
    <n v="37.199999999999996"/>
    <n v="4"/>
    <d v="2025-10-28T10:49:00"/>
    <d v="2025-11-04T08:32:33"/>
    <d v="2025-11-04T09:09:45"/>
    <n v="1"/>
    <n v="0"/>
  </r>
  <r>
    <s v="Synthèse et dégradation des protéines"/>
    <s v="J10"/>
    <x v="41"/>
    <n v="63.599999999999994"/>
    <n v="4"/>
    <d v="2025-10-28T12:08:30"/>
    <d v="2025-11-04T09:09:45"/>
    <d v="2025-11-04T10:13:21"/>
    <n v="1"/>
    <n v="0"/>
  </r>
  <r>
    <s v="évaluation des procédures diagnostiques"/>
    <s v="J6"/>
    <x v="42"/>
    <n v="30"/>
    <n v="4"/>
    <d v="2025-10-30T09:10:57"/>
    <d v="2025-11-04T10:13:21"/>
    <d v="2025-11-04T10:43:21"/>
    <n v="1"/>
    <n v="0"/>
  </r>
  <r>
    <s v="Réparation de l'ADN"/>
    <s v="J6"/>
    <x v="42"/>
    <n v="60.75"/>
    <n v="4"/>
    <d v="2025-10-30T10:23:51"/>
    <d v="2025-11-04T10:43:21"/>
    <d v="2025-11-04T11:44:06"/>
    <n v="1"/>
    <n v="0"/>
  </r>
  <r>
    <s v="Appareil locomoteur 1"/>
    <s v="J15"/>
    <x v="42"/>
    <n v="35.550000000000004"/>
    <n v="5"/>
    <d v="2025-10-29T14:34:09"/>
    <d v="2025-11-04T11:44:06"/>
    <d v="2025-11-04T12:19:39"/>
    <n v="1"/>
    <n v="0"/>
  </r>
  <r>
    <s v="Réplication de l'ADN"/>
    <s v="J15"/>
    <x v="42"/>
    <n v="48.6"/>
    <n v="5"/>
    <d v="2025-10-29T15:38:57"/>
    <d v="2025-11-04T12:19:39"/>
    <d v="2025-11-04T13:08:15"/>
    <n v="1"/>
    <n v="0"/>
  </r>
  <r>
    <s v="Probabiltés"/>
    <s v="J6"/>
    <x v="43"/>
    <n v="49.5"/>
    <n v="4"/>
    <d v="2025-10-31T10:18:45"/>
    <d v="2025-11-04T13:08:15"/>
    <d v="2025-11-04T13:57:45"/>
    <n v="1"/>
    <n v="0"/>
  </r>
  <r>
    <s v="Métrologie "/>
    <s v="J6"/>
    <x v="43"/>
    <n v="82.5"/>
    <n v="4"/>
    <d v="2025-10-31T11:57:45"/>
    <d v="2025-11-04T13:57:45"/>
    <d v="2025-11-04T15:20:15"/>
    <n v="1"/>
    <n v="0"/>
  </r>
  <r>
    <s v="La discipline anthropologique "/>
    <s v="J30"/>
    <x v="43"/>
    <n v="28.799999999999997"/>
    <n v="15"/>
    <d v="2025-10-13T16:46:51"/>
    <d v="2025-11-04T15:20:15"/>
    <d v="2025-11-04T15:49:03"/>
    <n v="1"/>
    <n v="0"/>
  </r>
  <r>
    <s v="intro: tissus"/>
    <s v="J30"/>
    <x v="43"/>
    <n v="33.9"/>
    <n v="15"/>
    <d v="2025-10-13T17:37:42"/>
    <d v="2025-11-04T15:49:03"/>
    <d v="2025-11-04T16:22:57"/>
    <n v="1"/>
    <n v="0"/>
  </r>
  <r>
    <s v="Sociologie de la profession médicale"/>
    <s v="J15"/>
    <x v="43"/>
    <n v="26.55"/>
    <n v="5"/>
    <d v="2025-10-30T13:16:03"/>
    <d v="2025-11-04T16:22:57"/>
    <d v="2025-11-04T16:49:30"/>
    <n v="1"/>
    <n v="0"/>
  </r>
  <r>
    <s v="Structure et role des nucléotides"/>
    <s v="J15"/>
    <x v="43"/>
    <n v="51.300000000000004"/>
    <n v="5"/>
    <d v="2025-10-30T14:24:27"/>
    <d v="2025-11-04T16:49:30"/>
    <d v="2025-11-04T17:40:48"/>
    <n v="1"/>
    <n v="0"/>
  </r>
  <r>
    <s v="évolution des conceptions relatives au stress"/>
    <s v="J15"/>
    <x v="43"/>
    <n v="53.1"/>
    <n v="5"/>
    <d v="2025-10-30T15:35:15"/>
    <d v="2025-11-04T17:40:48"/>
    <d v="2025-11-05T08:33:54"/>
    <n v="1"/>
    <n v="0"/>
  </r>
  <r>
    <s v="Dérivés carbonyles"/>
    <s v="J6"/>
    <x v="44"/>
    <n v="60.75"/>
    <n v="4"/>
    <d v="2025-11-03T09:24:09"/>
    <d v="2025-11-05T08:33:54"/>
    <d v="2025-11-05T09:34:39"/>
    <n v="1"/>
    <n v="1"/>
  </r>
  <r>
    <s v="Enjeux éthiques "/>
    <s v="J6"/>
    <x v="44"/>
    <n v="81"/>
    <n v="4"/>
    <d v="2025-11-03T11:01:21"/>
    <d v="2025-11-05T09:34:39"/>
    <d v="2025-11-05T10:55:39"/>
    <n v="1"/>
    <n v="1"/>
  </r>
  <r>
    <s v="Représentations sociales du handicap "/>
    <s v="J30"/>
    <x v="44"/>
    <n v="10.799999999999999"/>
    <n v="15"/>
    <d v="2025-10-15T09:30:48"/>
    <d v="2025-11-05T10:55:39"/>
    <d v="2025-11-05T11:06:27"/>
    <n v="1"/>
    <n v="0"/>
  </r>
  <r>
    <s v="intro : généralités"/>
    <s v="J30"/>
    <x v="44"/>
    <n v="13.5"/>
    <n v="15"/>
    <d v="2025-10-15T09:51:03"/>
    <d v="2025-11-05T11:06:27"/>
    <d v="2025-11-05T11:19:57"/>
    <n v="1"/>
    <n v="0"/>
  </r>
  <r>
    <s v="Division cellulaire"/>
    <s v="J30"/>
    <x v="44"/>
    <n v="14.399999999999999"/>
    <n v="15"/>
    <d v="2025-10-15T10:12:39"/>
    <d v="2025-11-05T11:19:57"/>
    <d v="2025-11-05T11:34:21"/>
    <n v="1"/>
    <n v="0"/>
  </r>
  <r>
    <s v="Transcription et régulation "/>
    <s v="J30"/>
    <x v="44"/>
    <n v="14.7"/>
    <n v="15"/>
    <d v="2025-10-15T10:34:42"/>
    <d v="2025-11-05T11:34:21"/>
    <d v="2025-11-05T11:49:03"/>
    <n v="1"/>
    <n v="0"/>
  </r>
  <r>
    <s v="Membre inférieur 2 "/>
    <s v="J30"/>
    <x v="44"/>
    <n v="18"/>
    <n v="15"/>
    <d v="2025-10-15T11:01:42"/>
    <d v="2025-11-05T11:49:03"/>
    <d v="2025-11-05T12:07:03"/>
    <n v="1"/>
    <n v="0"/>
  </r>
  <r>
    <s v="Appareil locomoteur 3"/>
    <s v="J15"/>
    <x v="44"/>
    <n v="22.5"/>
    <n v="5"/>
    <d v="2025-10-31T12:27:45"/>
    <d v="2025-11-05T12:07:03"/>
    <d v="2025-11-05T12:29:33"/>
    <n v="1"/>
    <n v="0"/>
  </r>
  <r>
    <s v="tests stats et méthodologie de choix de test "/>
    <s v="J15"/>
    <x v="44"/>
    <n v="27"/>
    <n v="5"/>
    <d v="2025-10-31T13:03:45"/>
    <d v="2025-11-05T12:29:33"/>
    <d v="2025-11-05T12:56:33"/>
    <n v="1"/>
    <n v="0"/>
  </r>
  <r>
    <s v="Signalisation intracellulaire part 2"/>
    <s v="J15"/>
    <x v="44"/>
    <n v="40.050000000000004"/>
    <n v="5"/>
    <d v="2025-10-31T13:57:09"/>
    <d v="2025-11-05T12:56:33"/>
    <d v="2025-11-05T13:36:36"/>
    <n v="1"/>
    <n v="0"/>
  </r>
  <r>
    <s v="Membre supérieur 2 "/>
    <s v="J15"/>
    <x v="44"/>
    <n v="45.9"/>
    <n v="5"/>
    <d v="2025-10-31T14:58:21"/>
    <d v="2025-11-05T13:36:36"/>
    <d v="2025-11-05T14:22:30"/>
    <n v="1"/>
    <n v="0"/>
  </r>
  <r>
    <s v="Prévention-Alla "/>
    <s v="J10"/>
    <x v="44"/>
    <n v="42.6"/>
    <n v="4"/>
    <d v="2025-10-31T15:51:36"/>
    <d v="2025-11-05T14:22:30"/>
    <d v="2025-11-05T15:05:06"/>
    <n v="1"/>
    <n v="0"/>
  </r>
  <r>
    <s v="Transports membranaires"/>
    <s v="J10"/>
    <x v="44"/>
    <n v="42.6"/>
    <n v="4"/>
    <d v="2025-10-31T16:44:51"/>
    <d v="2025-11-05T15:05:06"/>
    <d v="2025-11-05T15:47:42"/>
    <n v="1"/>
    <n v="0"/>
  </r>
  <r>
    <s v="États  de la matière et leur caractérisation "/>
    <s v="J30"/>
    <x v="45"/>
    <n v="27"/>
    <n v="15"/>
    <d v="2025-10-16T12:45:36"/>
    <d v="2025-11-05T15:47:42"/>
    <d v="2025-11-05T16:14:42"/>
    <n v="1"/>
    <n v="0"/>
  </r>
  <r>
    <s v="Interaction rayonnement-Matière "/>
    <s v="J30"/>
    <x v="45"/>
    <n v="33.6"/>
    <n v="15"/>
    <d v="2025-10-16T13:36:00"/>
    <d v="2025-11-05T16:14:42"/>
    <d v="2025-11-05T16:48:18"/>
    <n v="1"/>
    <n v="0"/>
  </r>
  <r>
    <s v="essai thérapeutique "/>
    <s v="J30"/>
    <x v="45"/>
    <n v="33.9"/>
    <n v="15"/>
    <d v="2025-10-16T14:26:51"/>
    <d v="2025-11-05T16:48:18"/>
    <d v="2025-11-05T17:22:12"/>
    <n v="1"/>
    <n v="0"/>
  </r>
  <r>
    <s v="Les très basses fréquences du spectre électromagnétique "/>
    <s v="J30"/>
    <x v="45"/>
    <n v="36"/>
    <n v="15"/>
    <d v="2025-10-16T15:20:51"/>
    <d v="2025-11-05T17:22:12"/>
    <d v="2025-11-05T17:58:12"/>
    <n v="1"/>
    <n v="0"/>
  </r>
  <r>
    <s v="Appareil locomoteur 2"/>
    <s v="J15"/>
    <x v="45"/>
    <n v="34.200000000000003"/>
    <n v="5"/>
    <d v="2025-11-03T11:46:57"/>
    <d v="2025-11-05T17:58:12"/>
    <d v="2025-11-06T08:32:24"/>
    <n v="1"/>
    <n v="1"/>
  </r>
  <r>
    <s v="Méthode d'évaluation du stress objectif "/>
    <s v="J15"/>
    <x v="45"/>
    <n v="53.550000000000004"/>
    <n v="5"/>
    <d v="2025-11-03T12:58:21"/>
    <d v="2025-11-06T08:32:24"/>
    <d v="2025-11-06T09:25:57"/>
    <n v="1"/>
    <n v="1"/>
  </r>
  <r>
    <s v="Détection des rayonnements "/>
    <s v="J10"/>
    <x v="45"/>
    <n v="21.599999999999998"/>
    <n v="4"/>
    <d v="2025-11-03T13:25:21"/>
    <d v="2025-11-06T09:25:57"/>
    <d v="2025-11-06T09:47:33"/>
    <n v="1"/>
    <n v="1"/>
  </r>
  <r>
    <s v="Atomes"/>
    <s v="J10"/>
    <x v="45"/>
    <n v="39.6"/>
    <n v="4"/>
    <d v="2025-11-03T14:14:51"/>
    <d v="2025-11-06T09:47:33"/>
    <d v="2025-11-06T10:27:09"/>
    <n v="1"/>
    <n v="1"/>
  </r>
  <r>
    <s v="Cellules souches"/>
    <s v="J10"/>
    <x v="45"/>
    <n v="50.4"/>
    <n v="4"/>
    <d v="2025-11-03T15:17:51"/>
    <d v="2025-11-06T10:27:09"/>
    <d v="2025-11-06T11:17:33"/>
    <n v="1"/>
    <n v="1"/>
  </r>
  <r>
    <s v="Mouvement molécules de surface"/>
    <s v="J10"/>
    <x v="45"/>
    <n v="60.599999999999994"/>
    <n v="4"/>
    <d v="2025-11-03T16:33:36"/>
    <d v="2025-11-06T11:17:33"/>
    <d v="2025-11-06T12:18:09"/>
    <n v="1"/>
    <n v="1"/>
  </r>
  <r>
    <s v="Molécules du vivant"/>
    <s v="J10"/>
    <x v="45"/>
    <n v="65.399999999999991"/>
    <n v="4"/>
    <d v="2025-11-03T17:55:21"/>
    <d v="2025-11-06T12:18:09"/>
    <d v="2025-11-06T13:23:33"/>
    <n v="1"/>
    <n v="1"/>
  </r>
  <r>
    <s v="Acides Aminés- peptides "/>
    <s v="J30"/>
    <x v="46"/>
    <n v="9.2999999999999989"/>
    <n v="15"/>
    <d v="2025-10-17T17:15:00"/>
    <d v="2025-11-06T13:23:33"/>
    <d v="2025-11-06T13:32:51"/>
    <n v="1"/>
    <n v="0"/>
  </r>
  <r>
    <s v="Intervention rééducation part-2"/>
    <s v="J30"/>
    <x v="46"/>
    <n v="12"/>
    <n v="15"/>
    <d v="2025-10-17T17:33:00"/>
    <d v="2025-11-06T13:32:51"/>
    <d v="2025-11-06T13:44:51"/>
    <n v="1"/>
    <n v="0"/>
  </r>
  <r>
    <s v="Du chromosome à l'ADN"/>
    <s v="J30"/>
    <x v="46"/>
    <n v="18"/>
    <n v="15"/>
    <d v="2025-10-20T08:00:00"/>
    <d v="2025-11-06T13:44:51"/>
    <d v="2025-11-06T14:02:51"/>
    <n v="1"/>
    <n v="0"/>
  </r>
  <r>
    <s v="corrélation et régression linéaire"/>
    <s v="J30"/>
    <x v="46"/>
    <n v="21.9"/>
    <n v="15"/>
    <d v="2025-10-20T08:32:51"/>
    <d v="2025-11-06T14:02:51"/>
    <d v="2025-11-06T14:24:45"/>
    <n v="1"/>
    <n v="0"/>
  </r>
  <r>
    <s v="Signalisation intracellulaire part 1"/>
    <s v="J30"/>
    <x v="46"/>
    <n v="24.599999999999998"/>
    <n v="15"/>
    <d v="2025-10-20T09:09:45"/>
    <d v="2025-11-06T14:24:45"/>
    <d v="2025-11-06T14:49:21"/>
    <n v="1"/>
    <n v="0"/>
  </r>
  <r>
    <s v="Régulation et rôle du rein "/>
    <s v="J30"/>
    <x v="46"/>
    <n v="29.7"/>
    <n v="15"/>
    <d v="2025-10-20T09:54:18"/>
    <d v="2025-11-06T14:49:21"/>
    <d v="2025-11-06T15:19:03"/>
    <n v="1"/>
    <n v="0"/>
  </r>
  <r>
    <s v="Liaisons chimique et interactions moléculaires"/>
    <s v="J30"/>
    <x v="46"/>
    <n v="32.1"/>
    <n v="15"/>
    <d v="2025-10-20T10:42:27"/>
    <d v="2025-11-06T15:19:03"/>
    <d v="2025-11-06T15:51:09"/>
    <n v="1"/>
    <n v="0"/>
  </r>
  <r>
    <s v="Physiologie et compartiments liquidiens "/>
    <s v="J30"/>
    <x v="46"/>
    <n v="33"/>
    <n v="15"/>
    <d v="2025-10-20T11:31:57"/>
    <d v="2025-11-06T15:51:09"/>
    <d v="2025-11-06T16:24:09"/>
    <n v="1"/>
    <n v="0"/>
  </r>
  <r>
    <s v="stats descriptives"/>
    <s v="J15"/>
    <x v="46"/>
    <n v="27.900000000000002"/>
    <n v="5"/>
    <d v="2025-11-04T08:32:33"/>
    <d v="2025-11-06T16:24:09"/>
    <d v="2025-11-06T16:52:03"/>
    <n v="1"/>
    <n v="1"/>
  </r>
  <r>
    <s v="Cou"/>
    <s v="J15"/>
    <x v="46"/>
    <n v="27.900000000000002"/>
    <n v="5"/>
    <d v="2025-11-04T09:09:45"/>
    <d v="2025-11-06T16:52:03"/>
    <d v="2025-11-06T17:19:57"/>
    <n v="1"/>
    <n v="1"/>
  </r>
  <r>
    <s v="Synthèse et dégradation des protéines"/>
    <s v="J15"/>
    <x v="46"/>
    <n v="47.7"/>
    <n v="5"/>
    <d v="2025-11-04T10:13:21"/>
    <d v="2025-11-06T17:19:57"/>
    <d v="2025-11-07T08:07:39"/>
    <n v="1"/>
    <n v="1"/>
  </r>
  <r>
    <s v="évaluation des procédures diagnostiques"/>
    <s v="J10"/>
    <x v="46"/>
    <n v="24"/>
    <n v="4"/>
    <d v="2025-11-04T10:43:21"/>
    <d v="2025-11-07T08:07:39"/>
    <d v="2025-11-07T08:31:39"/>
    <n v="1"/>
    <n v="1"/>
  </r>
  <r>
    <s v="Réparation de l'ADN"/>
    <s v="J10"/>
    <x v="46"/>
    <n v="48.6"/>
    <n v="4"/>
    <d v="2025-11-04T11:44:06"/>
    <d v="2025-11-07T08:31:39"/>
    <d v="2025-11-07T09:20:15"/>
    <n v="1"/>
    <n v="1"/>
  </r>
  <r>
    <s v="psychologie générale "/>
    <s v="J30"/>
    <x v="47"/>
    <n v="9.6"/>
    <n v="15"/>
    <d v="2025-10-21T11:43:51"/>
    <d v="2025-11-07T09:20:15"/>
    <d v="2025-11-07T09:29:51"/>
    <n v="1"/>
    <n v="0"/>
  </r>
  <r>
    <s v="schéma d'étude "/>
    <s v="J30"/>
    <x v="47"/>
    <n v="16.8"/>
    <n v="15"/>
    <d v="2025-10-21T12:09:03"/>
    <d v="2025-11-07T09:29:51"/>
    <d v="2025-11-07T09:46:39"/>
    <n v="1"/>
    <n v="0"/>
  </r>
  <r>
    <s v="Les alcools- les amines"/>
    <s v="J30"/>
    <x v="47"/>
    <n v="16.8"/>
    <n v="15"/>
    <d v="2025-10-21T12:34:15"/>
    <d v="2025-11-07T09:46:39"/>
    <d v="2025-11-07T10:03:27"/>
    <n v="1"/>
    <n v="0"/>
  </r>
  <r>
    <s v="Introduction épidémiologie et stats"/>
    <s v="J30"/>
    <x v="47"/>
    <n v="30.599999999999998"/>
    <n v="15"/>
    <d v="2025-10-21T13:20:09"/>
    <d v="2025-11-07T10:03:27"/>
    <d v="2025-11-07T10:34:03"/>
    <n v="1"/>
    <n v="0"/>
  </r>
  <r>
    <s v="Intervention rééducation part-5"/>
    <s v="J30"/>
    <x v="47"/>
    <n v="31.2"/>
    <n v="15"/>
    <d v="2025-10-21T14:06:57"/>
    <d v="2025-11-07T10:34:03"/>
    <d v="2025-11-07T11:05:15"/>
    <n v="1"/>
    <n v="0"/>
  </r>
  <r>
    <s v="Probabiltés"/>
    <s v="J10"/>
    <x v="47"/>
    <n v="39.6"/>
    <n v="4"/>
    <d v="2025-11-04T13:57:45"/>
    <d v="2025-11-07T11:05:15"/>
    <d v="2025-11-07T11:44:51"/>
    <n v="1"/>
    <n v="1"/>
  </r>
  <r>
    <s v="Métrologie "/>
    <s v="J10"/>
    <x v="47"/>
    <n v="66"/>
    <n v="4"/>
    <d v="2025-11-04T15:20:15"/>
    <d v="2025-11-07T11:44:51"/>
    <d v="2025-11-07T12:50:51"/>
    <n v="1"/>
    <n v="1"/>
  </r>
  <r>
    <s v="Dérivés carbonyles"/>
    <s v="J10"/>
    <x v="48"/>
    <n v="48.6"/>
    <n v="4"/>
    <d v="2025-11-05T09:34:39"/>
    <d v="2025-11-07T12:50:51"/>
    <d v="2025-11-07T13:39:27"/>
    <n v="1"/>
    <n v="1"/>
  </r>
  <r>
    <s v="Enjeux éthiques "/>
    <s v="J10"/>
    <x v="48"/>
    <n v="64.8"/>
    <n v="4"/>
    <d v="2025-11-05T10:55:39"/>
    <d v="2025-11-07T13:39:27"/>
    <d v="2025-11-07T14:44:15"/>
    <n v="1"/>
    <n v="1"/>
  </r>
  <r>
    <s v="Prévention-Alla "/>
    <s v="J15"/>
    <x v="49"/>
    <n v="31.95"/>
    <n v="5"/>
    <d v="2025-11-05T15:05:06"/>
    <d v="2025-11-07T14:44:15"/>
    <d v="2025-11-07T15:16:12"/>
    <n v="1"/>
    <n v="1"/>
  </r>
  <r>
    <s v="Transports membranaires"/>
    <s v="J15"/>
    <x v="49"/>
    <n v="31.95"/>
    <n v="5"/>
    <d v="2025-11-05T15:47:42"/>
    <d v="2025-11-07T15:16:12"/>
    <d v="2025-11-07T15:48:09"/>
    <n v="1"/>
    <n v="1"/>
  </r>
  <r>
    <s v="Transport intracellulaire et trafic vésiculaire "/>
    <s v="J30"/>
    <x v="50"/>
    <n v="9.9"/>
    <n v="15"/>
    <d v="2025-10-24T08:56:33"/>
    <d v="2025-11-07T15:48:09"/>
    <d v="2025-11-07T15:58:03"/>
    <n v="1"/>
    <n v="1"/>
  </r>
  <r>
    <s v="Membre inférieur 1"/>
    <s v="J30"/>
    <x v="50"/>
    <n v="33"/>
    <n v="15"/>
    <d v="2025-10-24T09:46:03"/>
    <d v="2025-11-07T15:58:03"/>
    <d v="2025-11-07T16:31:03"/>
    <n v="1"/>
    <n v="1"/>
  </r>
  <r>
    <s v="intro: région, fascias et appareil "/>
    <s v="J30"/>
    <x v="50"/>
    <n v="33.6"/>
    <n v="15"/>
    <d v="2025-10-24T10:36:27"/>
    <d v="2025-11-07T16:31:03"/>
    <d v="2025-11-07T17:04:39"/>
    <n v="1"/>
    <n v="1"/>
  </r>
  <r>
    <s v="Détection des rayonnements "/>
    <s v="J15"/>
    <x v="50"/>
    <n v="16.2"/>
    <n v="5"/>
    <d v="2025-11-06T09:47:33"/>
    <d v="2025-11-07T17:04:39"/>
    <d v="2025-11-07T17:20:51"/>
    <n v="1"/>
    <n v="1"/>
  </r>
  <r>
    <s v="Atomes"/>
    <s v="J15"/>
    <x v="50"/>
    <n v="29.7"/>
    <n v="5"/>
    <d v="2025-11-06T10:27:09"/>
    <d v="2025-11-07T17:20:51"/>
    <d v="2025-11-07T17:50:33"/>
    <n v="1"/>
    <n v="1"/>
  </r>
  <r>
    <s v="Cellules souches"/>
    <s v="J15"/>
    <x v="50"/>
    <n v="37.800000000000004"/>
    <n v="5"/>
    <d v="2025-11-06T11:17:33"/>
    <d v="2025-11-07T17:50:33"/>
    <d v="2025-11-10T08:28:21"/>
    <n v="1"/>
    <n v="1"/>
  </r>
  <r>
    <s v="Mouvement molécules de surface"/>
    <s v="J15"/>
    <x v="50"/>
    <n v="45.45"/>
    <n v="5"/>
    <d v="2025-11-06T12:18:09"/>
    <d v="2025-11-10T08:28:21"/>
    <d v="2025-11-10T09:13:48"/>
    <n v="1"/>
    <n v="1"/>
  </r>
  <r>
    <s v="Molécules du vivant"/>
    <s v="J15"/>
    <x v="50"/>
    <n v="49.050000000000004"/>
    <n v="5"/>
    <d v="2025-11-06T13:23:33"/>
    <d v="2025-11-10T09:13:48"/>
    <d v="2025-11-10T10:02:51"/>
    <n v="1"/>
    <n v="1"/>
  </r>
  <r>
    <s v="CI du fonctionnement, du handicap et de la santé "/>
    <s v="J30"/>
    <x v="51"/>
    <n v="17.399999999999999"/>
    <n v="15"/>
    <d v="2025-10-27T15:17:06"/>
    <d v="2025-11-10T10:02:51"/>
    <d v="2025-11-10T10:20:15"/>
    <n v="1"/>
    <n v="1"/>
  </r>
  <r>
    <s v="Jonction neuro-musculaire"/>
    <s v="J30"/>
    <x v="51"/>
    <n v="23.4"/>
    <n v="15"/>
    <d v="2025-10-27T15:52:12"/>
    <d v="2025-11-10T10:20:15"/>
    <d v="2025-11-10T10:43:39"/>
    <n v="1"/>
    <n v="1"/>
  </r>
  <r>
    <s v="Culture, corps et santé"/>
    <s v="J30"/>
    <x v="51"/>
    <n v="24.599999999999998"/>
    <n v="15"/>
    <d v="2025-10-27T16:29:06"/>
    <d v="2025-11-10T10:43:39"/>
    <d v="2025-11-10T11:08:15"/>
    <n v="1"/>
    <n v="1"/>
  </r>
  <r>
    <s v="Les acides aminés- les oses "/>
    <s v="J30"/>
    <x v="51"/>
    <n v="30.599999999999998"/>
    <n v="15"/>
    <d v="2025-10-27T17:15:00"/>
    <d v="2025-11-10T11:08:15"/>
    <d v="2025-11-10T11:38:51"/>
    <n v="1"/>
    <n v="1"/>
  </r>
  <r>
    <s v="évaluation des procédures diagnostiques"/>
    <s v="J15"/>
    <x v="51"/>
    <n v="18"/>
    <n v="5"/>
    <d v="2025-11-07T08:31:39"/>
    <d v="2025-11-10T11:38:51"/>
    <d v="2025-11-10T11:56:51"/>
    <n v="1"/>
    <n v="1"/>
  </r>
  <r>
    <s v="Réparation de l'ADN"/>
    <s v="J15"/>
    <x v="51"/>
    <n v="36.450000000000003"/>
    <n v="5"/>
    <d v="2025-11-07T09:20:15"/>
    <d v="2025-11-10T11:56:51"/>
    <d v="2025-11-10T12:33:18"/>
    <n v="1"/>
    <n v="1"/>
  </r>
  <r>
    <s v="Structure des glucides "/>
    <s v="J30"/>
    <x v="52"/>
    <n v="12"/>
    <n v="15"/>
    <d v="2025-10-29T09:49:36"/>
    <d v="2025-11-10T12:33:18"/>
    <d v="2025-11-10T12:45:18"/>
    <n v="1"/>
    <n v="1"/>
  </r>
  <r>
    <s v="Cytosquellette"/>
    <s v="J30"/>
    <x v="52"/>
    <n v="18"/>
    <n v="15"/>
    <d v="2025-10-29T10:16:36"/>
    <d v="2025-11-10T12:45:18"/>
    <d v="2025-11-10T13:03:18"/>
    <n v="1"/>
    <n v="1"/>
  </r>
  <r>
    <s v="Membre supérieur 3"/>
    <s v="J30"/>
    <x v="52"/>
    <n v="20.7"/>
    <n v="15"/>
    <d v="2025-10-29T10:47:39"/>
    <d v="2025-11-10T13:03:18"/>
    <d v="2025-11-10T13:24:00"/>
    <n v="1"/>
    <n v="1"/>
  </r>
  <r>
    <s v="Dos"/>
    <s v="J30"/>
    <x v="52"/>
    <n v="29.4"/>
    <n v="15"/>
    <d v="2025-10-29T11:31:45"/>
    <d v="2025-11-10T13:24:00"/>
    <d v="2025-11-10T13:53:24"/>
    <n v="1"/>
    <n v="1"/>
  </r>
  <r>
    <s v="Le domaine de l'optique "/>
    <s v="J30"/>
    <x v="52"/>
    <n v="30"/>
    <n v="15"/>
    <d v="2025-10-29T12:16:45"/>
    <d v="2025-11-10T13:53:24"/>
    <d v="2025-11-10T14:23:24"/>
    <n v="1"/>
    <n v="1"/>
  </r>
  <r>
    <s v="Rayons X et gamma-Rayonnement particulaire"/>
    <s v="J30"/>
    <x v="52"/>
    <n v="30"/>
    <n v="15"/>
    <d v="2025-10-29T13:01:45"/>
    <d v="2025-11-10T14:23:24"/>
    <d v="2025-11-10T14:53:24"/>
    <n v="1"/>
    <n v="1"/>
  </r>
  <r>
    <s v="Tête"/>
    <s v="J30"/>
    <x v="52"/>
    <n v="30"/>
    <n v="15"/>
    <d v="2025-10-29T13:46:45"/>
    <d v="2025-11-10T14:53:24"/>
    <d v="2025-11-10T15:23:24"/>
    <n v="1"/>
    <n v="1"/>
  </r>
  <r>
    <s v="Probabiltés"/>
    <s v="J15"/>
    <x v="52"/>
    <n v="29.7"/>
    <n v="5"/>
    <d v="2025-11-07T11:44:51"/>
    <d v="2025-11-10T15:23:24"/>
    <d v="2025-11-10T15:53:06"/>
    <n v="1"/>
    <n v="1"/>
  </r>
  <r>
    <s v="Métrologie "/>
    <s v="J15"/>
    <x v="52"/>
    <n v="49.5"/>
    <n v="5"/>
    <d v="2025-11-07T12:50:51"/>
    <d v="2025-11-10T15:53:06"/>
    <d v="2025-11-10T16:42:36"/>
    <n v="1"/>
    <n v="1"/>
  </r>
  <r>
    <s v="Membre supérieur 1"/>
    <s v="J30"/>
    <x v="53"/>
    <n v="10.199999999999999"/>
    <n v="15"/>
    <d v="2025-10-30T10:39:09"/>
    <d v="2025-11-10T16:42:36"/>
    <d v="2025-11-10T16:52:48"/>
    <n v="1"/>
    <n v="1"/>
  </r>
  <r>
    <s v="pH et équilibre acido basique d'une solution"/>
    <s v="J30"/>
    <x v="53"/>
    <n v="10.799999999999999"/>
    <n v="15"/>
    <d v="2025-10-30T10:55:21"/>
    <d v="2025-11-10T16:52:48"/>
    <d v="2025-11-10T17:03:36"/>
    <n v="1"/>
    <n v="1"/>
  </r>
  <r>
    <s v="système nerveux autonome "/>
    <s v="J30"/>
    <x v="53"/>
    <n v="21"/>
    <n v="15"/>
    <d v="2025-10-30T11:26:51"/>
    <d v="2025-11-10T17:03:36"/>
    <d v="2025-11-10T17:24:36"/>
    <n v="1"/>
    <n v="1"/>
  </r>
  <r>
    <s v="Maladies, itinéraire thérapeutique"/>
    <s v="J30"/>
    <x v="53"/>
    <n v="22.8"/>
    <n v="15"/>
    <d v="2025-10-30T12:01:03"/>
    <d v="2025-11-10T17:24:36"/>
    <d v="2025-11-10T17:47:24"/>
    <n v="1"/>
    <n v="1"/>
  </r>
  <r>
    <s v="Nomenclature chimique- Isomérie "/>
    <s v="J30"/>
    <x v="53"/>
    <n v="26.4"/>
    <n v="15"/>
    <d v="2025-10-30T12:40:39"/>
    <d v="2025-11-10T17:47:24"/>
    <d v="2025-11-11T08:13:48"/>
    <n v="1"/>
    <n v="1"/>
  </r>
  <r>
    <s v="Dérivés carbonyles"/>
    <s v="J15"/>
    <x v="53"/>
    <n v="36.450000000000003"/>
    <n v="5"/>
    <d v="2025-11-07T13:39:27"/>
    <d v="2025-11-11T08:13:48"/>
    <d v="2025-11-11T08:50:15"/>
    <n v="1"/>
    <n v="1"/>
  </r>
  <r>
    <s v="Enjeux éthiques "/>
    <s v="J15"/>
    <x v="53"/>
    <n v="48.6"/>
    <n v="5"/>
    <d v="2025-11-07T14:44:15"/>
    <d v="2025-11-11T08:50:15"/>
    <d v="2025-11-11T09:38:51"/>
    <n v="1"/>
    <n v="1"/>
  </r>
  <r>
    <s v="Appareil locomoteur 1"/>
    <s v="J30"/>
    <x v="54"/>
    <n v="23.7"/>
    <n v="15"/>
    <d v="2025-11-04T12:19:39"/>
    <d v="2025-11-11T09:38:51"/>
    <d v="2025-11-11T10:02:33"/>
    <n v="1"/>
    <n v="1"/>
  </r>
  <r>
    <s v="Réplication de l'ADN"/>
    <s v="J30"/>
    <x v="54"/>
    <n v="32.4"/>
    <n v="15"/>
    <d v="2025-11-04T13:08:15"/>
    <d v="2025-11-11T10:02:33"/>
    <d v="2025-11-11T10:34:57"/>
    <n v="1"/>
    <n v="1"/>
  </r>
  <r>
    <s v="Sociologie de la profession médicale"/>
    <s v="J30"/>
    <x v="55"/>
    <n v="17.7"/>
    <n v="15"/>
    <d v="2025-11-04T16:49:30"/>
    <d v="2025-11-11T10:34:57"/>
    <d v="2025-11-11T10:52:39"/>
    <n v="1"/>
    <n v="1"/>
  </r>
  <r>
    <s v="Structure et role des nucléotides"/>
    <s v="J30"/>
    <x v="55"/>
    <n v="34.199999999999996"/>
    <n v="15"/>
    <d v="2025-11-04T17:40:48"/>
    <d v="2025-11-11T10:52:39"/>
    <d v="2025-11-11T11:26:51"/>
    <n v="1"/>
    <n v="1"/>
  </r>
  <r>
    <s v="évolution des conceptions relatives au stress"/>
    <s v="J30"/>
    <x v="55"/>
    <n v="35.4"/>
    <n v="15"/>
    <d v="2025-11-05T08:33:54"/>
    <d v="2025-11-11T11:26:51"/>
    <d v="2025-11-11T12:02:15"/>
    <n v="1"/>
    <n v="1"/>
  </r>
  <r>
    <s v="Répercussion sociétales et empowerment "/>
    <s v="J60"/>
    <x v="56"/>
    <n v="4.8"/>
    <n v="30"/>
    <d v="2025-10-14T16:26:18"/>
    <d v="2025-11-11T12:02:15"/>
    <d v="2025-11-11T12:07:03"/>
    <n v="1"/>
    <n v="1"/>
  </r>
  <r>
    <s v="Appareil locomoteur 3"/>
    <s v="J30"/>
    <x v="56"/>
    <n v="15"/>
    <n v="15"/>
    <d v="2025-11-05T12:29:33"/>
    <d v="2025-11-11T12:07:03"/>
    <d v="2025-11-11T12:22:03"/>
    <n v="1"/>
    <n v="1"/>
  </r>
  <r>
    <s v="tests stats et méthodologie de choix de test "/>
    <s v="J30"/>
    <x v="56"/>
    <n v="18"/>
    <n v="15"/>
    <d v="2025-11-05T12:56:33"/>
    <d v="2025-11-11T12:22:03"/>
    <d v="2025-11-11T12:40:03"/>
    <n v="1"/>
    <n v="1"/>
  </r>
  <r>
    <s v="Signalisation intracellulaire part 2"/>
    <s v="J30"/>
    <x v="56"/>
    <n v="26.7"/>
    <n v="15"/>
    <d v="2025-11-05T13:36:36"/>
    <d v="2025-11-11T12:40:03"/>
    <d v="2025-11-11T13:06:45"/>
    <n v="1"/>
    <n v="1"/>
  </r>
  <r>
    <s v="Membre supérieur 2 "/>
    <s v="J30"/>
    <x v="56"/>
    <n v="30.599999999999998"/>
    <n v="15"/>
    <d v="2025-11-05T14:22:30"/>
    <d v="2025-11-11T13:06:45"/>
    <d v="2025-11-11T13:37:21"/>
    <n v="1"/>
    <n v="1"/>
  </r>
  <r>
    <s v="épidémiologie descriptive"/>
    <s v="J60"/>
    <x v="57"/>
    <n v="7.6499999999999995"/>
    <n v="30"/>
    <d v="2025-10-15T16:18:00"/>
    <d v="2025-11-11T13:37:21"/>
    <d v="2025-11-11T13:45:00"/>
    <n v="1"/>
    <n v="1"/>
  </r>
  <r>
    <s v="Économie du système de santé"/>
    <s v="J60"/>
    <x v="57"/>
    <n v="11.85"/>
    <n v="30"/>
    <d v="2025-10-15T16:41:42"/>
    <d v="2025-11-11T13:45:00"/>
    <d v="2025-11-11T13:56:51"/>
    <n v="1"/>
    <n v="1"/>
  </r>
  <r>
    <s v="Abdomen et pelvis 1"/>
    <s v="J60"/>
    <x v="57"/>
    <n v="13.799999999999999"/>
    <n v="30"/>
    <d v="2025-10-15T17:09:18"/>
    <d v="2025-11-11T13:56:51"/>
    <d v="2025-11-11T14:10:39"/>
    <n v="1"/>
    <n v="1"/>
  </r>
  <r>
    <s v="Synthèse tampons, Diagramme de Davenport"/>
    <s v="J60"/>
    <x v="57"/>
    <n v="16.95"/>
    <n v="30"/>
    <d v="2025-10-15T17:43:12"/>
    <d v="2025-11-11T14:10:39"/>
    <d v="2025-11-11T14:27:36"/>
    <n v="1"/>
    <n v="1"/>
  </r>
  <r>
    <s v="Appareil locomoteur 2"/>
    <s v="J30"/>
    <x v="57"/>
    <n v="22.8"/>
    <n v="15"/>
    <d v="2025-11-06T08:32:24"/>
    <d v="2025-11-11T14:27:36"/>
    <d v="2025-11-11T14:50:24"/>
    <n v="1"/>
    <n v="1"/>
  </r>
  <r>
    <s v="Méthode d'évaluation du stress objectif "/>
    <s v="J30"/>
    <x v="57"/>
    <n v="35.699999999999996"/>
    <n v="15"/>
    <d v="2025-11-06T09:25:57"/>
    <d v="2025-11-11T14:50:24"/>
    <d v="2025-11-11T15:26:06"/>
    <n v="1"/>
    <n v="1"/>
  </r>
  <r>
    <s v="Thermorégulation"/>
    <s v="J60"/>
    <x v="58"/>
    <n v="9.9"/>
    <n v="30"/>
    <d v="2025-10-17T11:28:39"/>
    <d v="2025-11-11T15:26:06"/>
    <d v="2025-11-11T15:36:00"/>
    <n v="1"/>
    <n v="1"/>
  </r>
  <r>
    <s v="Potentiel électrochimique "/>
    <s v="J60"/>
    <x v="58"/>
    <n v="15"/>
    <n v="30"/>
    <d v="2025-10-17T11:58:39"/>
    <d v="2025-11-11T15:36:00"/>
    <d v="2025-11-11T15:51:00"/>
    <n v="1"/>
    <n v="1"/>
  </r>
  <r>
    <s v="intro: mouvements"/>
    <s v="J60"/>
    <x v="58"/>
    <n v="15.75"/>
    <n v="30"/>
    <d v="2025-10-17T12:30:09"/>
    <d v="2025-11-11T15:51:00"/>
    <d v="2025-11-11T16:06:45"/>
    <n v="1"/>
    <n v="1"/>
  </r>
  <r>
    <s v="stats descriptives"/>
    <s v="J30"/>
    <x v="58"/>
    <n v="18.599999999999998"/>
    <n v="15"/>
    <d v="2025-11-06T16:52:03"/>
    <d v="2025-11-11T16:06:45"/>
    <d v="2025-11-11T16:25:21"/>
    <n v="1"/>
    <n v="1"/>
  </r>
  <r>
    <s v="Cou"/>
    <s v="J30"/>
    <x v="58"/>
    <n v="18.599999999999998"/>
    <n v="15"/>
    <d v="2025-11-06T17:19:57"/>
    <d v="2025-11-11T16:25:21"/>
    <d v="2025-11-11T16:43:57"/>
    <n v="1"/>
    <n v="1"/>
  </r>
  <r>
    <s v="Synthèse et dégradation des protéines"/>
    <s v="J30"/>
    <x v="58"/>
    <n v="31.799999999999997"/>
    <n v="15"/>
    <d v="2025-11-07T08:07:39"/>
    <d v="2025-11-11T16:43:57"/>
    <d v="2025-11-11T17:15:45"/>
    <n v="1"/>
    <n v="1"/>
  </r>
  <r>
    <s v="Intervention rééducation part-1 "/>
    <s v="J60"/>
    <x v="59"/>
    <n v="9.4499999999999993"/>
    <n v="30"/>
    <d v="2025-10-22T12:26:18"/>
    <d v="2025-11-11T17:15:45"/>
    <d v="2025-11-11T17:25:12"/>
    <n v="1"/>
    <n v="1"/>
  </r>
  <r>
    <s v="Prévention-Alla "/>
    <s v="J30"/>
    <x v="60"/>
    <n v="21.3"/>
    <n v="15"/>
    <d v="2025-11-07T15:16:12"/>
    <d v="2025-11-11T17:25:12"/>
    <d v="2025-11-11T17:46:30"/>
    <n v="1"/>
    <n v="1"/>
  </r>
  <r>
    <s v="Transports membranaires"/>
    <s v="J30"/>
    <x v="60"/>
    <n v="21.3"/>
    <n v="15"/>
    <d v="2025-11-07T15:48:09"/>
    <d v="2025-11-11T17:46:30"/>
    <d v="2025-11-12T08:07:48"/>
    <n v="1"/>
    <n v="1"/>
  </r>
  <r>
    <s v="Détection des rayonnements "/>
    <s v="J30"/>
    <x v="61"/>
    <n v="10.799999999999999"/>
    <n v="15"/>
    <d v="2025-11-07T17:20:51"/>
    <d v="2025-11-12T08:07:48"/>
    <d v="2025-11-12T08:18:36"/>
    <n v="1"/>
    <n v="1"/>
  </r>
  <r>
    <s v="Atomes"/>
    <s v="J30"/>
    <x v="61"/>
    <n v="19.8"/>
    <n v="15"/>
    <d v="2025-11-07T17:50:33"/>
    <d v="2025-11-12T08:18:36"/>
    <d v="2025-11-12T08:38:24"/>
    <n v="1"/>
    <n v="1"/>
  </r>
  <r>
    <s v="Cellules souches"/>
    <s v="J30"/>
    <x v="61"/>
    <n v="25.2"/>
    <n v="15"/>
    <d v="2025-11-10T08:28:21"/>
    <d v="2025-11-12T08:38:24"/>
    <d v="2025-11-12T09:03:36"/>
    <n v="1"/>
    <n v="1"/>
  </r>
  <r>
    <s v="Mouvement molécules de surface"/>
    <s v="J30"/>
    <x v="61"/>
    <n v="30.299999999999997"/>
    <n v="15"/>
    <d v="2025-11-10T09:13:48"/>
    <d v="2025-11-12T09:03:36"/>
    <d v="2025-11-12T09:33:54"/>
    <n v="1"/>
    <n v="1"/>
  </r>
  <r>
    <s v="Molécules du vivant"/>
    <s v="J30"/>
    <x v="61"/>
    <n v="32.699999999999996"/>
    <n v="15"/>
    <d v="2025-11-10T10:02:51"/>
    <d v="2025-11-12T09:33:54"/>
    <d v="2025-11-12T10:06:36"/>
    <n v="1"/>
    <n v="1"/>
  </r>
  <r>
    <s v="Législation handicap "/>
    <s v="J60"/>
    <x v="62"/>
    <n v="10.35"/>
    <n v="30"/>
    <d v="2025-10-27T09:59:24"/>
    <d v="2025-11-12T10:06:36"/>
    <d v="2025-11-12T10:16:57"/>
    <n v="1"/>
    <n v="1"/>
  </r>
  <r>
    <s v="Dérivés d'acides carboxylique- AG "/>
    <s v="J60"/>
    <x v="62"/>
    <n v="11.7"/>
    <n v="30"/>
    <d v="2025-10-27T10:22:48"/>
    <d v="2025-11-12T10:16:57"/>
    <d v="2025-11-12T10:28:39"/>
    <n v="1"/>
    <n v="1"/>
  </r>
  <r>
    <s v="Intervention rééducation part-6"/>
    <s v="J60"/>
    <x v="62"/>
    <n v="12.45"/>
    <n v="30"/>
    <d v="2025-10-27T10:47:42"/>
    <d v="2025-11-12T10:28:39"/>
    <d v="2025-11-12T10:41:06"/>
    <n v="1"/>
    <n v="1"/>
  </r>
  <r>
    <s v="Abdomen et pelvis 2 "/>
    <s v="J60"/>
    <x v="62"/>
    <n v="12.75"/>
    <n v="30"/>
    <d v="2025-10-27T11:13:12"/>
    <d v="2025-11-12T10:41:06"/>
    <d v="2025-11-12T10:53:51"/>
    <n v="1"/>
    <n v="1"/>
  </r>
  <r>
    <s v="Thorax"/>
    <s v="J60"/>
    <x v="62"/>
    <n v="13.95"/>
    <n v="30"/>
    <d v="2025-10-27T11:41:06"/>
    <d v="2025-11-12T10:53:51"/>
    <d v="2025-11-12T11:07:48"/>
    <n v="1"/>
    <n v="1"/>
  </r>
  <r>
    <s v="Propriétés électroniques des liaisons chimiques"/>
    <s v="J60"/>
    <x v="62"/>
    <n v="15.149999999999999"/>
    <n v="30"/>
    <d v="2025-10-27T12:11:24"/>
    <d v="2025-11-12T11:07:48"/>
    <d v="2025-11-12T11:22:57"/>
    <n v="1"/>
    <n v="1"/>
  </r>
  <r>
    <s v="intro: référence et particularité"/>
    <s v="J60"/>
    <x v="62"/>
    <n v="15.899999999999999"/>
    <n v="30"/>
    <d v="2025-10-27T12:43:12"/>
    <d v="2025-11-12T11:22:57"/>
    <d v="2025-11-12T11:38:51"/>
    <n v="1"/>
    <n v="1"/>
  </r>
  <r>
    <s v="évaluation des procédures diagnostiques"/>
    <s v="J30"/>
    <x v="62"/>
    <n v="12"/>
    <n v="15"/>
    <d v="2025-11-10T11:56:51"/>
    <d v="2025-11-12T11:38:51"/>
    <d v="2025-11-12T11:50:51"/>
    <n v="1"/>
    <n v="1"/>
  </r>
  <r>
    <s v="Réparation de l'ADN"/>
    <s v="J30"/>
    <x v="62"/>
    <n v="24.3"/>
    <n v="15"/>
    <d v="2025-11-10T12:33:18"/>
    <d v="2025-11-12T11:50:51"/>
    <d v="2025-11-12T12:15:09"/>
    <n v="1"/>
    <n v="1"/>
  </r>
  <r>
    <s v="Thermodynamique "/>
    <s v="J60"/>
    <x v="63"/>
    <n v="10.5"/>
    <n v="30"/>
    <d v="2025-10-28T12:29:30"/>
    <d v="2025-11-12T12:15:09"/>
    <d v="2025-11-12T12:25:39"/>
    <n v="1"/>
    <n v="1"/>
  </r>
  <r>
    <s v="Intervention rééducation part-3"/>
    <s v="J60"/>
    <x v="63"/>
    <n v="16.2"/>
    <n v="30"/>
    <d v="2025-10-28T13:01:54"/>
    <d v="2025-11-12T12:25:39"/>
    <d v="2025-11-12T12:41:51"/>
    <n v="1"/>
    <n v="1"/>
  </r>
  <r>
    <s v="Protéines "/>
    <s v="J60"/>
    <x v="63"/>
    <n v="16.649999999999999"/>
    <n v="30"/>
    <d v="2025-10-28T13:35:12"/>
    <d v="2025-11-12T12:41:51"/>
    <d v="2025-11-12T12:58:30"/>
    <n v="1"/>
    <n v="1"/>
  </r>
  <r>
    <s v="Probabiltés"/>
    <s v="J30"/>
    <x v="63"/>
    <n v="19.8"/>
    <n v="15"/>
    <d v="2025-11-10T15:53:06"/>
    <d v="2025-11-12T12:58:30"/>
    <d v="2025-11-12T13:18:18"/>
    <n v="1"/>
    <n v="1"/>
  </r>
  <r>
    <s v="Métrologie "/>
    <s v="J30"/>
    <x v="63"/>
    <n v="33"/>
    <n v="15"/>
    <d v="2025-11-10T16:42:36"/>
    <d v="2025-11-12T13:18:18"/>
    <d v="2025-11-12T13:51:18"/>
    <n v="1"/>
    <n v="1"/>
  </r>
  <r>
    <s v="Dérivés carbonyles"/>
    <s v="J30"/>
    <x v="64"/>
    <n v="24.3"/>
    <n v="15"/>
    <d v="2025-11-11T08:50:15"/>
    <d v="2025-11-12T13:51:18"/>
    <d v="2025-11-12T14:15:36"/>
    <n v="1"/>
    <n v="1"/>
  </r>
  <r>
    <s v="Enjeux éthiques "/>
    <s v="J30"/>
    <x v="64"/>
    <n v="32.4"/>
    <n v="15"/>
    <d v="2025-11-11T09:38:51"/>
    <d v="2025-11-12T14:15:36"/>
    <d v="2025-11-12T14:48:00"/>
    <n v="1"/>
    <n v="1"/>
  </r>
  <r>
    <s v="Intervention rééducation part-4"/>
    <s v="J60"/>
    <x v="65"/>
    <n v="8.1"/>
    <n v="30"/>
    <d v="2025-10-31T09:00:27"/>
    <d v="2025-11-12T14:48:00"/>
    <d v="2025-11-12T14:56:06"/>
    <n v="1"/>
    <n v="1"/>
  </r>
  <r>
    <s v="Elément introductif en santé publique"/>
    <s v="J60"/>
    <x v="65"/>
    <n v="9.4499999999999993"/>
    <n v="30"/>
    <d v="2025-10-31T09:19:21"/>
    <d v="2025-11-12T14:56:06"/>
    <d v="2025-11-12T15:05:33"/>
    <n v="1"/>
    <n v="1"/>
  </r>
  <r>
    <s v="Membre inférieur 3"/>
    <s v="J60"/>
    <x v="66"/>
    <n v="6.75"/>
    <n v="30"/>
    <d v="2025-10-31T16:58:21"/>
    <d v="2025-11-12T15:05:33"/>
    <d v="2025-11-12T15:12:18"/>
    <n v="1"/>
    <n v="1"/>
  </r>
  <r>
    <s v="Outils mathématique "/>
    <s v="J60"/>
    <x v="66"/>
    <n v="9.6"/>
    <n v="30"/>
    <d v="2025-10-31T17:17:33"/>
    <d v="2025-11-12T15:12:18"/>
    <d v="2025-11-12T15:21:54"/>
    <n v="1"/>
    <n v="1"/>
  </r>
  <r>
    <s v="Mutations "/>
    <s v="J60"/>
    <x v="66"/>
    <n v="13.049999999999999"/>
    <n v="30"/>
    <d v="2025-10-31T17:43:39"/>
    <d v="2025-11-12T15:21:54"/>
    <d v="2025-11-12T15:34:57"/>
    <n v="1"/>
    <n v="1"/>
  </r>
  <r>
    <s v="La composition des membranes cellulaire"/>
    <s v="J60"/>
    <x v="66"/>
    <n v="13.799999999999999"/>
    <n v="30"/>
    <d v="2025-11-03T08:11:15"/>
    <d v="2025-11-12T15:34:57"/>
    <d v="2025-11-12T15:48:45"/>
    <n v="1"/>
    <n v="1"/>
  </r>
  <r>
    <s v="La discipline anthropologique "/>
    <s v="J60"/>
    <x v="67"/>
    <n v="14.399999999999999"/>
    <n v="30"/>
    <d v="2025-11-04T15:49:03"/>
    <d v="2025-11-14T08:00:00"/>
    <d v="2025-11-14T08:14:24"/>
    <n v="0"/>
    <n v="1"/>
  </r>
  <r>
    <s v="intro: tissus"/>
    <s v="J60"/>
    <x v="67"/>
    <n v="16.95"/>
    <n v="30"/>
    <d v="2025-11-04T16:22:57"/>
    <d v="2025-11-14T08:14:24"/>
    <d v="2025-11-14T08:31:21"/>
    <n v="0"/>
    <n v="1"/>
  </r>
  <r>
    <s v="Représentations sociales du handicap "/>
    <s v="J60"/>
    <x v="68"/>
    <n v="5.3999999999999995"/>
    <n v="30"/>
    <d v="2025-11-05T11:06:27"/>
    <d v="2025-11-15T08:00:00"/>
    <d v="2025-11-15T08:05:24"/>
    <n v="0"/>
    <n v="1"/>
  </r>
  <r>
    <s v="intro : généralités"/>
    <s v="J60"/>
    <x v="68"/>
    <n v="6.75"/>
    <n v="30"/>
    <d v="2025-11-05T11:19:57"/>
    <d v="2025-11-15T08:05:24"/>
    <d v="2025-11-15T08:12:09"/>
    <n v="0"/>
    <n v="1"/>
  </r>
  <r>
    <s v="Division cellulaire"/>
    <s v="J60"/>
    <x v="68"/>
    <n v="7.1999999999999993"/>
    <n v="30"/>
    <d v="2025-11-05T11:34:21"/>
    <d v="2025-11-15T08:12:09"/>
    <d v="2025-11-15T08:19:21"/>
    <n v="0"/>
    <n v="1"/>
  </r>
  <r>
    <s v="Transcription et régulation "/>
    <s v="J60"/>
    <x v="68"/>
    <n v="7.35"/>
    <n v="30"/>
    <d v="2025-11-05T11:49:03"/>
    <d v="2025-11-15T08:19:21"/>
    <d v="2025-11-15T08:26:42"/>
    <n v="0"/>
    <n v="1"/>
  </r>
  <r>
    <s v="Membre inférieur 2 "/>
    <s v="J60"/>
    <x v="68"/>
    <n v="9"/>
    <n v="30"/>
    <d v="2025-11-05T12:07:03"/>
    <d v="2025-11-15T08:26:42"/>
    <d v="2025-11-15T08:35:42"/>
    <n v="0"/>
    <n v="1"/>
  </r>
  <r>
    <s v="États  de la matière et leur caractérisation "/>
    <s v="J60"/>
    <x v="69"/>
    <n v="13.5"/>
    <n v="30"/>
    <d v="2025-11-05T16:14:42"/>
    <d v="2025-11-16T08:00:00"/>
    <d v="2025-11-16T08:13:30"/>
    <n v="0"/>
    <n v="1"/>
  </r>
  <r>
    <s v="Interaction rayonnement-Matière "/>
    <s v="J60"/>
    <x v="69"/>
    <n v="16.8"/>
    <n v="30"/>
    <d v="2025-11-05T16:48:18"/>
    <d v="2025-11-16T08:13:30"/>
    <d v="2025-11-16T08:30:18"/>
    <n v="0"/>
    <n v="1"/>
  </r>
  <r>
    <s v="essai thérapeutique "/>
    <s v="J60"/>
    <x v="69"/>
    <n v="16.95"/>
    <n v="30"/>
    <d v="2025-11-05T17:22:12"/>
    <d v="2025-11-16T08:30:18"/>
    <d v="2025-11-16T08:47:15"/>
    <n v="0"/>
    <n v="1"/>
  </r>
  <r>
    <s v="Les très basses fréquences du spectre électromagnétique "/>
    <s v="J60"/>
    <x v="69"/>
    <n v="18"/>
    <n v="30"/>
    <d v="2025-11-05T17:58:12"/>
    <d v="2025-11-16T08:47:15"/>
    <d v="2025-11-16T09:05:15"/>
    <n v="0"/>
    <n v="1"/>
  </r>
  <r>
    <s v="Acides Aminés- peptides "/>
    <s v="J60"/>
    <x v="70"/>
    <n v="4.6499999999999995"/>
    <n v="30"/>
    <d v="2025-11-06T13:32:51"/>
    <d v="2025-11-17T08:00:00"/>
    <d v="2025-11-17T08:04:39"/>
    <n v="0"/>
    <n v="1"/>
  </r>
  <r>
    <s v="Intervention rééducation part-2"/>
    <s v="J60"/>
    <x v="70"/>
    <n v="6"/>
    <n v="30"/>
    <d v="2025-11-06T13:44:51"/>
    <d v="2025-11-17T08:04:39"/>
    <d v="2025-11-17T08:10:39"/>
    <n v="0"/>
    <n v="1"/>
  </r>
  <r>
    <s v="Du chromosome à l'ADN"/>
    <s v="J60"/>
    <x v="70"/>
    <n v="9"/>
    <n v="30"/>
    <d v="2025-11-06T14:02:51"/>
    <d v="2025-11-17T08:10:39"/>
    <d v="2025-11-17T08:19:39"/>
    <n v="0"/>
    <n v="1"/>
  </r>
  <r>
    <s v="corrélation et régression linéaire"/>
    <s v="J60"/>
    <x v="70"/>
    <n v="10.95"/>
    <n v="30"/>
    <d v="2025-11-06T14:24:45"/>
    <d v="2025-11-17T08:19:39"/>
    <d v="2025-11-17T08:30:36"/>
    <n v="0"/>
    <n v="1"/>
  </r>
  <r>
    <s v="Signalisation intracellulaire part 1"/>
    <s v="J60"/>
    <x v="70"/>
    <n v="12.299999999999999"/>
    <n v="30"/>
    <d v="2025-11-06T14:49:21"/>
    <d v="2025-11-17T08:30:36"/>
    <d v="2025-11-17T08:42:54"/>
    <n v="0"/>
    <n v="1"/>
  </r>
  <r>
    <s v="Régulation et rôle du rein "/>
    <s v="J60"/>
    <x v="70"/>
    <n v="14.85"/>
    <n v="30"/>
    <d v="2025-11-06T15:19:03"/>
    <d v="2025-11-17T08:42:54"/>
    <d v="2025-11-17T08:57:45"/>
    <n v="0"/>
    <n v="1"/>
  </r>
  <r>
    <s v="Liaisons chimique et interactions moléculaires"/>
    <s v="J60"/>
    <x v="70"/>
    <n v="16.05"/>
    <n v="30"/>
    <d v="2025-11-06T15:51:09"/>
    <d v="2025-11-17T08:57:45"/>
    <d v="2025-11-17T09:13:48"/>
    <n v="0"/>
    <n v="1"/>
  </r>
  <r>
    <s v="Physiologie et compartiments liquidiens "/>
    <s v="J60"/>
    <x v="70"/>
    <n v="16.5"/>
    <n v="30"/>
    <d v="2025-11-06T16:24:09"/>
    <d v="2025-11-17T09:13:48"/>
    <d v="2025-11-17T09:30:18"/>
    <n v="0"/>
    <n v="1"/>
  </r>
  <r>
    <s v="psychologie générale "/>
    <s v="J60"/>
    <x v="71"/>
    <n v="4.8"/>
    <n v="30"/>
    <d v="2025-11-07T09:29:51"/>
    <d v="2025-11-18T08:00:00"/>
    <d v="2025-11-18T08:04:48"/>
    <n v="0"/>
    <n v="1"/>
  </r>
  <r>
    <s v="schéma d'étude "/>
    <s v="J60"/>
    <x v="71"/>
    <n v="8.4"/>
    <n v="30"/>
    <d v="2025-11-07T09:46:39"/>
    <d v="2025-11-18T08:04:48"/>
    <d v="2025-11-18T08:13:12"/>
    <n v="0"/>
    <n v="1"/>
  </r>
  <r>
    <s v="Les alcools- les amines"/>
    <s v="J60"/>
    <x v="71"/>
    <n v="8.4"/>
    <n v="30"/>
    <d v="2025-11-07T10:03:27"/>
    <d v="2025-11-18T08:13:12"/>
    <d v="2025-11-18T08:21:36"/>
    <n v="0"/>
    <n v="1"/>
  </r>
  <r>
    <s v="Introduction épidémiologie et stats"/>
    <s v="J60"/>
    <x v="71"/>
    <n v="15.299999999999999"/>
    <n v="30"/>
    <d v="2025-11-07T10:34:03"/>
    <d v="2025-11-18T08:21:36"/>
    <d v="2025-11-18T08:36:54"/>
    <n v="0"/>
    <n v="1"/>
  </r>
  <r>
    <s v="Intervention rééducation part-5"/>
    <s v="J60"/>
    <x v="71"/>
    <n v="15.6"/>
    <n v="30"/>
    <d v="2025-11-07T11:05:15"/>
    <d v="2025-11-18T08:36:54"/>
    <d v="2025-11-18T08:52:30"/>
    <n v="0"/>
    <n v="1"/>
  </r>
  <r>
    <s v="Transport intracellulaire et trafic vésiculaire "/>
    <s v="J60"/>
    <x v="72"/>
    <n v="4.95"/>
    <n v="30"/>
    <d v="2025-11-07T15:58:03"/>
    <d v="2025-11-21T08:00:00"/>
    <d v="2025-11-21T08:04:57"/>
    <n v="0"/>
    <n v="1"/>
  </r>
  <r>
    <s v="Membre inférieur 1"/>
    <s v="J60"/>
    <x v="72"/>
    <n v="16.5"/>
    <n v="30"/>
    <d v="2025-11-07T16:31:03"/>
    <d v="2025-11-21T08:04:57"/>
    <d v="2025-11-21T08:21:27"/>
    <n v="0"/>
    <n v="1"/>
  </r>
  <r>
    <s v="intro: région, fascias et appareil "/>
    <s v="J60"/>
    <x v="72"/>
    <n v="16.8"/>
    <n v="30"/>
    <d v="2025-11-07T17:04:39"/>
    <d v="2025-11-21T08:21:27"/>
    <d v="2025-11-21T08:38:15"/>
    <n v="0"/>
    <n v="1"/>
  </r>
  <r>
    <s v="CI du fonctionnement, du handicap et de la santé "/>
    <s v="J60"/>
    <x v="73"/>
    <n v="8.6999999999999993"/>
    <n v="30"/>
    <d v="2025-11-10T10:20:15"/>
    <d v="2025-11-22T08:00:00"/>
    <d v="2025-11-22T08:08:42"/>
    <n v="0"/>
    <n v="1"/>
  </r>
  <r>
    <s v="Jonction neuro-musculaire"/>
    <s v="J60"/>
    <x v="73"/>
    <n v="11.7"/>
    <n v="30"/>
    <d v="2025-11-10T10:43:39"/>
    <d v="2025-11-22T08:08:42"/>
    <d v="2025-11-22T08:20:24"/>
    <n v="0"/>
    <n v="1"/>
  </r>
  <r>
    <s v="Culture, corps et santé"/>
    <s v="J60"/>
    <x v="73"/>
    <n v="12.299999999999999"/>
    <n v="30"/>
    <d v="2025-11-10T11:08:15"/>
    <d v="2025-11-22T08:20:24"/>
    <d v="2025-11-22T08:32:42"/>
    <n v="0"/>
    <n v="1"/>
  </r>
  <r>
    <s v="Les acides aminés- les oses "/>
    <s v="J60"/>
    <x v="73"/>
    <n v="15.299999999999999"/>
    <n v="30"/>
    <d v="2025-11-10T11:38:51"/>
    <d v="2025-11-22T08:32:42"/>
    <d v="2025-11-22T08:48:00"/>
    <n v="0"/>
    <n v="1"/>
  </r>
  <r>
    <s v="Structure des glucides "/>
    <s v="J60"/>
    <x v="74"/>
    <n v="6"/>
    <n v="30"/>
    <d v="2025-11-10T12:45:18"/>
    <d v="2025-11-23T08:00:00"/>
    <d v="2025-11-23T08:06:00"/>
    <n v="0"/>
    <n v="1"/>
  </r>
  <r>
    <s v="Cytosquellette"/>
    <s v="J60"/>
    <x v="74"/>
    <n v="9"/>
    <n v="30"/>
    <d v="2025-11-10T13:03:18"/>
    <d v="2025-11-23T08:06:00"/>
    <d v="2025-11-23T08:15:00"/>
    <n v="0"/>
    <n v="1"/>
  </r>
  <r>
    <s v="Membre supérieur 3"/>
    <s v="J60"/>
    <x v="74"/>
    <n v="10.35"/>
    <n v="30"/>
    <d v="2025-11-10T13:24:00"/>
    <d v="2025-11-23T08:15:00"/>
    <d v="2025-11-23T08:25:21"/>
    <n v="0"/>
    <n v="1"/>
  </r>
  <r>
    <s v="Dos"/>
    <s v="J60"/>
    <x v="74"/>
    <n v="14.7"/>
    <n v="30"/>
    <d v="2025-11-10T13:53:24"/>
    <d v="2025-11-23T08:25:21"/>
    <d v="2025-11-23T08:40:03"/>
    <n v="0"/>
    <n v="1"/>
  </r>
  <r>
    <s v="Le domaine de l'optique "/>
    <s v="J60"/>
    <x v="74"/>
    <n v="15"/>
    <n v="30"/>
    <d v="2025-11-10T14:23:24"/>
    <d v="2025-11-23T08:40:03"/>
    <d v="2025-11-23T08:55:03"/>
    <n v="0"/>
    <n v="1"/>
  </r>
  <r>
    <s v="Rayons X et gamma-Rayonnement particulaire"/>
    <s v="J60"/>
    <x v="74"/>
    <n v="15"/>
    <n v="30"/>
    <d v="2025-11-10T14:53:24"/>
    <d v="2025-11-23T08:55:03"/>
    <d v="2025-11-23T09:10:03"/>
    <n v="0"/>
    <n v="1"/>
  </r>
  <r>
    <s v="Tête"/>
    <s v="J60"/>
    <x v="74"/>
    <n v="15"/>
    <n v="30"/>
    <d v="2025-11-10T15:23:24"/>
    <d v="2025-11-23T09:10:03"/>
    <d v="2025-11-23T09:25:03"/>
    <n v="0"/>
    <n v="1"/>
  </r>
  <r>
    <s v="Membre supérieur 1"/>
    <s v="J60"/>
    <x v="75"/>
    <n v="5.0999999999999996"/>
    <n v="30"/>
    <d v="2025-11-10T16:52:48"/>
    <d v="2025-11-24T08:00:00"/>
    <d v="2025-11-24T08:05:06"/>
    <n v="0"/>
    <n v="1"/>
  </r>
  <r>
    <s v="pH et équilibre acido basique d'une solution"/>
    <s v="J60"/>
    <x v="75"/>
    <n v="5.3999999999999995"/>
    <n v="30"/>
    <d v="2025-11-10T17:03:36"/>
    <d v="2025-11-24T08:05:06"/>
    <d v="2025-11-24T08:10:30"/>
    <n v="0"/>
    <n v="1"/>
  </r>
  <r>
    <s v="système nerveux autonome "/>
    <s v="J60"/>
    <x v="75"/>
    <n v="10.5"/>
    <n v="30"/>
    <d v="2025-11-10T17:24:36"/>
    <d v="2025-11-24T08:10:30"/>
    <d v="2025-11-24T08:21:00"/>
    <n v="0"/>
    <n v="1"/>
  </r>
  <r>
    <s v="Maladies, itinéraire thérapeutique"/>
    <s v="J60"/>
    <x v="75"/>
    <n v="11.4"/>
    <n v="30"/>
    <d v="2025-11-10T17:47:24"/>
    <d v="2025-11-24T08:21:00"/>
    <d v="2025-11-24T08:32:24"/>
    <n v="0"/>
    <n v="1"/>
  </r>
  <r>
    <s v="Nomenclature chimique- Isomérie "/>
    <s v="J60"/>
    <x v="75"/>
    <n v="13.2"/>
    <n v="30"/>
    <d v="2025-11-11T08:13:48"/>
    <d v="2025-11-24T08:32:24"/>
    <d v="2025-11-24T08:45:36"/>
    <n v="0"/>
    <n v="1"/>
  </r>
  <r>
    <s v="Appareil locomoteur 1"/>
    <s v="J60"/>
    <x v="76"/>
    <n v="11.85"/>
    <n v="30"/>
    <d v="2025-11-11T10:02:33"/>
    <d v="2025-11-28T08:00:00"/>
    <d v="2025-11-28T08:11:51"/>
    <n v="0"/>
    <n v="1"/>
  </r>
  <r>
    <s v="Réplication de l'ADN"/>
    <s v="J60"/>
    <x v="76"/>
    <n v="16.2"/>
    <n v="30"/>
    <d v="2025-11-11T10:34:57"/>
    <d v="2025-11-28T08:11:51"/>
    <d v="2025-11-28T08:28:03"/>
    <n v="0"/>
    <n v="1"/>
  </r>
  <r>
    <s v="Sociologie de la profession médicale"/>
    <s v="J60"/>
    <x v="77"/>
    <n v="8.85"/>
    <n v="30"/>
    <d v="2025-11-11T10:52:39"/>
    <d v="2025-11-29T08:00:00"/>
    <d v="2025-11-29T08:08:51"/>
    <n v="0"/>
    <n v="1"/>
  </r>
  <r>
    <s v="Structure et role des nucléotides"/>
    <s v="J60"/>
    <x v="77"/>
    <n v="17.099999999999998"/>
    <n v="30"/>
    <d v="2025-11-11T11:26:51"/>
    <d v="2025-11-29T08:08:51"/>
    <d v="2025-11-29T08:25:57"/>
    <n v="0"/>
    <n v="1"/>
  </r>
  <r>
    <s v="évolution des conceptions relatives au stress"/>
    <s v="J60"/>
    <x v="77"/>
    <n v="17.7"/>
    <n v="30"/>
    <d v="2025-11-11T12:02:15"/>
    <d v="2025-11-29T08:25:57"/>
    <d v="2025-11-29T08:43:39"/>
    <n v="0"/>
    <n v="1"/>
  </r>
  <r>
    <s v="Appareil locomoteur 3"/>
    <s v="J60"/>
    <x v="78"/>
    <n v="7.5"/>
    <n v="30"/>
    <d v="2025-11-11T12:22:03"/>
    <d v="2025-11-30T08:00:00"/>
    <d v="2025-11-30T08:07:30"/>
    <n v="0"/>
    <n v="1"/>
  </r>
  <r>
    <s v="tests stats et méthodologie de choix de test "/>
    <s v="J60"/>
    <x v="78"/>
    <n v="9"/>
    <n v="30"/>
    <d v="2025-11-11T12:40:03"/>
    <d v="2025-11-30T08:07:30"/>
    <d v="2025-11-30T08:16:30"/>
    <n v="0"/>
    <n v="1"/>
  </r>
  <r>
    <s v="Signalisation intracellulaire part 2"/>
    <s v="J60"/>
    <x v="78"/>
    <n v="13.35"/>
    <n v="30"/>
    <d v="2025-11-11T13:06:45"/>
    <d v="2025-11-30T08:16:30"/>
    <d v="2025-11-30T08:29:51"/>
    <n v="0"/>
    <n v="1"/>
  </r>
  <r>
    <s v="Membre supérieur 2 "/>
    <s v="J60"/>
    <x v="78"/>
    <n v="15.299999999999999"/>
    <n v="30"/>
    <d v="2025-11-11T13:37:21"/>
    <d v="2025-11-30T08:29:51"/>
    <d v="2025-11-30T08:45:09"/>
    <n v="0"/>
    <n v="1"/>
  </r>
  <r>
    <s v="Appareil locomoteur 2"/>
    <s v="J60"/>
    <x v="79"/>
    <n v="11.4"/>
    <n v="30"/>
    <d v="2025-11-11T14:50:24"/>
    <d v="2025-12-01T08:00:00"/>
    <d v="2025-12-01T08:11:24"/>
    <n v="0"/>
    <n v="1"/>
  </r>
  <r>
    <s v="Méthode d'évaluation du stress objectif "/>
    <s v="J60"/>
    <x v="79"/>
    <n v="17.849999999999998"/>
    <n v="30"/>
    <d v="2025-11-11T15:26:06"/>
    <d v="2025-12-01T08:11:24"/>
    <d v="2025-12-01T08:29:15"/>
    <n v="0"/>
    <n v="1"/>
  </r>
  <r>
    <s v="stats descriptives"/>
    <s v="J60"/>
    <x v="80"/>
    <n v="9.2999999999999989"/>
    <n v="30"/>
    <d v="2025-11-11T16:25:21"/>
    <d v="2025-12-02T08:00:00"/>
    <d v="2025-12-02T08:09:18"/>
    <n v="0"/>
    <n v="1"/>
  </r>
  <r>
    <s v="Cou"/>
    <s v="J60"/>
    <x v="80"/>
    <n v="9.2999999999999989"/>
    <n v="30"/>
    <d v="2025-11-11T16:43:57"/>
    <d v="2025-12-02T08:09:18"/>
    <d v="2025-12-02T08:18:36"/>
    <n v="0"/>
    <n v="1"/>
  </r>
  <r>
    <s v="Synthèse et dégradation des protéines"/>
    <s v="J60"/>
    <x v="80"/>
    <n v="15.899999999999999"/>
    <n v="30"/>
    <d v="2025-11-11T17:15:45"/>
    <d v="2025-12-02T08:18:36"/>
    <d v="2025-12-02T08:34:30"/>
    <n v="0"/>
    <n v="1"/>
  </r>
  <r>
    <s v="Prévention-Alla "/>
    <s v="J60"/>
    <x v="81"/>
    <n v="10.65"/>
    <n v="30"/>
    <d v="2025-11-11T17:46:30"/>
    <d v="2025-12-05T08:00:00"/>
    <d v="2025-12-05T08:10:39"/>
    <n v="0"/>
    <n v="1"/>
  </r>
  <r>
    <s v="Transports membranaires"/>
    <s v="J60"/>
    <x v="81"/>
    <n v="10.65"/>
    <n v="30"/>
    <d v="2025-11-12T08:07:48"/>
    <d v="2025-12-05T08:10:39"/>
    <d v="2025-12-05T08:21:18"/>
    <n v="0"/>
    <n v="1"/>
  </r>
  <r>
    <s v="Détection des rayonnements "/>
    <s v="J60"/>
    <x v="82"/>
    <n v="5.3999999999999995"/>
    <n v="30"/>
    <d v="2025-11-12T08:18:36"/>
    <d v="2025-12-06T08:00:00"/>
    <d v="2025-12-06T08:05:24"/>
    <n v="0"/>
    <n v="1"/>
  </r>
  <r>
    <s v="Atomes"/>
    <s v="J60"/>
    <x v="82"/>
    <n v="9.9"/>
    <n v="30"/>
    <d v="2025-11-12T08:38:24"/>
    <d v="2025-12-06T08:05:24"/>
    <d v="2025-12-06T08:15:18"/>
    <n v="0"/>
    <n v="1"/>
  </r>
  <r>
    <s v="Cellules souches"/>
    <s v="J60"/>
    <x v="82"/>
    <n v="12.6"/>
    <n v="30"/>
    <d v="2025-11-12T09:03:36"/>
    <d v="2025-12-06T08:15:18"/>
    <d v="2025-12-06T08:27:54"/>
    <n v="0"/>
    <n v="1"/>
  </r>
  <r>
    <s v="Mouvement molécules de surface"/>
    <s v="J60"/>
    <x v="82"/>
    <n v="15.149999999999999"/>
    <n v="30"/>
    <d v="2025-11-12T09:33:54"/>
    <d v="2025-12-06T08:27:54"/>
    <d v="2025-12-06T08:43:03"/>
    <n v="0"/>
    <n v="1"/>
  </r>
  <r>
    <s v="Molécules du vivant"/>
    <s v="J60"/>
    <x v="82"/>
    <n v="16.349999999999998"/>
    <n v="30"/>
    <d v="2025-11-12T10:06:36"/>
    <d v="2025-12-06T08:43:03"/>
    <d v="2025-12-06T08:59:24"/>
    <n v="0"/>
    <n v="1"/>
  </r>
  <r>
    <s v="évaluation des procédures diagnostiques"/>
    <s v="J60"/>
    <x v="83"/>
    <n v="6"/>
    <n v="30"/>
    <d v="2025-11-12T11:50:51"/>
    <d v="2025-12-07T08:00:00"/>
    <d v="2025-12-07T08:06:00"/>
    <n v="0"/>
    <n v="1"/>
  </r>
  <r>
    <s v="Réparation de l'ADN"/>
    <s v="J60"/>
    <x v="83"/>
    <n v="12.15"/>
    <n v="30"/>
    <d v="2025-11-12T12:15:09"/>
    <d v="2025-12-07T08:06:00"/>
    <d v="2025-12-07T08:18:09"/>
    <n v="0"/>
    <n v="1"/>
  </r>
  <r>
    <s v="Probabiltés"/>
    <s v="J60"/>
    <x v="84"/>
    <n v="9.9"/>
    <n v="30"/>
    <d v="2025-11-12T13:18:18"/>
    <d v="2025-12-08T08:00:00"/>
    <d v="2025-12-08T08:09:54"/>
    <n v="0"/>
    <n v="1"/>
  </r>
  <r>
    <s v="Métrologie "/>
    <s v="J60"/>
    <x v="84"/>
    <n v="16.5"/>
    <n v="30"/>
    <d v="2025-11-12T13:51:18"/>
    <d v="2025-12-08T08:09:54"/>
    <d v="2025-12-08T08:26:24"/>
    <n v="0"/>
    <n v="1"/>
  </r>
  <r>
    <s v="Dérivés carbonyles"/>
    <s v="J60"/>
    <x v="85"/>
    <n v="12.15"/>
    <n v="30"/>
    <d v="2025-11-12T14:15:36"/>
    <d v="2025-12-09T08:00:00"/>
    <d v="2025-12-09T08:12:09"/>
    <n v="0"/>
    <n v="1"/>
  </r>
  <r>
    <s v="Enjeux éthiques "/>
    <s v="J60"/>
    <x v="85"/>
    <n v="16.2"/>
    <n v="30"/>
    <d v="2025-11-12T14:48:00"/>
    <d v="2025-12-09T08:12:09"/>
    <d v="2025-12-09T08:28:21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EF0F22-A110-44FA-B1CD-9AC98692199D}" name="Draaitabel1" cacheId="43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X4:Y91" firstHeaderRow="2" firstDataRow="2" firstDataCol="1"/>
  <pivotFields count="10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sortType="ascending">
      <items count="94">
        <item x="0"/>
        <item x="1"/>
        <item x="2"/>
        <item x="3"/>
        <item x="4"/>
        <item m="1" x="86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m="1" x="87"/>
        <item m="1" x="88"/>
        <item x="54"/>
        <item x="55"/>
        <item x="56"/>
        <item x="57"/>
        <item x="58"/>
        <item m="1" x="89"/>
        <item x="59"/>
        <item x="60"/>
        <item x="61"/>
        <item x="62"/>
        <item x="63"/>
        <item x="64"/>
        <item x="65"/>
        <item x="66"/>
        <item m="1" x="90"/>
        <item x="67"/>
        <item x="68"/>
        <item x="69"/>
        <item x="70"/>
        <item x="71"/>
        <item x="72"/>
        <item x="73"/>
        <item x="74"/>
        <item x="75"/>
        <item m="1" x="91"/>
        <item x="76"/>
        <item x="77"/>
        <item x="78"/>
        <item x="79"/>
        <item x="80"/>
        <item x="81"/>
        <item x="82"/>
        <item x="83"/>
        <item x="84"/>
        <item x="85"/>
        <item m="1" x="9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"/>
  </rowFields>
  <rowItems count="86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7"/>
    </i>
    <i>
      <x v="58"/>
    </i>
    <i>
      <x v="59"/>
    </i>
    <i>
      <x v="60"/>
    </i>
    <i>
      <x v="61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</rowItems>
  <colItems count="1">
    <i/>
  </colItems>
  <dataFields count="1">
    <dataField name="Somme duree" fld="3" baseField="0" baseItem="0"/>
  </dataFields>
  <conditionalFormats count="1"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4:I108" totalsRowShown="0" headerRowDxfId="32">
  <autoFilter ref="A4:I108" xr:uid="{00000000-0009-0000-0100-000001000000}"/>
  <tableColumns count="9">
    <tableColumn id="1" xr3:uid="{00000000-0010-0000-0000-000001000000}" name="Nom du cours" dataDxfId="31"/>
    <tableColumn id="7" xr3:uid="{2CB39F58-F4B5-4A18-9D48-27A60DB9B9C1}" name="durée" dataDxfId="27"/>
    <tableColumn id="2" xr3:uid="{00000000-0010-0000-0000-000002000000}" name="J0" dataDxfId="21"/>
    <tableColumn id="3" xr3:uid="{00000000-0010-0000-0000-000003000000}" name="J2" dataDxfId="20">
      <calculatedColumnFormula>IF($C5&gt;0,$C5+D$2,"")</calculatedColumnFormula>
    </tableColumn>
    <tableColumn id="4" xr3:uid="{00000000-0010-0000-0000-000004000000}" name="J6" dataDxfId="19">
      <calculatedColumnFormula>IF($C5&gt;0,$C5+E$2,"")</calculatedColumnFormula>
    </tableColumn>
    <tableColumn id="5" xr3:uid="{00000000-0010-0000-0000-000005000000}" name="J10" dataDxfId="18">
      <calculatedColumnFormula>IF($C5&gt;0,$C5+F$2,"")</calculatedColumnFormula>
    </tableColumn>
    <tableColumn id="6" xr3:uid="{00000000-0010-0000-0000-000006000000}" name="J15" dataDxfId="17">
      <calculatedColumnFormula>IF($C5&gt;0,$C5+G$2,"")</calculatedColumnFormula>
    </tableColumn>
    <tableColumn id="8" xr3:uid="{00000000-0010-0000-0000-000008000000}" name="J30" dataDxfId="16">
      <calculatedColumnFormula>IF($C5&gt;0,$C5+H$2,"")</calculatedColumnFormula>
    </tableColumn>
    <tableColumn id="9" xr3:uid="{00000000-0010-0000-0000-000009000000}" name="J60" dataDxfId="15">
      <calculatedColumnFormula>IF($C5&gt;0,$C5+I$2,"")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610A30-50CA-4C76-9FA3-9AC1BFB5E8A3}" name="Tabel3" displayName="Tabel3" ref="L4:U669" totalsRowShown="0" headerRowDxfId="4" dataDxfId="3">
  <tableColumns count="10">
    <tableColumn id="1" xr3:uid="{B5332BC1-42CF-4510-AF16-DB8637507F3B}" name="Nom du cours" dataDxfId="14"/>
    <tableColumn id="2" xr3:uid="{3258E883-0DD9-46DF-8B7F-1DE164A6F413}" name="Type" dataDxfId="13"/>
    <tableColumn id="3" xr3:uid="{D59F404D-CE6C-4C27-B51C-146A5900029D}" name="jour" dataDxfId="12"/>
    <tableColumn id="4" xr3:uid="{483C4F13-EC73-4440-A699-1A504E8664C5}" name="duree" dataDxfId="11"/>
    <tableColumn id="8" xr3:uid="{A37D0511-E3FC-45A3-AD56-1D303C06865C}" name="delai" dataDxfId="10">
      <calculatedColumnFormula>INDEX($C$1:$I$1,MATCH(Tabel3[[#This Row],[Type]],Devoirs[[#Headers],[J0]:[J60]],0))</calculatedColumnFormula>
    </tableColumn>
    <tableColumn id="9" xr3:uid="{EDFCC5CC-FD3D-4D09-8237-CEFA3F1E792C}" name="fin precedent" dataDxfId="9">
      <calculatedColumnFormula array="1">IF(Tabel3[[#This Row],[Type]]="j0","-",INDEX(Tabel3[fin],MATCH(Tabel3[[#This Row],[Nom du cours]]&amp;"|"&amp; INDEX(Devoirs[[#Headers],[J0]:[J60]],MATCH(Tabel3[[#This Row],[Type]],Devoirs[[#Headers],[J0]:[J60]],0)-1),Tabel3[Nom du cours] &amp; "|" &amp;Tabel3[Type],0)))</calculatedColumnFormula>
    </tableColumn>
    <tableColumn id="5" xr3:uid="{92A3EAB8-8062-40AD-B910-2DEC02023C8C}" name="debut" dataDxfId="8">
      <calculatedColumnFormula>MAX(Tabel3[[#This Row],[jour]]+$R$3,IF(ROW()-ROW(Tabel3[[#Headers],[debut]])=1,DATE(2025,9,1)+$R$3,OFFSET(Tabel3[[#This Row],[fin]],-1,)))</calculatedColumnFormula>
    </tableColumn>
    <tableColumn id="6" xr3:uid="{2A396559-91E5-4474-BC82-EB639BB4EF17}" name="fin" dataDxfId="7">
      <calculatedColumnFormula>_xlfn.LET(_xlpm.debut,Tabel3[[#This Row],[debut]],_xlpm.Trop,MAX(0,MOD(_xlpm.debut,1)+Tabel3[[#This Row],[duree]]/1440-$S$3),IF(_xlpm.Trop&gt;0,WORKDAY.INTL(Tabel3[[#This Row],[debut]],1)+$R$3+_xlpm.Trop,Tabel3[[#This Row],[debut]]+Tabel3[[#This Row],[duree]]/1440))</calculatedColumnFormula>
    </tableColumn>
    <tableColumn id="7" xr3:uid="{7B3AE27B-BB76-4004-A7F9-2858525252F0}" name="problème" dataDxfId="6">
      <calculatedColumnFormula>--(Tabel3[[#This Row],[jour]]&lt;&gt;TRUNC(Tabel3[[#This Row],[fin]]))</calculatedColumnFormula>
    </tableColumn>
    <tableColumn id="10" xr3:uid="{4341CFF4-73D1-4889-98C0-85895F6BC183}" name="trop tot" dataDxfId="5">
      <calculatedColumnFormula>IF(Tabel3[[#This Row],[Type]]="j0",0,--(TRUNC(Tabel3[[#This Row],[debut]])-TRUNC(Tabel3[[#This Row],[fin precedent]])&lt;Tabel3[[#This Row],[delai]]))</calculatedColumnFormula>
    </tableColumn>
  </tableColumns>
  <tableStyleInfo name="Student Planner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30">
  <autoFilter ref="B1:C33" xr:uid="{00000000-0009-0000-0100-000002000000}"/>
  <tableColumns count="2">
    <tableColumn id="1" xr3:uid="{00000000-0010-0000-0100-000001000000}" name="DATE_JFP" dataDxfId="29"/>
    <tableColumn id="2" xr3:uid="{00000000-0010-0000-0100-000002000000}" name="JF_Ponts" dataDxfId="28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Y669"/>
  <sheetViews>
    <sheetView showGridLines="0" tabSelected="1" zoomScaleNormal="100" workbookViewId="0">
      <pane ySplit="4" topLeftCell="A5" activePane="bottomLeft" state="frozen"/>
      <selection pane="bottomLeft" activeCell="A9" sqref="A9"/>
    </sheetView>
  </sheetViews>
  <sheetFormatPr defaultColWidth="9.140625" defaultRowHeight="18" customHeight="1" x14ac:dyDescent="0.2"/>
  <cols>
    <col min="1" max="1" width="47.140625" bestFit="1" customWidth="1"/>
    <col min="2" max="2" width="12" style="70" bestFit="1" customWidth="1"/>
    <col min="3" max="8" width="11.5703125" style="70" bestFit="1" customWidth="1"/>
    <col min="9" max="9" width="11.5703125" bestFit="1" customWidth="1"/>
    <col min="11" max="11" width="28.28515625" customWidth="1"/>
    <col min="12" max="12" width="47.140625" style="98" bestFit="1" customWidth="1"/>
    <col min="13" max="13" width="6.42578125" style="98" bestFit="1" customWidth="1"/>
    <col min="14" max="14" width="11.5703125" style="98" bestFit="1" customWidth="1"/>
    <col min="15" max="15" width="6.140625" style="98" bestFit="1" customWidth="1"/>
    <col min="16" max="16" width="5.28515625" style="98" bestFit="1" customWidth="1"/>
    <col min="17" max="17" width="14.5703125" style="98" bestFit="1" customWidth="1"/>
    <col min="18" max="19" width="13.7109375" style="98" bestFit="1" customWidth="1"/>
    <col min="20" max="20" width="9.42578125" style="98" bestFit="1" customWidth="1"/>
    <col min="21" max="21" width="10.140625" style="98" bestFit="1" customWidth="1"/>
    <col min="24" max="24" width="13.140625" bestFit="1" customWidth="1"/>
    <col min="25" max="25" width="8" bestFit="1" customWidth="1"/>
  </cols>
  <sheetData>
    <row r="1" spans="1:25" ht="18" customHeight="1" x14ac:dyDescent="0.2">
      <c r="D1" s="70">
        <f>+D2-C2</f>
        <v>2</v>
      </c>
      <c r="E1" s="70">
        <f t="shared" ref="E1:I1" si="0">+E2-D2</f>
        <v>4</v>
      </c>
      <c r="F1" s="70">
        <f t="shared" si="0"/>
        <v>4</v>
      </c>
      <c r="G1" s="70">
        <f t="shared" si="0"/>
        <v>5</v>
      </c>
      <c r="H1" s="70">
        <f t="shared" si="0"/>
        <v>15</v>
      </c>
      <c r="I1" s="70">
        <f t="shared" si="0"/>
        <v>30</v>
      </c>
    </row>
    <row r="2" spans="1:25" ht="18" customHeight="1" x14ac:dyDescent="0.2">
      <c r="A2" t="s">
        <v>372</v>
      </c>
      <c r="C2" s="70">
        <v>0</v>
      </c>
      <c r="D2" s="70">
        <v>2</v>
      </c>
      <c r="E2" s="70">
        <v>6</v>
      </c>
      <c r="F2" s="70">
        <v>10</v>
      </c>
      <c r="G2" s="70">
        <v>15</v>
      </c>
      <c r="H2" s="70">
        <v>30</v>
      </c>
      <c r="I2" s="70">
        <v>60</v>
      </c>
      <c r="R2" s="99" t="s">
        <v>377</v>
      </c>
      <c r="S2" s="99" t="s">
        <v>378</v>
      </c>
      <c r="Y2">
        <f>+(S3-R3)*1440</f>
        <v>600</v>
      </c>
    </row>
    <row r="3" spans="1:25" ht="18" customHeight="1" thickBot="1" x14ac:dyDescent="0.25">
      <c r="A3" t="s">
        <v>371</v>
      </c>
      <c r="C3" s="92">
        <v>1</v>
      </c>
      <c r="D3" s="92">
        <v>0.9</v>
      </c>
      <c r="E3" s="92">
        <v>0.75</v>
      </c>
      <c r="F3" s="92">
        <v>0.6</v>
      </c>
      <c r="G3" s="92">
        <v>0.45</v>
      </c>
      <c r="H3" s="92">
        <v>0.3</v>
      </c>
      <c r="I3" s="93">
        <v>0.15</v>
      </c>
      <c r="O3" s="98" t="s">
        <v>379</v>
      </c>
      <c r="Q3" s="100"/>
      <c r="R3" s="101">
        <v>0.33333333333333331</v>
      </c>
      <c r="S3" s="101">
        <v>0.75</v>
      </c>
      <c r="T3" s="102">
        <f ca="1">SUM(Tabel3[problème])</f>
        <v>502</v>
      </c>
      <c r="U3" s="102">
        <f ca="1">SUM(Tabel3[trop tot])</f>
        <v>188</v>
      </c>
    </row>
    <row r="4" spans="1:25" ht="18" customHeight="1" thickTop="1" thickBot="1" x14ac:dyDescent="0.25">
      <c r="A4" s="4" t="s">
        <v>0</v>
      </c>
      <c r="B4" s="4" t="s">
        <v>359</v>
      </c>
      <c r="C4" s="4" t="s">
        <v>1</v>
      </c>
      <c r="D4" s="4" t="s">
        <v>37</v>
      </c>
      <c r="E4" s="4" t="s">
        <v>38</v>
      </c>
      <c r="F4" s="4" t="s">
        <v>39</v>
      </c>
      <c r="G4" s="4" t="s">
        <v>40</v>
      </c>
      <c r="H4" s="4" t="s">
        <v>41</v>
      </c>
      <c r="I4" s="4" t="s">
        <v>42</v>
      </c>
      <c r="L4" s="103" t="s">
        <v>0</v>
      </c>
      <c r="M4" s="103" t="s">
        <v>362</v>
      </c>
      <c r="N4" s="98" t="s">
        <v>363</v>
      </c>
      <c r="O4" s="98" t="s">
        <v>364</v>
      </c>
      <c r="P4" s="98" t="s">
        <v>366</v>
      </c>
      <c r="Q4" s="98" t="s">
        <v>367</v>
      </c>
      <c r="R4" s="98" t="s">
        <v>360</v>
      </c>
      <c r="S4" s="98" t="s">
        <v>361</v>
      </c>
      <c r="T4" s="98" t="s">
        <v>365</v>
      </c>
      <c r="U4" s="98" t="s">
        <v>368</v>
      </c>
      <c r="X4" s="94" t="s">
        <v>370</v>
      </c>
    </row>
    <row r="5" spans="1:25" ht="18" customHeight="1" thickTop="1" x14ac:dyDescent="0.2">
      <c r="A5" s="46" t="s">
        <v>43</v>
      </c>
      <c r="B5" s="46"/>
      <c r="C5" s="97"/>
      <c r="D5" s="97" t="str">
        <f>IF($C5&gt;0,$C5+D$2,"")</f>
        <v/>
      </c>
      <c r="E5" s="97" t="str">
        <f t="shared" ref="E5:I20" si="1">IF($C5&gt;0,$C5+E$2,"")</f>
        <v/>
      </c>
      <c r="F5" s="97" t="str">
        <f t="shared" si="1"/>
        <v/>
      </c>
      <c r="G5" s="97" t="str">
        <f t="shared" si="1"/>
        <v/>
      </c>
      <c r="H5" s="97" t="str">
        <f t="shared" si="1"/>
        <v/>
      </c>
      <c r="I5" s="97" t="str">
        <f t="shared" si="1"/>
        <v/>
      </c>
      <c r="L5" s="98" t="s">
        <v>138</v>
      </c>
      <c r="M5" s="98" t="s">
        <v>1</v>
      </c>
      <c r="N5" s="104">
        <v>45901</v>
      </c>
      <c r="O5" s="98">
        <v>32</v>
      </c>
      <c r="P5" s="98">
        <f>INDEX($C$1:$I$1,MATCH(Tabel3[[#This Row],[Type]],Devoirs[[#Headers],[J0]:[J60]],0))</f>
        <v>0</v>
      </c>
      <c r="Q5" s="105" t="str" cm="1">
        <f t="array" ref="Q5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5" s="105">
        <f ca="1">MAX(Tabel3[[#This Row],[jour]]+$R$3,IF(ROW()-ROW(Tabel3[[#Headers],[debut]])=1,DATE(2025,9,1)+$R$3,OFFSET(Tabel3[[#This Row],[fin]],-1,)))</f>
        <v>45901.333333333336</v>
      </c>
      <c r="S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45901.355555555558</v>
      </c>
      <c r="T5" s="102">
        <f ca="1">--(Tabel3[[#This Row],[jour]]&lt;&gt;TRUNC(Tabel3[[#This Row],[fin]]))</f>
        <v>0</v>
      </c>
      <c r="U5" s="102">
        <f>IF(Tabel3[[#This Row],[Type]]="j0",0,--(TRUNC(Tabel3[[#This Row],[debut]])-TRUNC(Tabel3[[#This Row],[fin precedent]])&lt;Tabel3[[#This Row],[delai]]))</f>
        <v>0</v>
      </c>
      <c r="X5" s="94" t="s">
        <v>363</v>
      </c>
      <c r="Y5" t="s">
        <v>369</v>
      </c>
    </row>
    <row r="6" spans="1:25" ht="18" customHeight="1" x14ac:dyDescent="0.2">
      <c r="A6" s="40" t="s">
        <v>44</v>
      </c>
      <c r="B6" s="84">
        <v>96</v>
      </c>
      <c r="C6" s="97">
        <v>45915</v>
      </c>
      <c r="D6" s="97">
        <f>IF($C6&gt;0,$C6+D$2,"")</f>
        <v>45917</v>
      </c>
      <c r="E6" s="97">
        <f t="shared" si="1"/>
        <v>45921</v>
      </c>
      <c r="F6" s="97">
        <f t="shared" si="1"/>
        <v>45925</v>
      </c>
      <c r="G6" s="97">
        <f t="shared" si="1"/>
        <v>45930</v>
      </c>
      <c r="H6" s="97">
        <f t="shared" si="1"/>
        <v>45945</v>
      </c>
      <c r="I6" s="97">
        <f t="shared" si="1"/>
        <v>45975</v>
      </c>
      <c r="L6" s="98" t="s">
        <v>55</v>
      </c>
      <c r="M6" s="98" t="s">
        <v>1</v>
      </c>
      <c r="N6" s="104">
        <v>45902</v>
      </c>
      <c r="O6" s="98">
        <v>51</v>
      </c>
      <c r="P6" s="98">
        <f>INDEX($C$1:$I$1,MATCH(Tabel3[[#This Row],[Type]],Devoirs[[#Headers],[J0]:[J60]],0))</f>
        <v>0</v>
      </c>
      <c r="Q6" s="105" t="str" cm="1">
        <f t="array" ref="Q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6" s="105">
        <f ca="1">MAX(Tabel3[[#This Row],[jour]]+$R$3,IF(ROW()-ROW(Tabel3[[#Headers],[debut]])=1,DATE(2025,9,1)+$R$3,OFFSET(Tabel3[[#This Row],[fin]],-1,)))</f>
        <v>45902.333333333336</v>
      </c>
      <c r="S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45902.368750000001</v>
      </c>
      <c r="T6" s="102">
        <f ca="1">--(Tabel3[[#This Row],[jour]]&lt;&gt;TRUNC(Tabel3[[#This Row],[fin]]))</f>
        <v>0</v>
      </c>
      <c r="U6" s="102">
        <f>IF(Tabel3[[#This Row],[Type]]="j0",0,--(TRUNC(Tabel3[[#This Row],[debut]])-TRUNC(Tabel3[[#This Row],[fin precedent]])&lt;Tabel3[[#This Row],[delai]]))</f>
        <v>0</v>
      </c>
      <c r="X6" s="95">
        <v>45901</v>
      </c>
      <c r="Y6" s="96">
        <v>32</v>
      </c>
    </row>
    <row r="7" spans="1:25" ht="18" customHeight="1" x14ac:dyDescent="0.2">
      <c r="A7" s="40" t="s">
        <v>45</v>
      </c>
      <c r="B7" s="84">
        <v>82</v>
      </c>
      <c r="C7" s="97">
        <v>45923</v>
      </c>
      <c r="D7" s="97">
        <f t="shared" ref="D7:I21" si="2">IF($C7&gt;0,$C7+D$2,"")</f>
        <v>45925</v>
      </c>
      <c r="E7" s="97">
        <f t="shared" si="1"/>
        <v>45929</v>
      </c>
      <c r="F7" s="97">
        <f t="shared" si="1"/>
        <v>45933</v>
      </c>
      <c r="G7" s="97">
        <f t="shared" si="1"/>
        <v>45938</v>
      </c>
      <c r="H7" s="97">
        <f t="shared" si="1"/>
        <v>45953</v>
      </c>
      <c r="I7" s="97">
        <f t="shared" si="1"/>
        <v>45983</v>
      </c>
      <c r="L7" s="98" t="s">
        <v>62</v>
      </c>
      <c r="M7" s="98" t="s">
        <v>1</v>
      </c>
      <c r="N7" s="104">
        <v>45902</v>
      </c>
      <c r="O7" s="98">
        <v>79</v>
      </c>
      <c r="P7" s="98">
        <f>INDEX($C$1:$I$1,MATCH(Tabel3[[#This Row],[Type]],Devoirs[[#Headers],[J0]:[J60]],0))</f>
        <v>0</v>
      </c>
      <c r="Q7" s="105" t="str" cm="1">
        <f t="array" ref="Q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7" s="105">
        <f ca="1">MAX(Tabel3[[#This Row],[jour]]+$R$3,IF(ROW()-ROW(Tabel3[[#Headers],[debut]])=1,DATE(2025,9,1)+$R$3,OFFSET(Tabel3[[#This Row],[fin]],-1,)))</f>
        <v>45902.368750000001</v>
      </c>
      <c r="S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45902.423611111109</v>
      </c>
      <c r="T7" s="102">
        <f ca="1">--(Tabel3[[#This Row],[jour]]&lt;&gt;TRUNC(Tabel3[[#This Row],[fin]]))</f>
        <v>0</v>
      </c>
      <c r="U7" s="102">
        <f>IF(Tabel3[[#This Row],[Type]]="j0",0,--(TRUNC(Tabel3[[#This Row],[debut]])-TRUNC(Tabel3[[#This Row],[fin precedent]])&lt;Tabel3[[#This Row],[delai]]))</f>
        <v>0</v>
      </c>
      <c r="X7" s="95">
        <v>45902</v>
      </c>
      <c r="Y7" s="96">
        <v>335</v>
      </c>
    </row>
    <row r="8" spans="1:25" ht="18" customHeight="1" x14ac:dyDescent="0.2">
      <c r="A8" s="40" t="s">
        <v>46</v>
      </c>
      <c r="B8" s="84">
        <v>76</v>
      </c>
      <c r="C8" s="97">
        <v>45925</v>
      </c>
      <c r="D8" s="97">
        <f t="shared" si="2"/>
        <v>45927</v>
      </c>
      <c r="E8" s="97">
        <f t="shared" si="1"/>
        <v>45931</v>
      </c>
      <c r="F8" s="97">
        <f t="shared" si="1"/>
        <v>45935</v>
      </c>
      <c r="G8" s="97">
        <f t="shared" si="1"/>
        <v>45940</v>
      </c>
      <c r="H8" s="97">
        <f t="shared" si="1"/>
        <v>45955</v>
      </c>
      <c r="I8" s="97">
        <f t="shared" si="1"/>
        <v>45985</v>
      </c>
      <c r="L8" s="98" t="s">
        <v>114</v>
      </c>
      <c r="M8" s="98" t="s">
        <v>1</v>
      </c>
      <c r="N8" s="104">
        <v>45902</v>
      </c>
      <c r="O8" s="98">
        <v>92</v>
      </c>
      <c r="P8" s="98">
        <f>INDEX($C$1:$I$1,MATCH(Tabel3[[#This Row],[Type]],Devoirs[[#Headers],[J0]:[J60]],0))</f>
        <v>0</v>
      </c>
      <c r="Q8" s="105" t="str" cm="1">
        <f t="array" ref="Q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" s="105">
        <f ca="1">MAX(Tabel3[[#This Row],[jour]]+$R$3,IF(ROW()-ROW(Tabel3[[#Headers],[debut]])=1,DATE(2025,9,1)+$R$3,OFFSET(Tabel3[[#This Row],[fin]],-1,)))</f>
        <v>45902.423611111109</v>
      </c>
      <c r="S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45902.487499999996</v>
      </c>
      <c r="T8" s="102">
        <f ca="1">--(Tabel3[[#This Row],[jour]]&lt;&gt;TRUNC(Tabel3[[#This Row],[fin]]))</f>
        <v>0</v>
      </c>
      <c r="U8" s="102">
        <f>IF(Tabel3[[#This Row],[Type]]="j0",0,--(TRUNC(Tabel3[[#This Row],[debut]])-TRUNC(Tabel3[[#This Row],[fin precedent]])&lt;Tabel3[[#This Row],[delai]]))</f>
        <v>0</v>
      </c>
      <c r="X8" s="95">
        <v>45903</v>
      </c>
      <c r="Y8" s="96">
        <v>299.8</v>
      </c>
    </row>
    <row r="9" spans="1:25" ht="18" customHeight="1" x14ac:dyDescent="0.2">
      <c r="A9" s="40" t="s">
        <v>47</v>
      </c>
      <c r="B9" s="84">
        <v>59</v>
      </c>
      <c r="C9" s="97">
        <v>45930</v>
      </c>
      <c r="D9" s="97">
        <f t="shared" si="2"/>
        <v>45932</v>
      </c>
      <c r="E9" s="97">
        <f t="shared" si="1"/>
        <v>45936</v>
      </c>
      <c r="F9" s="97">
        <f t="shared" si="1"/>
        <v>45940</v>
      </c>
      <c r="G9" s="97">
        <f t="shared" si="1"/>
        <v>45945</v>
      </c>
      <c r="H9" s="97">
        <f t="shared" si="1"/>
        <v>45960</v>
      </c>
      <c r="I9" s="97">
        <f t="shared" si="1"/>
        <v>45990</v>
      </c>
      <c r="L9" s="98" t="s">
        <v>88</v>
      </c>
      <c r="M9" s="98" t="s">
        <v>1</v>
      </c>
      <c r="N9" s="104">
        <v>45902</v>
      </c>
      <c r="O9" s="98">
        <v>113</v>
      </c>
      <c r="P9" s="98">
        <f>INDEX($C$1:$I$1,MATCH(Tabel3[[#This Row],[Type]],Devoirs[[#Headers],[J0]:[J60]],0))</f>
        <v>0</v>
      </c>
      <c r="Q9" s="105" t="str" cm="1">
        <f t="array" ref="Q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9" s="105">
        <f ca="1">MAX(Tabel3[[#This Row],[jour]]+$R$3,IF(ROW()-ROW(Tabel3[[#Headers],[debut]])=1,DATE(2025,9,1)+$R$3,OFFSET(Tabel3[[#This Row],[fin]],-1,)))</f>
        <v>45902.487499999996</v>
      </c>
      <c r="S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45902.565972222219</v>
      </c>
      <c r="T9" s="102">
        <f ca="1">--(Tabel3[[#This Row],[jour]]&lt;&gt;TRUNC(Tabel3[[#This Row],[fin]]))</f>
        <v>0</v>
      </c>
      <c r="U9" s="102">
        <f>IF(Tabel3[[#This Row],[Type]]="j0",0,--(TRUNC(Tabel3[[#This Row],[debut]])-TRUNC(Tabel3[[#This Row],[fin precedent]])&lt;Tabel3[[#This Row],[delai]]))</f>
        <v>0</v>
      </c>
      <c r="X9" s="95">
        <v>45904</v>
      </c>
      <c r="Y9" s="96">
        <v>301.5</v>
      </c>
    </row>
    <row r="10" spans="1:25" ht="18" customHeight="1" x14ac:dyDescent="0.2">
      <c r="A10" s="40" t="s">
        <v>48</v>
      </c>
      <c r="B10" s="84">
        <v>32</v>
      </c>
      <c r="C10" s="97">
        <v>45919</v>
      </c>
      <c r="D10" s="97">
        <f t="shared" si="2"/>
        <v>45921</v>
      </c>
      <c r="E10" s="97">
        <f t="shared" si="1"/>
        <v>45925</v>
      </c>
      <c r="F10" s="97">
        <f t="shared" si="1"/>
        <v>45929</v>
      </c>
      <c r="G10" s="97">
        <f t="shared" si="1"/>
        <v>45934</v>
      </c>
      <c r="H10" s="97">
        <f t="shared" si="1"/>
        <v>45949</v>
      </c>
      <c r="I10" s="97">
        <f t="shared" si="1"/>
        <v>45979</v>
      </c>
      <c r="L10" s="98" t="s">
        <v>138</v>
      </c>
      <c r="M10" s="98" t="s">
        <v>37</v>
      </c>
      <c r="N10" s="104">
        <v>45903</v>
      </c>
      <c r="O10" s="98">
        <v>28.8</v>
      </c>
      <c r="P10" s="98">
        <f>INDEX($C$1:$I$1,MATCH(Tabel3[[#This Row],[Type]],Devoirs[[#Headers],[J0]:[J60]],0))</f>
        <v>2</v>
      </c>
      <c r="Q10" s="105" cm="1">
        <f t="array" aca="1" ref="Q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45901.355555555558</v>
      </c>
      <c r="R10" s="105">
        <f ca="1">MAX(Tabel3[[#This Row],[jour]]+$R$3,IF(ROW()-ROW(Tabel3[[#Headers],[debut]])=1,DATE(2025,9,1)+$R$3,OFFSET(Tabel3[[#This Row],[fin]],-1,)))</f>
        <v>45903.333333333336</v>
      </c>
      <c r="S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45903.353333333333</v>
      </c>
      <c r="T10" s="102">
        <f ca="1">--(Tabel3[[#This Row],[jour]]&lt;&gt;TRUNC(Tabel3[[#This Row],[fin]]))</f>
        <v>0</v>
      </c>
      <c r="U10" s="102">
        <f ca="1">IF(Tabel3[[#This Row],[Type]]="j0",0,--(TRUNC(Tabel3[[#This Row],[debut]])-TRUNC(Tabel3[[#This Row],[fin precedent]])&lt;Tabel3[[#This Row],[delai]]))</f>
        <v>0</v>
      </c>
      <c r="X10" s="95">
        <v>45905</v>
      </c>
      <c r="Y10" s="96">
        <v>306.89999999999998</v>
      </c>
    </row>
    <row r="11" spans="1:25" ht="18" customHeight="1" x14ac:dyDescent="0.2">
      <c r="A11" s="40" t="s">
        <v>49</v>
      </c>
      <c r="B11" s="84">
        <v>118</v>
      </c>
      <c r="C11" s="97">
        <v>45930</v>
      </c>
      <c r="D11" s="97">
        <f t="shared" si="2"/>
        <v>45932</v>
      </c>
      <c r="E11" s="97">
        <f t="shared" si="1"/>
        <v>45936</v>
      </c>
      <c r="F11" s="97">
        <f t="shared" si="1"/>
        <v>45940</v>
      </c>
      <c r="G11" s="97">
        <f t="shared" si="1"/>
        <v>45945</v>
      </c>
      <c r="H11" s="97">
        <f t="shared" si="1"/>
        <v>45960</v>
      </c>
      <c r="I11" s="97">
        <f t="shared" si="1"/>
        <v>45990</v>
      </c>
      <c r="L11" s="98" t="s">
        <v>89</v>
      </c>
      <c r="M11" s="98" t="s">
        <v>1</v>
      </c>
      <c r="N11" s="104">
        <v>45903</v>
      </c>
      <c r="O11" s="98">
        <v>66</v>
      </c>
      <c r="P11" s="98">
        <f>INDEX($C$1:$I$1,MATCH(Tabel3[[#This Row],[Type]],Devoirs[[#Headers],[J0]:[J60]],0))</f>
        <v>0</v>
      </c>
      <c r="Q11" s="105" t="str" cm="1">
        <f t="array" ref="Q1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1" s="105">
        <f ca="1">MAX(Tabel3[[#This Row],[jour]]+$R$3,IF(ROW()-ROW(Tabel3[[#Headers],[debut]])=1,DATE(2025,9,1)+$R$3,OFFSET(Tabel3[[#This Row],[fin]],-1,)))</f>
        <v>45903.353333333333</v>
      </c>
      <c r="S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45903.399166666662</v>
      </c>
      <c r="T11" s="102">
        <f ca="1">--(Tabel3[[#This Row],[jour]]&lt;&gt;TRUNC(Tabel3[[#This Row],[fin]]))</f>
        <v>0</v>
      </c>
      <c r="U11" s="102">
        <f>IF(Tabel3[[#This Row],[Type]]="j0",0,--(TRUNC(Tabel3[[#This Row],[debut]])-TRUNC(Tabel3[[#This Row],[fin precedent]])&lt;Tabel3[[#This Row],[delai]]))</f>
        <v>0</v>
      </c>
      <c r="X11" s="95">
        <v>45907</v>
      </c>
      <c r="Y11" s="96">
        <v>80.7</v>
      </c>
    </row>
    <row r="12" spans="1:25" ht="18" customHeight="1" x14ac:dyDescent="0.2">
      <c r="A12" s="41" t="s">
        <v>50</v>
      </c>
      <c r="B12" s="84">
        <v>119</v>
      </c>
      <c r="C12" s="97">
        <v>45932</v>
      </c>
      <c r="D12" s="97">
        <f t="shared" si="2"/>
        <v>45934</v>
      </c>
      <c r="E12" s="97">
        <f t="shared" si="1"/>
        <v>45938</v>
      </c>
      <c r="F12" s="97">
        <f t="shared" si="1"/>
        <v>45942</v>
      </c>
      <c r="G12" s="97">
        <f t="shared" si="1"/>
        <v>45947</v>
      </c>
      <c r="H12" s="97">
        <f t="shared" si="1"/>
        <v>45962</v>
      </c>
      <c r="I12" s="97">
        <f t="shared" si="1"/>
        <v>45992</v>
      </c>
      <c r="L12" s="98" t="s">
        <v>90</v>
      </c>
      <c r="M12" s="98" t="s">
        <v>1</v>
      </c>
      <c r="N12" s="104">
        <v>45903</v>
      </c>
      <c r="O12" s="98">
        <v>100</v>
      </c>
      <c r="P12" s="98">
        <f>INDEX($C$1:$I$1,MATCH(Tabel3[[#This Row],[Type]],Devoirs[[#Headers],[J0]:[J60]],0))</f>
        <v>0</v>
      </c>
      <c r="Q12" s="105" t="str" cm="1">
        <f t="array" ref="Q1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" s="105">
        <f ca="1">MAX(Tabel3[[#This Row],[jour]]+$R$3,IF(ROW()-ROW(Tabel3[[#Headers],[debut]])=1,DATE(2025,9,1)+$R$3,OFFSET(Tabel3[[#This Row],[fin]],-1,)))</f>
        <v>45903.399166666662</v>
      </c>
      <c r="S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45903.468611111108</v>
      </c>
      <c r="T12" s="102">
        <f ca="1">--(Tabel3[[#This Row],[jour]]&lt;&gt;TRUNC(Tabel3[[#This Row],[fin]]))</f>
        <v>0</v>
      </c>
      <c r="U12" s="102">
        <f>IF(Tabel3[[#This Row],[Type]]="j0",0,--(TRUNC(Tabel3[[#This Row],[debut]])-TRUNC(Tabel3[[#This Row],[fin precedent]])&lt;Tabel3[[#This Row],[delai]]))</f>
        <v>0</v>
      </c>
      <c r="X12" s="95">
        <v>45908</v>
      </c>
      <c r="Y12" s="96">
        <v>866.25</v>
      </c>
    </row>
    <row r="13" spans="1:25" ht="18" customHeight="1" x14ac:dyDescent="0.2">
      <c r="A13" s="46" t="s">
        <v>51</v>
      </c>
      <c r="B13" s="46"/>
      <c r="C13" s="97"/>
      <c r="D13" s="97" t="str">
        <f t="shared" si="2"/>
        <v/>
      </c>
      <c r="E13" s="97" t="str">
        <f t="shared" si="1"/>
        <v/>
      </c>
      <c r="F13" s="97" t="str">
        <f t="shared" si="1"/>
        <v/>
      </c>
      <c r="G13" s="97" t="str">
        <f t="shared" si="1"/>
        <v/>
      </c>
      <c r="H13" s="97" t="str">
        <f t="shared" si="1"/>
        <v/>
      </c>
      <c r="I13" s="97" t="str">
        <f t="shared" si="1"/>
        <v/>
      </c>
      <c r="L13" s="98" t="s">
        <v>107</v>
      </c>
      <c r="M13" s="98" t="s">
        <v>1</v>
      </c>
      <c r="N13" s="104">
        <v>45903</v>
      </c>
      <c r="O13" s="98">
        <v>105</v>
      </c>
      <c r="P13" s="98">
        <f>INDEX($C$1:$I$1,MATCH(Tabel3[[#This Row],[Type]],Devoirs[[#Headers],[J0]:[J60]],0))</f>
        <v>0</v>
      </c>
      <c r="Q13" s="105" t="str" cm="1">
        <f t="array" ref="Q1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3" s="105">
        <f ca="1">MAX(Tabel3[[#This Row],[jour]]+$R$3,IF(ROW()-ROW(Tabel3[[#Headers],[debut]])=1,DATE(2025,9,1)+$R$3,OFFSET(Tabel3[[#This Row],[fin]],-1,)))</f>
        <v>45903.468611111108</v>
      </c>
      <c r="S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45903.541527777772</v>
      </c>
      <c r="T13" s="102">
        <f ca="1">--(Tabel3[[#This Row],[jour]]&lt;&gt;TRUNC(Tabel3[[#This Row],[fin]]))</f>
        <v>0</v>
      </c>
      <c r="U13" s="102">
        <f>IF(Tabel3[[#This Row],[Type]]="j0",0,--(TRUNC(Tabel3[[#This Row],[debut]])-TRUNC(Tabel3[[#This Row],[fin precedent]])&lt;Tabel3[[#This Row],[delai]]))</f>
        <v>0</v>
      </c>
      <c r="X13" s="95">
        <v>45909</v>
      </c>
      <c r="Y13" s="96">
        <v>492.25</v>
      </c>
    </row>
    <row r="14" spans="1:25" ht="18" customHeight="1" x14ac:dyDescent="0.2">
      <c r="A14" s="42" t="s">
        <v>52</v>
      </c>
      <c r="B14" s="85">
        <v>102</v>
      </c>
      <c r="C14" s="97">
        <v>45919</v>
      </c>
      <c r="D14" s="97">
        <f t="shared" si="2"/>
        <v>45921</v>
      </c>
      <c r="E14" s="97">
        <f t="shared" si="1"/>
        <v>45925</v>
      </c>
      <c r="F14" s="97">
        <f t="shared" si="1"/>
        <v>45929</v>
      </c>
      <c r="G14" s="97">
        <f t="shared" si="1"/>
        <v>45934</v>
      </c>
      <c r="H14" s="97">
        <f t="shared" si="1"/>
        <v>45949</v>
      </c>
      <c r="I14" s="97">
        <f t="shared" si="1"/>
        <v>45979</v>
      </c>
      <c r="L14" s="98" t="s">
        <v>55</v>
      </c>
      <c r="M14" s="98" t="s">
        <v>37</v>
      </c>
      <c r="N14" s="104">
        <v>45904</v>
      </c>
      <c r="O14" s="98">
        <v>45.9</v>
      </c>
      <c r="P14" s="98">
        <f>INDEX($C$1:$I$1,MATCH(Tabel3[[#This Row],[Type]],Devoirs[[#Headers],[J0]:[J60]],0))</f>
        <v>2</v>
      </c>
      <c r="Q14" s="105" cm="1">
        <f t="array" aca="1" ref="Q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45902.368750000001</v>
      </c>
      <c r="R14" s="105">
        <f ca="1">MAX(Tabel3[[#This Row],[jour]]+$R$3,IF(ROW()-ROW(Tabel3[[#Headers],[debut]])=1,DATE(2025,9,1)+$R$3,OFFSET(Tabel3[[#This Row],[fin]],-1,)))</f>
        <v>45904.333333333336</v>
      </c>
      <c r="S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45904.365208333336</v>
      </c>
      <c r="T14" s="102">
        <f ca="1">--(Tabel3[[#This Row],[jour]]&lt;&gt;TRUNC(Tabel3[[#This Row],[fin]]))</f>
        <v>0</v>
      </c>
      <c r="U14" s="102">
        <f ca="1">IF(Tabel3[[#This Row],[Type]]="j0",0,--(TRUNC(Tabel3[[#This Row],[debut]])-TRUNC(Tabel3[[#This Row],[fin precedent]])&lt;Tabel3[[#This Row],[delai]]))</f>
        <v>0</v>
      </c>
      <c r="X14" s="95">
        <v>45910</v>
      </c>
      <c r="Y14" s="96">
        <v>553.5</v>
      </c>
    </row>
    <row r="15" spans="1:25" ht="18" customHeight="1" x14ac:dyDescent="0.2">
      <c r="A15" s="43" t="s">
        <v>53</v>
      </c>
      <c r="B15" s="85">
        <v>62</v>
      </c>
      <c r="C15" s="97">
        <v>45933</v>
      </c>
      <c r="D15" s="97">
        <f t="shared" si="2"/>
        <v>45935</v>
      </c>
      <c r="E15" s="97">
        <f t="shared" si="1"/>
        <v>45939</v>
      </c>
      <c r="F15" s="97">
        <f t="shared" si="1"/>
        <v>45943</v>
      </c>
      <c r="G15" s="97">
        <f t="shared" si="1"/>
        <v>45948</v>
      </c>
      <c r="H15" s="97">
        <f t="shared" si="1"/>
        <v>45963</v>
      </c>
      <c r="I15" s="97">
        <f t="shared" si="1"/>
        <v>45993</v>
      </c>
      <c r="L15" s="98" t="s">
        <v>62</v>
      </c>
      <c r="M15" s="98" t="s">
        <v>37</v>
      </c>
      <c r="N15" s="104">
        <v>45904</v>
      </c>
      <c r="O15" s="98">
        <v>71.100000000000009</v>
      </c>
      <c r="P15" s="98">
        <f>INDEX($C$1:$I$1,MATCH(Tabel3[[#This Row],[Type]],Devoirs[[#Headers],[J0]:[J60]],0))</f>
        <v>2</v>
      </c>
      <c r="Q15" s="105" cm="1">
        <f t="array" aca="1" ref="Q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45902.423611111109</v>
      </c>
      <c r="R15" s="105">
        <f ca="1">MAX(Tabel3[[#This Row],[jour]]+$R$3,IF(ROW()-ROW(Tabel3[[#Headers],[debut]])=1,DATE(2025,9,1)+$R$3,OFFSET(Tabel3[[#This Row],[fin]],-1,)))</f>
        <v>45904.365208333336</v>
      </c>
      <c r="S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45904.414583333339</v>
      </c>
      <c r="T15" s="102">
        <f ca="1">--(Tabel3[[#This Row],[jour]]&lt;&gt;TRUNC(Tabel3[[#This Row],[fin]]))</f>
        <v>0</v>
      </c>
      <c r="U15" s="102">
        <f ca="1">IF(Tabel3[[#This Row],[Type]]="j0",0,--(TRUNC(Tabel3[[#This Row],[debut]])-TRUNC(Tabel3[[#This Row],[fin precedent]])&lt;Tabel3[[#This Row],[delai]]))</f>
        <v>0</v>
      </c>
      <c r="X15" s="95">
        <v>45911</v>
      </c>
      <c r="Y15" s="96">
        <v>443.55</v>
      </c>
    </row>
    <row r="16" spans="1:25" ht="18" customHeight="1" x14ac:dyDescent="0.2">
      <c r="A16" s="43" t="s">
        <v>54</v>
      </c>
      <c r="B16" s="85">
        <v>66</v>
      </c>
      <c r="C16" s="97">
        <v>45939</v>
      </c>
      <c r="D16" s="97">
        <f t="shared" si="2"/>
        <v>45941</v>
      </c>
      <c r="E16" s="97">
        <f t="shared" si="1"/>
        <v>45945</v>
      </c>
      <c r="F16" s="97">
        <f t="shared" si="1"/>
        <v>45949</v>
      </c>
      <c r="G16" s="97">
        <f t="shared" si="1"/>
        <v>45954</v>
      </c>
      <c r="H16" s="97">
        <f t="shared" si="1"/>
        <v>45969</v>
      </c>
      <c r="I16" s="97">
        <f t="shared" si="1"/>
        <v>45999</v>
      </c>
      <c r="L16" s="98" t="s">
        <v>114</v>
      </c>
      <c r="M16" s="98" t="s">
        <v>37</v>
      </c>
      <c r="N16" s="104">
        <v>45904</v>
      </c>
      <c r="O16" s="98">
        <v>82.8</v>
      </c>
      <c r="P16" s="98">
        <f>INDEX($C$1:$I$1,MATCH(Tabel3[[#This Row],[Type]],Devoirs[[#Headers],[J0]:[J60]],0))</f>
        <v>2</v>
      </c>
      <c r="Q16" s="105" cm="1">
        <f t="array" aca="1" ref="Q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45902.487499999996</v>
      </c>
      <c r="R16" s="105">
        <f ca="1">MAX(Tabel3[[#This Row],[jour]]+$R$3,IF(ROW()-ROW(Tabel3[[#Headers],[debut]])=1,DATE(2025,9,1)+$R$3,OFFSET(Tabel3[[#This Row],[fin]],-1,)))</f>
        <v>45904.414583333339</v>
      </c>
      <c r="S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45904.472083333341</v>
      </c>
      <c r="T16" s="102">
        <f ca="1">--(Tabel3[[#This Row],[jour]]&lt;&gt;TRUNC(Tabel3[[#This Row],[fin]]))</f>
        <v>0</v>
      </c>
      <c r="U16" s="102">
        <f ca="1">IF(Tabel3[[#This Row],[Type]]="j0",0,--(TRUNC(Tabel3[[#This Row],[debut]])-TRUNC(Tabel3[[#This Row],[fin precedent]])&lt;Tabel3[[#This Row],[delai]]))</f>
        <v>0</v>
      </c>
      <c r="X16" s="95">
        <v>45912</v>
      </c>
      <c r="Y16" s="96">
        <v>489</v>
      </c>
    </row>
    <row r="17" spans="1:25" ht="18" customHeight="1" x14ac:dyDescent="0.2">
      <c r="A17" s="43" t="s">
        <v>55</v>
      </c>
      <c r="B17" s="85">
        <v>51</v>
      </c>
      <c r="C17" s="97">
        <v>45902</v>
      </c>
      <c r="D17" s="97">
        <f t="shared" si="2"/>
        <v>45904</v>
      </c>
      <c r="E17" s="97">
        <f t="shared" si="1"/>
        <v>45908</v>
      </c>
      <c r="F17" s="97">
        <f t="shared" si="1"/>
        <v>45912</v>
      </c>
      <c r="G17" s="97">
        <f t="shared" si="1"/>
        <v>45917</v>
      </c>
      <c r="H17" s="97">
        <f t="shared" si="1"/>
        <v>45932</v>
      </c>
      <c r="I17" s="97">
        <f t="shared" si="1"/>
        <v>45962</v>
      </c>
      <c r="L17" s="98" t="s">
        <v>88</v>
      </c>
      <c r="M17" s="98" t="s">
        <v>37</v>
      </c>
      <c r="N17" s="104">
        <v>45904</v>
      </c>
      <c r="O17" s="98">
        <v>101.7</v>
      </c>
      <c r="P17" s="98">
        <f>INDEX($C$1:$I$1,MATCH(Tabel3[[#This Row],[Type]],Devoirs[[#Headers],[J0]:[J60]],0))</f>
        <v>2</v>
      </c>
      <c r="Q17" s="105" cm="1">
        <f t="array" aca="1" ref="Q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45902.565972222219</v>
      </c>
      <c r="R17" s="105">
        <f ca="1">MAX(Tabel3[[#This Row],[jour]]+$R$3,IF(ROW()-ROW(Tabel3[[#Headers],[debut]])=1,DATE(2025,9,1)+$R$3,OFFSET(Tabel3[[#This Row],[fin]],-1,)))</f>
        <v>45904.472083333341</v>
      </c>
      <c r="S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45904.542708333342</v>
      </c>
      <c r="T17" s="102">
        <f ca="1">--(Tabel3[[#This Row],[jour]]&lt;&gt;TRUNC(Tabel3[[#This Row],[fin]]))</f>
        <v>0</v>
      </c>
      <c r="U17" s="102">
        <f ca="1">IF(Tabel3[[#This Row],[Type]]="j0",0,--(TRUNC(Tabel3[[#This Row],[debut]])-TRUNC(Tabel3[[#This Row],[fin precedent]])&lt;Tabel3[[#This Row],[delai]]))</f>
        <v>0</v>
      </c>
      <c r="X17" s="95">
        <v>45913</v>
      </c>
      <c r="Y17" s="96">
        <v>267.89999999999998</v>
      </c>
    </row>
    <row r="18" spans="1:25" ht="18" customHeight="1" x14ac:dyDescent="0.2">
      <c r="A18" s="43" t="s">
        <v>56</v>
      </c>
      <c r="B18" s="85">
        <v>60</v>
      </c>
      <c r="C18" s="97">
        <v>45931</v>
      </c>
      <c r="D18" s="97">
        <f t="shared" si="2"/>
        <v>45933</v>
      </c>
      <c r="E18" s="97">
        <f t="shared" si="1"/>
        <v>45937</v>
      </c>
      <c r="F18" s="97">
        <f t="shared" si="1"/>
        <v>45941</v>
      </c>
      <c r="G18" s="97">
        <f t="shared" si="1"/>
        <v>45946</v>
      </c>
      <c r="H18" s="97">
        <f t="shared" si="1"/>
        <v>45961</v>
      </c>
      <c r="I18" s="97">
        <f t="shared" si="1"/>
        <v>45991</v>
      </c>
      <c r="L18" s="98" t="s">
        <v>89</v>
      </c>
      <c r="M18" s="98" t="s">
        <v>37</v>
      </c>
      <c r="N18" s="104">
        <v>45905</v>
      </c>
      <c r="O18" s="98">
        <v>59.4</v>
      </c>
      <c r="P18" s="98">
        <f>INDEX($C$1:$I$1,MATCH(Tabel3[[#This Row],[Type]],Devoirs[[#Headers],[J0]:[J60]],0))</f>
        <v>2</v>
      </c>
      <c r="Q18" s="105" cm="1">
        <f t="array" aca="1" ref="Q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45903.399166666662</v>
      </c>
      <c r="R18" s="105">
        <f ca="1">MAX(Tabel3[[#This Row],[jour]]+$R$3,IF(ROW()-ROW(Tabel3[[#Headers],[debut]])=1,DATE(2025,9,1)+$R$3,OFFSET(Tabel3[[#This Row],[fin]],-1,)))</f>
        <v>45905.333333333336</v>
      </c>
      <c r="S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45905.374583333338</v>
      </c>
      <c r="T18" s="102">
        <f ca="1">--(Tabel3[[#This Row],[jour]]&lt;&gt;TRUNC(Tabel3[[#This Row],[fin]]))</f>
        <v>0</v>
      </c>
      <c r="U18" s="102">
        <f ca="1">IF(Tabel3[[#This Row],[Type]]="j0",0,--(TRUNC(Tabel3[[#This Row],[debut]])-TRUNC(Tabel3[[#This Row],[fin precedent]])&lt;Tabel3[[#This Row],[delai]]))</f>
        <v>0</v>
      </c>
      <c r="X18" s="95">
        <v>45914</v>
      </c>
      <c r="Y18" s="96">
        <v>720.44999999999993</v>
      </c>
    </row>
    <row r="19" spans="1:25" ht="18" customHeight="1" x14ac:dyDescent="0.2">
      <c r="A19" s="43" t="s">
        <v>57</v>
      </c>
      <c r="B19" s="85">
        <v>73</v>
      </c>
      <c r="C19" s="97">
        <v>45918</v>
      </c>
      <c r="D19" s="97">
        <f t="shared" si="2"/>
        <v>45920</v>
      </c>
      <c r="E19" s="97">
        <f t="shared" si="1"/>
        <v>45924</v>
      </c>
      <c r="F19" s="97">
        <f t="shared" si="1"/>
        <v>45928</v>
      </c>
      <c r="G19" s="97">
        <f t="shared" si="1"/>
        <v>45933</v>
      </c>
      <c r="H19" s="97">
        <f t="shared" si="1"/>
        <v>45948</v>
      </c>
      <c r="I19" s="97">
        <f t="shared" si="1"/>
        <v>45978</v>
      </c>
      <c r="L19" s="98" t="s">
        <v>90</v>
      </c>
      <c r="M19" s="98" t="s">
        <v>37</v>
      </c>
      <c r="N19" s="104">
        <v>45905</v>
      </c>
      <c r="O19" s="98">
        <v>90</v>
      </c>
      <c r="P19" s="98">
        <f>INDEX($C$1:$I$1,MATCH(Tabel3[[#This Row],[Type]],Devoirs[[#Headers],[J0]:[J60]],0))</f>
        <v>2</v>
      </c>
      <c r="Q19" s="105" cm="1">
        <f t="array" aca="1" ref="Q1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45903.468611111108</v>
      </c>
      <c r="R19" s="105">
        <f ca="1">MAX(Tabel3[[#This Row],[jour]]+$R$3,IF(ROW()-ROW(Tabel3[[#Headers],[debut]])=1,DATE(2025,9,1)+$R$3,OFFSET(Tabel3[[#This Row],[fin]],-1,)))</f>
        <v>45905.374583333338</v>
      </c>
      <c r="S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45905.437083333338</v>
      </c>
      <c r="T19" s="102">
        <f ca="1">--(Tabel3[[#This Row],[jour]]&lt;&gt;TRUNC(Tabel3[[#This Row],[fin]]))</f>
        <v>0</v>
      </c>
      <c r="U19" s="102">
        <f ca="1">IF(Tabel3[[#This Row],[Type]]="j0",0,--(TRUNC(Tabel3[[#This Row],[debut]])-TRUNC(Tabel3[[#This Row],[fin precedent]])&lt;Tabel3[[#This Row],[delai]]))</f>
        <v>0</v>
      </c>
      <c r="X19" s="95">
        <v>45915</v>
      </c>
      <c r="Y19" s="96">
        <v>463.55</v>
      </c>
    </row>
    <row r="20" spans="1:25" ht="18" customHeight="1" x14ac:dyDescent="0.2">
      <c r="A20" s="43" t="s">
        <v>58</v>
      </c>
      <c r="B20" s="85">
        <v>56</v>
      </c>
      <c r="C20" s="97">
        <v>45919</v>
      </c>
      <c r="D20" s="97">
        <f t="shared" si="2"/>
        <v>45921</v>
      </c>
      <c r="E20" s="97">
        <f t="shared" si="1"/>
        <v>45925</v>
      </c>
      <c r="F20" s="97">
        <f t="shared" si="1"/>
        <v>45929</v>
      </c>
      <c r="G20" s="97">
        <f t="shared" si="1"/>
        <v>45934</v>
      </c>
      <c r="H20" s="97">
        <f t="shared" si="1"/>
        <v>45949</v>
      </c>
      <c r="I20" s="97">
        <f t="shared" si="1"/>
        <v>45979</v>
      </c>
      <c r="L20" s="98" t="s">
        <v>107</v>
      </c>
      <c r="M20" s="98" t="s">
        <v>37</v>
      </c>
      <c r="N20" s="104">
        <v>45905</v>
      </c>
      <c r="O20" s="98">
        <v>94.5</v>
      </c>
      <c r="P20" s="98">
        <f>INDEX($C$1:$I$1,MATCH(Tabel3[[#This Row],[Type]],Devoirs[[#Headers],[J0]:[J60]],0))</f>
        <v>2</v>
      </c>
      <c r="Q20" s="105" cm="1">
        <f t="array" aca="1" ref="Q2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45903.541527777772</v>
      </c>
      <c r="R20" s="105">
        <f ca="1">MAX(Tabel3[[#This Row],[jour]]+$R$3,IF(ROW()-ROW(Tabel3[[#Headers],[debut]])=1,DATE(2025,9,1)+$R$3,OFFSET(Tabel3[[#This Row],[fin]],-1,)))</f>
        <v>45905.437083333338</v>
      </c>
      <c r="S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45905.502708333341</v>
      </c>
      <c r="T20" s="102">
        <f ca="1">--(Tabel3[[#This Row],[jour]]&lt;&gt;TRUNC(Tabel3[[#This Row],[fin]]))</f>
        <v>0</v>
      </c>
      <c r="U20" s="102">
        <f ca="1">IF(Tabel3[[#This Row],[Type]]="j0",0,--(TRUNC(Tabel3[[#This Row],[debut]])-TRUNC(Tabel3[[#This Row],[fin precedent]])&lt;Tabel3[[#This Row],[delai]]))</f>
        <v>0</v>
      </c>
      <c r="X20" s="95">
        <v>45916</v>
      </c>
      <c r="Y20" s="96">
        <v>252.4</v>
      </c>
    </row>
    <row r="21" spans="1:25" ht="18" customHeight="1" x14ac:dyDescent="0.2">
      <c r="A21" s="43" t="s">
        <v>59</v>
      </c>
      <c r="B21" s="85">
        <v>113</v>
      </c>
      <c r="C21" s="97">
        <v>45917</v>
      </c>
      <c r="D21" s="97">
        <f t="shared" si="2"/>
        <v>45919</v>
      </c>
      <c r="E21" s="97">
        <f t="shared" si="2"/>
        <v>45923</v>
      </c>
      <c r="F21" s="97">
        <f t="shared" si="2"/>
        <v>45927</v>
      </c>
      <c r="G21" s="97">
        <f t="shared" si="2"/>
        <v>45932</v>
      </c>
      <c r="H21" s="97">
        <f t="shared" si="2"/>
        <v>45947</v>
      </c>
      <c r="I21" s="97">
        <f t="shared" si="2"/>
        <v>45977</v>
      </c>
      <c r="L21" s="98" t="s">
        <v>141</v>
      </c>
      <c r="M21" s="98" t="s">
        <v>1</v>
      </c>
      <c r="N21" s="104">
        <v>45905</v>
      </c>
      <c r="O21" s="98">
        <v>63</v>
      </c>
      <c r="P21" s="98">
        <f>INDEX($C$1:$I$1,MATCH(Tabel3[[#This Row],[Type]],Devoirs[[#Headers],[J0]:[J60]],0))</f>
        <v>0</v>
      </c>
      <c r="Q21" s="105" t="str" cm="1">
        <f t="array" ref="Q2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1" s="105">
        <f ca="1">MAX(Tabel3[[#This Row],[jour]]+$R$3,IF(ROW()-ROW(Tabel3[[#Headers],[debut]])=1,DATE(2025,9,1)+$R$3,OFFSET(Tabel3[[#This Row],[fin]],-1,)))</f>
        <v>45905.502708333341</v>
      </c>
      <c r="S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45905.546458333338</v>
      </c>
      <c r="T21" s="102">
        <f ca="1">--(Tabel3[[#This Row],[jour]]&lt;&gt;TRUNC(Tabel3[[#This Row],[fin]]))</f>
        <v>0</v>
      </c>
      <c r="U21" s="102">
        <f>IF(Tabel3[[#This Row],[Type]]="j0",0,--(TRUNC(Tabel3[[#This Row],[debut]])-TRUNC(Tabel3[[#This Row],[fin precedent]])&lt;Tabel3[[#This Row],[delai]]))</f>
        <v>0</v>
      </c>
      <c r="X21" s="95">
        <v>45917</v>
      </c>
      <c r="Y21" s="96">
        <v>861.6</v>
      </c>
    </row>
    <row r="22" spans="1:25" ht="18" customHeight="1" x14ac:dyDescent="0.2">
      <c r="A22" s="43" t="s">
        <v>60</v>
      </c>
      <c r="B22" s="85">
        <v>40</v>
      </c>
      <c r="C22" s="97">
        <v>45938</v>
      </c>
      <c r="D22" s="97">
        <f t="shared" ref="D22:I37" si="3">IF($C22&gt;0,$C22+D$2,"")</f>
        <v>45940</v>
      </c>
      <c r="E22" s="97">
        <f t="shared" si="3"/>
        <v>45944</v>
      </c>
      <c r="F22" s="97">
        <f t="shared" si="3"/>
        <v>45948</v>
      </c>
      <c r="G22" s="97">
        <f t="shared" si="3"/>
        <v>45953</v>
      </c>
      <c r="H22" s="97">
        <f t="shared" si="3"/>
        <v>45968</v>
      </c>
      <c r="I22" s="97">
        <f t="shared" si="3"/>
        <v>45998</v>
      </c>
      <c r="L22" s="98" t="s">
        <v>138</v>
      </c>
      <c r="M22" s="98" t="s">
        <v>38</v>
      </c>
      <c r="N22" s="104">
        <v>45907</v>
      </c>
      <c r="O22" s="98">
        <v>24</v>
      </c>
      <c r="P22" s="98">
        <f>INDEX($C$1:$I$1,MATCH(Tabel3[[#This Row],[Type]],Devoirs[[#Headers],[J0]:[J60]],0))</f>
        <v>4</v>
      </c>
      <c r="Q22" s="105" cm="1">
        <f t="array" aca="1" ref="Q2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45903.353333333333</v>
      </c>
      <c r="R22" s="105">
        <f ca="1">MAX(Tabel3[[#This Row],[jour]]+$R$3,IF(ROW()-ROW(Tabel3[[#Headers],[debut]])=1,DATE(2025,9,1)+$R$3,OFFSET(Tabel3[[#This Row],[fin]],-1,)))</f>
        <v>45907.333333333336</v>
      </c>
      <c r="S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45907.350000000006</v>
      </c>
      <c r="T22" s="102">
        <f ca="1">--(Tabel3[[#This Row],[jour]]&lt;&gt;TRUNC(Tabel3[[#This Row],[fin]]))</f>
        <v>0</v>
      </c>
      <c r="U22" s="102">
        <f ca="1">IF(Tabel3[[#This Row],[Type]]="j0",0,--(TRUNC(Tabel3[[#This Row],[debut]])-TRUNC(Tabel3[[#This Row],[fin precedent]])&lt;Tabel3[[#This Row],[delai]]))</f>
        <v>0</v>
      </c>
      <c r="X22" s="95">
        <v>45918</v>
      </c>
      <c r="Y22" s="96">
        <v>1523.1499999999999</v>
      </c>
    </row>
    <row r="23" spans="1:25" ht="18" customHeight="1" x14ac:dyDescent="0.2">
      <c r="A23" s="43" t="s">
        <v>61</v>
      </c>
      <c r="B23" s="85">
        <v>63</v>
      </c>
      <c r="C23" s="97">
        <v>45911</v>
      </c>
      <c r="D23" s="97">
        <f t="shared" si="3"/>
        <v>45913</v>
      </c>
      <c r="E23" s="97">
        <f t="shared" si="3"/>
        <v>45917</v>
      </c>
      <c r="F23" s="97">
        <f t="shared" si="3"/>
        <v>45921</v>
      </c>
      <c r="G23" s="97">
        <f t="shared" si="3"/>
        <v>45926</v>
      </c>
      <c r="H23" s="97">
        <f t="shared" si="3"/>
        <v>45941</v>
      </c>
      <c r="I23" s="97">
        <f t="shared" si="3"/>
        <v>45971</v>
      </c>
      <c r="L23" s="98" t="s">
        <v>141</v>
      </c>
      <c r="M23" s="98" t="s">
        <v>37</v>
      </c>
      <c r="N23" s="104">
        <v>45907</v>
      </c>
      <c r="O23" s="98">
        <v>56.7</v>
      </c>
      <c r="P23" s="98">
        <f>INDEX($C$1:$I$1,MATCH(Tabel3[[#This Row],[Type]],Devoirs[[#Headers],[J0]:[J60]],0))</f>
        <v>2</v>
      </c>
      <c r="Q23" s="105" cm="1">
        <f t="array" aca="1" ref="Q2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45905.546458333338</v>
      </c>
      <c r="R23" s="105">
        <f ca="1">MAX(Tabel3[[#This Row],[jour]]+$R$3,IF(ROW()-ROW(Tabel3[[#Headers],[debut]])=1,DATE(2025,9,1)+$R$3,OFFSET(Tabel3[[#This Row],[fin]],-1,)))</f>
        <v>45907.350000000006</v>
      </c>
      <c r="S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45907.389375000006</v>
      </c>
      <c r="T23" s="102">
        <f ca="1">--(Tabel3[[#This Row],[jour]]&lt;&gt;TRUNC(Tabel3[[#This Row],[fin]]))</f>
        <v>0</v>
      </c>
      <c r="U23" s="102">
        <f ca="1">IF(Tabel3[[#This Row],[Type]]="j0",0,--(TRUNC(Tabel3[[#This Row],[debut]])-TRUNC(Tabel3[[#This Row],[fin precedent]])&lt;Tabel3[[#This Row],[delai]]))</f>
        <v>0</v>
      </c>
      <c r="X23" s="95">
        <v>45919</v>
      </c>
      <c r="Y23" s="96">
        <v>914.9</v>
      </c>
    </row>
    <row r="24" spans="1:25" ht="18" customHeight="1" x14ac:dyDescent="0.2">
      <c r="A24" s="43" t="s">
        <v>62</v>
      </c>
      <c r="B24" s="85">
        <v>79</v>
      </c>
      <c r="C24" s="97">
        <v>45902</v>
      </c>
      <c r="D24" s="97">
        <f t="shared" si="3"/>
        <v>45904</v>
      </c>
      <c r="E24" s="97">
        <f t="shared" si="3"/>
        <v>45908</v>
      </c>
      <c r="F24" s="97">
        <f t="shared" si="3"/>
        <v>45912</v>
      </c>
      <c r="G24" s="97">
        <f t="shared" si="3"/>
        <v>45917</v>
      </c>
      <c r="H24" s="97">
        <f t="shared" si="3"/>
        <v>45932</v>
      </c>
      <c r="I24" s="97">
        <f t="shared" si="3"/>
        <v>45962</v>
      </c>
      <c r="L24" s="98" t="s">
        <v>55</v>
      </c>
      <c r="M24" s="98" t="s">
        <v>38</v>
      </c>
      <c r="N24" s="104">
        <v>45908</v>
      </c>
      <c r="O24" s="98">
        <v>38.25</v>
      </c>
      <c r="P24" s="98">
        <f>INDEX($C$1:$I$1,MATCH(Tabel3[[#This Row],[Type]],Devoirs[[#Headers],[J0]:[J60]],0))</f>
        <v>4</v>
      </c>
      <c r="Q24" s="105" cm="1">
        <f t="array" aca="1" ref="Q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45904.365208333336</v>
      </c>
      <c r="R24" s="105">
        <f ca="1">MAX(Tabel3[[#This Row],[jour]]+$R$3,IF(ROW()-ROW(Tabel3[[#Headers],[debut]])=1,DATE(2025,9,1)+$R$3,OFFSET(Tabel3[[#This Row],[fin]],-1,)))</f>
        <v>45908.333333333336</v>
      </c>
      <c r="S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45908.359895833339</v>
      </c>
      <c r="T24" s="102">
        <f ca="1">--(Tabel3[[#This Row],[jour]]&lt;&gt;TRUNC(Tabel3[[#This Row],[fin]]))</f>
        <v>0</v>
      </c>
      <c r="U24" s="102">
        <f ca="1">IF(Tabel3[[#This Row],[Type]]="j0",0,--(TRUNC(Tabel3[[#This Row],[debut]])-TRUNC(Tabel3[[#This Row],[fin precedent]])&lt;Tabel3[[#This Row],[delai]]))</f>
        <v>0</v>
      </c>
      <c r="X24" s="95">
        <v>45920</v>
      </c>
      <c r="Y24" s="96">
        <v>570.15000000000009</v>
      </c>
    </row>
    <row r="25" spans="1:25" ht="18" customHeight="1" x14ac:dyDescent="0.2">
      <c r="A25" s="44" t="s">
        <v>63</v>
      </c>
      <c r="B25" s="85">
        <v>71</v>
      </c>
      <c r="C25" s="97">
        <v>45936</v>
      </c>
      <c r="D25" s="97">
        <f t="shared" si="3"/>
        <v>45938</v>
      </c>
      <c r="E25" s="97">
        <f t="shared" si="3"/>
        <v>45942</v>
      </c>
      <c r="F25" s="97">
        <f t="shared" si="3"/>
        <v>45946</v>
      </c>
      <c r="G25" s="97">
        <f t="shared" si="3"/>
        <v>45951</v>
      </c>
      <c r="H25" s="97">
        <f t="shared" si="3"/>
        <v>45966</v>
      </c>
      <c r="I25" s="97">
        <f t="shared" si="3"/>
        <v>45996</v>
      </c>
      <c r="L25" s="98" t="s">
        <v>62</v>
      </c>
      <c r="M25" s="98" t="s">
        <v>38</v>
      </c>
      <c r="N25" s="104">
        <v>45908</v>
      </c>
      <c r="O25" s="98">
        <v>59.25</v>
      </c>
      <c r="P25" s="98">
        <f>INDEX($C$1:$I$1,MATCH(Tabel3[[#This Row],[Type]],Devoirs[[#Headers],[J0]:[J60]],0))</f>
        <v>4</v>
      </c>
      <c r="Q25" s="105" cm="1">
        <f t="array" aca="1" ref="Q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45904.414583333339</v>
      </c>
      <c r="R25" s="105">
        <f ca="1">MAX(Tabel3[[#This Row],[jour]]+$R$3,IF(ROW()-ROW(Tabel3[[#Headers],[debut]])=1,DATE(2025,9,1)+$R$3,OFFSET(Tabel3[[#This Row],[fin]],-1,)))</f>
        <v>45908.359895833339</v>
      </c>
      <c r="S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45908.401041666672</v>
      </c>
      <c r="T25" s="102">
        <f ca="1">--(Tabel3[[#This Row],[jour]]&lt;&gt;TRUNC(Tabel3[[#This Row],[fin]]))</f>
        <v>0</v>
      </c>
      <c r="U25" s="102">
        <f ca="1">IF(Tabel3[[#This Row],[Type]]="j0",0,--(TRUNC(Tabel3[[#This Row],[debut]])-TRUNC(Tabel3[[#This Row],[fin precedent]])&lt;Tabel3[[#This Row],[delai]]))</f>
        <v>0</v>
      </c>
      <c r="X25" s="95">
        <v>45921</v>
      </c>
      <c r="Y25" s="96">
        <v>541.95000000000005</v>
      </c>
    </row>
    <row r="26" spans="1:25" ht="18" customHeight="1" x14ac:dyDescent="0.2">
      <c r="A26" s="46" t="s">
        <v>64</v>
      </c>
      <c r="B26" s="46"/>
      <c r="C26" s="97"/>
      <c r="D26" s="97" t="str">
        <f t="shared" si="3"/>
        <v/>
      </c>
      <c r="E26" s="97" t="str">
        <f t="shared" si="3"/>
        <v/>
      </c>
      <c r="F26" s="97" t="str">
        <f t="shared" si="3"/>
        <v/>
      </c>
      <c r="G26" s="97" t="str">
        <f t="shared" si="3"/>
        <v/>
      </c>
      <c r="H26" s="97" t="str">
        <f t="shared" si="3"/>
        <v/>
      </c>
      <c r="I26" s="97" t="str">
        <f t="shared" si="3"/>
        <v/>
      </c>
      <c r="L26" s="98" t="s">
        <v>114</v>
      </c>
      <c r="M26" s="98" t="s">
        <v>38</v>
      </c>
      <c r="N26" s="104">
        <v>45908</v>
      </c>
      <c r="O26" s="98">
        <v>69</v>
      </c>
      <c r="P26" s="98">
        <f>INDEX($C$1:$I$1,MATCH(Tabel3[[#This Row],[Type]],Devoirs[[#Headers],[J0]:[J60]],0))</f>
        <v>4</v>
      </c>
      <c r="Q26" s="105" cm="1">
        <f t="array" aca="1" ref="Q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45904.472083333341</v>
      </c>
      <c r="R26" s="105">
        <f ca="1">MAX(Tabel3[[#This Row],[jour]]+$R$3,IF(ROW()-ROW(Tabel3[[#Headers],[debut]])=1,DATE(2025,9,1)+$R$3,OFFSET(Tabel3[[#This Row],[fin]],-1,)))</f>
        <v>45908.401041666672</v>
      </c>
      <c r="S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45908.448958333342</v>
      </c>
      <c r="T26" s="102">
        <f ca="1">--(Tabel3[[#This Row],[jour]]&lt;&gt;TRUNC(Tabel3[[#This Row],[fin]]))</f>
        <v>0</v>
      </c>
      <c r="U26" s="102">
        <f ca="1">IF(Tabel3[[#This Row],[Type]]="j0",0,--(TRUNC(Tabel3[[#This Row],[debut]])-TRUNC(Tabel3[[#This Row],[fin precedent]])&lt;Tabel3[[#This Row],[delai]]))</f>
        <v>0</v>
      </c>
      <c r="X26" s="95">
        <v>45922</v>
      </c>
      <c r="Y26" s="96">
        <v>606.29999999999995</v>
      </c>
    </row>
    <row r="27" spans="1:25" ht="18" customHeight="1" x14ac:dyDescent="0.2">
      <c r="A27" s="47" t="s">
        <v>65</v>
      </c>
      <c r="B27" s="86">
        <v>109</v>
      </c>
      <c r="C27" s="97">
        <v>45937</v>
      </c>
      <c r="D27" s="97">
        <f t="shared" si="3"/>
        <v>45939</v>
      </c>
      <c r="E27" s="97">
        <f t="shared" si="3"/>
        <v>45943</v>
      </c>
      <c r="F27" s="97">
        <f t="shared" si="3"/>
        <v>45947</v>
      </c>
      <c r="G27" s="97">
        <f t="shared" si="3"/>
        <v>45952</v>
      </c>
      <c r="H27" s="97">
        <f t="shared" si="3"/>
        <v>45967</v>
      </c>
      <c r="I27" s="97">
        <f t="shared" si="3"/>
        <v>45997</v>
      </c>
      <c r="L27" s="98" t="s">
        <v>88</v>
      </c>
      <c r="M27" s="98" t="s">
        <v>38</v>
      </c>
      <c r="N27" s="104">
        <v>45908</v>
      </c>
      <c r="O27" s="98">
        <v>84.75</v>
      </c>
      <c r="P27" s="98">
        <f>INDEX($C$1:$I$1,MATCH(Tabel3[[#This Row],[Type]],Devoirs[[#Headers],[J0]:[J60]],0))</f>
        <v>4</v>
      </c>
      <c r="Q27" s="105" cm="1">
        <f t="array" aca="1" ref="Q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45904.542708333342</v>
      </c>
      <c r="R27" s="105">
        <f ca="1">MAX(Tabel3[[#This Row],[jour]]+$R$3,IF(ROW()-ROW(Tabel3[[#Headers],[debut]])=1,DATE(2025,9,1)+$R$3,OFFSET(Tabel3[[#This Row],[fin]],-1,)))</f>
        <v>45908.448958333342</v>
      </c>
      <c r="S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45908.507812500007</v>
      </c>
      <c r="T27" s="102">
        <f ca="1">--(Tabel3[[#This Row],[jour]]&lt;&gt;TRUNC(Tabel3[[#This Row],[fin]]))</f>
        <v>0</v>
      </c>
      <c r="U27" s="102">
        <f ca="1">IF(Tabel3[[#This Row],[Type]]="j0",0,--(TRUNC(Tabel3[[#This Row],[debut]])-TRUNC(Tabel3[[#This Row],[fin precedent]])&lt;Tabel3[[#This Row],[delai]]))</f>
        <v>0</v>
      </c>
      <c r="X27" s="95">
        <v>45923</v>
      </c>
      <c r="Y27" s="96">
        <v>923.00000000000011</v>
      </c>
    </row>
    <row r="28" spans="1:25" ht="18" customHeight="1" x14ac:dyDescent="0.2">
      <c r="A28" s="48" t="s">
        <v>66</v>
      </c>
      <c r="B28" s="86">
        <v>92</v>
      </c>
      <c r="C28" s="97">
        <v>45912</v>
      </c>
      <c r="D28" s="97">
        <f t="shared" si="3"/>
        <v>45914</v>
      </c>
      <c r="E28" s="97">
        <f t="shared" si="3"/>
        <v>45918</v>
      </c>
      <c r="F28" s="97">
        <f t="shared" si="3"/>
        <v>45922</v>
      </c>
      <c r="G28" s="97">
        <f t="shared" si="3"/>
        <v>45927</v>
      </c>
      <c r="H28" s="97">
        <f t="shared" si="3"/>
        <v>45942</v>
      </c>
      <c r="I28" s="97">
        <f t="shared" si="3"/>
        <v>45972</v>
      </c>
      <c r="L28" s="98" t="s">
        <v>140</v>
      </c>
      <c r="M28" s="98" t="s">
        <v>1</v>
      </c>
      <c r="N28" s="104">
        <v>45908</v>
      </c>
      <c r="O28" s="98">
        <v>69</v>
      </c>
      <c r="P28" s="98">
        <f>INDEX($C$1:$I$1,MATCH(Tabel3[[#This Row],[Type]],Devoirs[[#Headers],[J0]:[J60]],0))</f>
        <v>0</v>
      </c>
      <c r="Q28" s="105" t="str" cm="1">
        <f t="array" ref="Q2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8" s="105">
        <f ca="1">MAX(Tabel3[[#This Row],[jour]]+$R$3,IF(ROW()-ROW(Tabel3[[#Headers],[debut]])=1,DATE(2025,9,1)+$R$3,OFFSET(Tabel3[[#This Row],[fin]],-1,)))</f>
        <v>45908.507812500007</v>
      </c>
      <c r="S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45908.555729166677</v>
      </c>
      <c r="T28" s="102">
        <f ca="1">--(Tabel3[[#This Row],[jour]]&lt;&gt;TRUNC(Tabel3[[#This Row],[fin]]))</f>
        <v>0</v>
      </c>
      <c r="U28" s="102">
        <f>IF(Tabel3[[#This Row],[Type]]="j0",0,--(TRUNC(Tabel3[[#This Row],[debut]])-TRUNC(Tabel3[[#This Row],[fin precedent]])&lt;Tabel3[[#This Row],[delai]]))</f>
        <v>0</v>
      </c>
      <c r="X28" s="95">
        <v>45924</v>
      </c>
      <c r="Y28" s="96">
        <v>1378.0500000000002</v>
      </c>
    </row>
    <row r="29" spans="1:25" ht="18" customHeight="1" x14ac:dyDescent="0.2">
      <c r="A29" s="48" t="s">
        <v>67</v>
      </c>
      <c r="B29" s="86">
        <v>33</v>
      </c>
      <c r="C29" s="97">
        <v>45922</v>
      </c>
      <c r="D29" s="97">
        <f t="shared" si="3"/>
        <v>45924</v>
      </c>
      <c r="E29" s="97">
        <f t="shared" si="3"/>
        <v>45928</v>
      </c>
      <c r="F29" s="97">
        <f t="shared" si="3"/>
        <v>45932</v>
      </c>
      <c r="G29" s="97">
        <f t="shared" si="3"/>
        <v>45937</v>
      </c>
      <c r="H29" s="97">
        <f t="shared" si="3"/>
        <v>45952</v>
      </c>
      <c r="I29" s="97">
        <f t="shared" si="3"/>
        <v>45982</v>
      </c>
      <c r="L29" s="98" t="s">
        <v>133</v>
      </c>
      <c r="M29" s="98" t="s">
        <v>1</v>
      </c>
      <c r="N29" s="104">
        <v>45908</v>
      </c>
      <c r="O29" s="98">
        <v>78</v>
      </c>
      <c r="P29" s="98">
        <f>INDEX($C$1:$I$1,MATCH(Tabel3[[#This Row],[Type]],Devoirs[[#Headers],[J0]:[J60]],0))</f>
        <v>0</v>
      </c>
      <c r="Q29" s="105" t="str" cm="1">
        <f t="array" ref="Q2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9" s="105">
        <f ca="1">MAX(Tabel3[[#This Row],[jour]]+$R$3,IF(ROW()-ROW(Tabel3[[#Headers],[debut]])=1,DATE(2025,9,1)+$R$3,OFFSET(Tabel3[[#This Row],[fin]],-1,)))</f>
        <v>45908.555729166677</v>
      </c>
      <c r="S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45908.609895833346</v>
      </c>
      <c r="T29" s="102">
        <f ca="1">--(Tabel3[[#This Row],[jour]]&lt;&gt;TRUNC(Tabel3[[#This Row],[fin]]))</f>
        <v>0</v>
      </c>
      <c r="U29" s="102">
        <f>IF(Tabel3[[#This Row],[Type]]="j0",0,--(TRUNC(Tabel3[[#This Row],[debut]])-TRUNC(Tabel3[[#This Row],[fin precedent]])&lt;Tabel3[[#This Row],[delai]]))</f>
        <v>0</v>
      </c>
      <c r="X29" s="95">
        <v>45925</v>
      </c>
      <c r="Y29" s="96">
        <v>979.9</v>
      </c>
    </row>
    <row r="30" spans="1:25" ht="18" customHeight="1" x14ac:dyDescent="0.2">
      <c r="A30" s="48" t="s">
        <v>68</v>
      </c>
      <c r="B30" s="86">
        <v>60</v>
      </c>
      <c r="C30" s="97">
        <v>45924</v>
      </c>
      <c r="D30" s="97">
        <f t="shared" si="3"/>
        <v>45926</v>
      </c>
      <c r="E30" s="97">
        <f t="shared" si="3"/>
        <v>45930</v>
      </c>
      <c r="F30" s="97">
        <f t="shared" si="3"/>
        <v>45934</v>
      </c>
      <c r="G30" s="97">
        <f t="shared" si="3"/>
        <v>45939</v>
      </c>
      <c r="H30" s="97">
        <f t="shared" si="3"/>
        <v>45954</v>
      </c>
      <c r="I30" s="97">
        <f t="shared" si="3"/>
        <v>45984</v>
      </c>
      <c r="L30" s="98" t="s">
        <v>376</v>
      </c>
      <c r="M30" s="98" t="s">
        <v>1</v>
      </c>
      <c r="N30" s="104">
        <v>45908</v>
      </c>
      <c r="O30" s="98">
        <v>83</v>
      </c>
      <c r="P30" s="98">
        <f>INDEX($C$1:$I$1,MATCH(Tabel3[[#This Row],[Type]],Devoirs[[#Headers],[J0]:[J60]],0))</f>
        <v>0</v>
      </c>
      <c r="Q30" s="105" t="str" cm="1">
        <f t="array" ref="Q3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0" s="105">
        <f ca="1">MAX(Tabel3[[#This Row],[jour]]+$R$3,IF(ROW()-ROW(Tabel3[[#Headers],[debut]])=1,DATE(2025,9,1)+$R$3,OFFSET(Tabel3[[#This Row],[fin]],-1,)))</f>
        <v>45908.609895833346</v>
      </c>
      <c r="S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45908.667534722234</v>
      </c>
      <c r="T30" s="102">
        <f ca="1">--(Tabel3[[#This Row],[jour]]&lt;&gt;TRUNC(Tabel3[[#This Row],[fin]]))</f>
        <v>0</v>
      </c>
      <c r="U30" s="102">
        <f>IF(Tabel3[[#This Row],[Type]]="j0",0,--(TRUNC(Tabel3[[#This Row],[debut]])-TRUNC(Tabel3[[#This Row],[fin precedent]])&lt;Tabel3[[#This Row],[delai]]))</f>
        <v>0</v>
      </c>
      <c r="X30" s="95">
        <v>45926</v>
      </c>
      <c r="Y30" s="96">
        <v>705.75</v>
      </c>
    </row>
    <row r="31" spans="1:25" ht="18" customHeight="1" x14ac:dyDescent="0.2">
      <c r="A31" s="48" t="s">
        <v>69</v>
      </c>
      <c r="B31" s="86">
        <v>48</v>
      </c>
      <c r="C31" s="97">
        <v>45916</v>
      </c>
      <c r="D31" s="97">
        <f t="shared" si="3"/>
        <v>45918</v>
      </c>
      <c r="E31" s="97">
        <f t="shared" si="3"/>
        <v>45922</v>
      </c>
      <c r="F31" s="97">
        <f t="shared" si="3"/>
        <v>45926</v>
      </c>
      <c r="G31" s="97">
        <f t="shared" si="3"/>
        <v>45931</v>
      </c>
      <c r="H31" s="97">
        <f t="shared" si="3"/>
        <v>45946</v>
      </c>
      <c r="I31" s="97">
        <f t="shared" si="3"/>
        <v>45976</v>
      </c>
      <c r="L31" s="98" t="s">
        <v>115</v>
      </c>
      <c r="M31" s="98" t="s">
        <v>1</v>
      </c>
      <c r="N31" s="104">
        <v>45908</v>
      </c>
      <c r="O31" s="98">
        <v>85</v>
      </c>
      <c r="P31" s="98">
        <f>INDEX($C$1:$I$1,MATCH(Tabel3[[#This Row],[Type]],Devoirs[[#Headers],[J0]:[J60]],0))</f>
        <v>0</v>
      </c>
      <c r="Q31" s="105" t="str" cm="1">
        <f t="array" ref="Q3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1" s="105">
        <f ca="1">MAX(Tabel3[[#This Row],[jour]]+$R$3,IF(ROW()-ROW(Tabel3[[#Headers],[debut]])=1,DATE(2025,9,1)+$R$3,OFFSET(Tabel3[[#This Row],[fin]],-1,)))</f>
        <v>45908.667534722234</v>
      </c>
      <c r="S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45908.726562500015</v>
      </c>
      <c r="T31" s="102">
        <f ca="1">--(Tabel3[[#This Row],[jour]]&lt;&gt;TRUNC(Tabel3[[#This Row],[fin]]))</f>
        <v>0</v>
      </c>
      <c r="U31" s="102">
        <f>IF(Tabel3[[#This Row],[Type]]="j0",0,--(TRUNC(Tabel3[[#This Row],[debut]])-TRUNC(Tabel3[[#This Row],[fin precedent]])&lt;Tabel3[[#This Row],[delai]]))</f>
        <v>0</v>
      </c>
      <c r="X31" s="95">
        <v>45927</v>
      </c>
      <c r="Y31" s="96">
        <v>664.19999999999993</v>
      </c>
    </row>
    <row r="32" spans="1:25" ht="18" customHeight="1" x14ac:dyDescent="0.2">
      <c r="A32" s="48" t="s">
        <v>70</v>
      </c>
      <c r="B32" s="86">
        <v>84</v>
      </c>
      <c r="C32" s="97">
        <v>45937</v>
      </c>
      <c r="D32" s="97">
        <f t="shared" si="3"/>
        <v>45939</v>
      </c>
      <c r="E32" s="97">
        <f t="shared" si="3"/>
        <v>45943</v>
      </c>
      <c r="F32" s="97">
        <f t="shared" si="3"/>
        <v>45947</v>
      </c>
      <c r="G32" s="97">
        <f t="shared" si="3"/>
        <v>45952</v>
      </c>
      <c r="H32" s="97">
        <f t="shared" si="3"/>
        <v>45967</v>
      </c>
      <c r="I32" s="97">
        <f t="shared" si="3"/>
        <v>45997</v>
      </c>
      <c r="L32" s="98" t="s">
        <v>113</v>
      </c>
      <c r="M32" s="98" t="s">
        <v>1</v>
      </c>
      <c r="N32" s="104">
        <v>45908</v>
      </c>
      <c r="O32" s="98">
        <v>93</v>
      </c>
      <c r="P32" s="98">
        <f>INDEX($C$1:$I$1,MATCH(Tabel3[[#This Row],[Type]],Devoirs[[#Headers],[J0]:[J60]],0))</f>
        <v>0</v>
      </c>
      <c r="Q32" s="105" t="str" cm="1">
        <f t="array" ref="Q3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2" s="105">
        <f ca="1">MAX(Tabel3[[#This Row],[jour]]+$R$3,IF(ROW()-ROW(Tabel3[[#Headers],[debut]])=1,DATE(2025,9,1)+$R$3,OFFSET(Tabel3[[#This Row],[fin]],-1,)))</f>
        <v>45908.726562500015</v>
      </c>
      <c r="S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45909.374479166683</v>
      </c>
      <c r="T32" s="102">
        <f ca="1">--(Tabel3[[#This Row],[jour]]&lt;&gt;TRUNC(Tabel3[[#This Row],[fin]]))</f>
        <v>1</v>
      </c>
      <c r="U32" s="102">
        <f>IF(Tabel3[[#This Row],[Type]]="j0",0,--(TRUNC(Tabel3[[#This Row],[debut]])-TRUNC(Tabel3[[#This Row],[fin precedent]])&lt;Tabel3[[#This Row],[delai]]))</f>
        <v>0</v>
      </c>
      <c r="X32" s="95">
        <v>45928</v>
      </c>
      <c r="Y32" s="96">
        <v>552.45000000000005</v>
      </c>
    </row>
    <row r="33" spans="1:25" ht="18" customHeight="1" x14ac:dyDescent="0.2">
      <c r="A33" s="48" t="s">
        <v>71</v>
      </c>
      <c r="B33" s="86">
        <v>101</v>
      </c>
      <c r="C33" s="97">
        <v>45937</v>
      </c>
      <c r="D33" s="97">
        <f t="shared" si="3"/>
        <v>45939</v>
      </c>
      <c r="E33" s="97">
        <f t="shared" si="3"/>
        <v>45943</v>
      </c>
      <c r="F33" s="97">
        <f t="shared" si="3"/>
        <v>45947</v>
      </c>
      <c r="G33" s="97">
        <f t="shared" si="3"/>
        <v>45952</v>
      </c>
      <c r="H33" s="97">
        <f t="shared" si="3"/>
        <v>45967</v>
      </c>
      <c r="I33" s="97">
        <f t="shared" si="3"/>
        <v>45997</v>
      </c>
      <c r="L33" s="98" t="s">
        <v>130</v>
      </c>
      <c r="M33" s="98" t="s">
        <v>1</v>
      </c>
      <c r="N33" s="104">
        <v>45908</v>
      </c>
      <c r="O33" s="98">
        <v>101</v>
      </c>
      <c r="P33" s="98">
        <f>INDEX($C$1:$I$1,MATCH(Tabel3[[#This Row],[Type]],Devoirs[[#Headers],[J0]:[J60]],0))</f>
        <v>0</v>
      </c>
      <c r="Q33" s="105" t="str" cm="1">
        <f t="array" ref="Q3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3" s="105">
        <f ca="1">MAX(Tabel3[[#This Row],[jour]]+$R$3,IF(ROW()-ROW(Tabel3[[#Headers],[debut]])=1,DATE(2025,9,1)+$R$3,OFFSET(Tabel3[[#This Row],[fin]],-1,)))</f>
        <v>45909.374479166683</v>
      </c>
      <c r="S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45909.444618055575</v>
      </c>
      <c r="T33" s="102">
        <f ca="1">--(Tabel3[[#This Row],[jour]]&lt;&gt;TRUNC(Tabel3[[#This Row],[fin]]))</f>
        <v>1</v>
      </c>
      <c r="U33" s="102">
        <f>IF(Tabel3[[#This Row],[Type]]="j0",0,--(TRUNC(Tabel3[[#This Row],[debut]])-TRUNC(Tabel3[[#This Row],[fin precedent]])&lt;Tabel3[[#This Row],[delai]]))</f>
        <v>0</v>
      </c>
      <c r="X33" s="95">
        <v>45929</v>
      </c>
      <c r="Y33" s="96">
        <v>637</v>
      </c>
    </row>
    <row r="34" spans="1:25" ht="18" customHeight="1" x14ac:dyDescent="0.2">
      <c r="A34" s="49" t="s">
        <v>72</v>
      </c>
      <c r="B34" s="87">
        <v>82</v>
      </c>
      <c r="C34" s="97">
        <v>45918</v>
      </c>
      <c r="D34" s="97">
        <f t="shared" si="3"/>
        <v>45920</v>
      </c>
      <c r="E34" s="97">
        <f t="shared" si="3"/>
        <v>45924</v>
      </c>
      <c r="F34" s="97">
        <f t="shared" si="3"/>
        <v>45928</v>
      </c>
      <c r="G34" s="97">
        <f t="shared" si="3"/>
        <v>45933</v>
      </c>
      <c r="H34" s="97">
        <f t="shared" si="3"/>
        <v>45948</v>
      </c>
      <c r="I34" s="97">
        <f t="shared" si="3"/>
        <v>45978</v>
      </c>
      <c r="L34" s="98" t="s">
        <v>106</v>
      </c>
      <c r="M34" s="98" t="s">
        <v>1</v>
      </c>
      <c r="N34" s="104">
        <v>45908</v>
      </c>
      <c r="O34" s="98">
        <v>106</v>
      </c>
      <c r="P34" s="98">
        <f>INDEX($C$1:$I$1,MATCH(Tabel3[[#This Row],[Type]],Devoirs[[#Headers],[J0]:[J60]],0))</f>
        <v>0</v>
      </c>
      <c r="Q34" s="105" t="str" cm="1">
        <f t="array" ref="Q3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4" s="105">
        <f ca="1">MAX(Tabel3[[#This Row],[jour]]+$R$3,IF(ROW()-ROW(Tabel3[[#Headers],[debut]])=1,DATE(2025,9,1)+$R$3,OFFSET(Tabel3[[#This Row],[fin]],-1,)))</f>
        <v>45909.444618055575</v>
      </c>
      <c r="S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45909.518229166686</v>
      </c>
      <c r="T34" s="102">
        <f ca="1">--(Tabel3[[#This Row],[jour]]&lt;&gt;TRUNC(Tabel3[[#This Row],[fin]]))</f>
        <v>1</v>
      </c>
      <c r="U34" s="102">
        <f>IF(Tabel3[[#This Row],[Type]]="j0",0,--(TRUNC(Tabel3[[#This Row],[debut]])-TRUNC(Tabel3[[#This Row],[fin precedent]])&lt;Tabel3[[#This Row],[delai]]))</f>
        <v>0</v>
      </c>
      <c r="X34" s="95">
        <v>45930</v>
      </c>
      <c r="Y34" s="96">
        <v>810.3</v>
      </c>
    </row>
    <row r="35" spans="1:25" ht="18" customHeight="1" x14ac:dyDescent="0.2">
      <c r="A35" s="50" t="s">
        <v>73</v>
      </c>
      <c r="B35" s="87">
        <v>89</v>
      </c>
      <c r="C35" s="97">
        <v>45931</v>
      </c>
      <c r="D35" s="97">
        <f t="shared" si="3"/>
        <v>45933</v>
      </c>
      <c r="E35" s="97">
        <f t="shared" si="3"/>
        <v>45937</v>
      </c>
      <c r="F35" s="97">
        <f t="shared" si="3"/>
        <v>45941</v>
      </c>
      <c r="G35" s="97">
        <f t="shared" si="3"/>
        <v>45946</v>
      </c>
      <c r="H35" s="97">
        <f t="shared" si="3"/>
        <v>45961</v>
      </c>
      <c r="I35" s="97">
        <f t="shared" si="3"/>
        <v>45991</v>
      </c>
      <c r="L35" s="98" t="s">
        <v>89</v>
      </c>
      <c r="M35" s="98" t="s">
        <v>38</v>
      </c>
      <c r="N35" s="104">
        <v>45909</v>
      </c>
      <c r="O35" s="98">
        <v>49.5</v>
      </c>
      <c r="P35" s="98">
        <f>INDEX($C$1:$I$1,MATCH(Tabel3[[#This Row],[Type]],Devoirs[[#Headers],[J0]:[J60]],0))</f>
        <v>4</v>
      </c>
      <c r="Q35" s="105" cm="1">
        <f t="array" aca="1" ref="Q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45905.374583333338</v>
      </c>
      <c r="R35" s="105">
        <f ca="1">MAX(Tabel3[[#This Row],[jour]]+$R$3,IF(ROW()-ROW(Tabel3[[#Headers],[debut]])=1,DATE(2025,9,1)+$R$3,OFFSET(Tabel3[[#This Row],[fin]],-1,)))</f>
        <v>45909.518229166686</v>
      </c>
      <c r="S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45909.552604166689</v>
      </c>
      <c r="T35" s="102">
        <f ca="1">--(Tabel3[[#This Row],[jour]]&lt;&gt;TRUNC(Tabel3[[#This Row],[fin]]))</f>
        <v>0</v>
      </c>
      <c r="U35" s="102">
        <f ca="1">IF(Tabel3[[#This Row],[Type]]="j0",0,--(TRUNC(Tabel3[[#This Row],[debut]])-TRUNC(Tabel3[[#This Row],[fin precedent]])&lt;Tabel3[[#This Row],[delai]]))</f>
        <v>0</v>
      </c>
      <c r="X35" s="95">
        <v>45931</v>
      </c>
      <c r="Y35" s="96">
        <v>814</v>
      </c>
    </row>
    <row r="36" spans="1:25" ht="18" customHeight="1" x14ac:dyDescent="0.2">
      <c r="A36" s="46" t="s">
        <v>74</v>
      </c>
      <c r="B36" s="46"/>
      <c r="C36" s="97"/>
      <c r="D36" s="97" t="str">
        <f t="shared" si="3"/>
        <v/>
      </c>
      <c r="E36" s="97" t="str">
        <f t="shared" si="3"/>
        <v/>
      </c>
      <c r="F36" s="97" t="str">
        <f t="shared" si="3"/>
        <v/>
      </c>
      <c r="G36" s="97" t="str">
        <f t="shared" si="3"/>
        <v/>
      </c>
      <c r="H36" s="97" t="str">
        <f t="shared" si="3"/>
        <v/>
      </c>
      <c r="I36" s="97" t="str">
        <f t="shared" si="3"/>
        <v/>
      </c>
      <c r="L36" s="98" t="s">
        <v>90</v>
      </c>
      <c r="M36" s="98" t="s">
        <v>38</v>
      </c>
      <c r="N36" s="104">
        <v>45909</v>
      </c>
      <c r="O36" s="98">
        <v>75</v>
      </c>
      <c r="P36" s="98">
        <f>INDEX($C$1:$I$1,MATCH(Tabel3[[#This Row],[Type]],Devoirs[[#Headers],[J0]:[J60]],0))</f>
        <v>4</v>
      </c>
      <c r="Q36" s="105" cm="1">
        <f t="array" aca="1" ref="Q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45905.437083333338</v>
      </c>
      <c r="R36" s="105">
        <f ca="1">MAX(Tabel3[[#This Row],[jour]]+$R$3,IF(ROW()-ROW(Tabel3[[#Headers],[debut]])=1,DATE(2025,9,1)+$R$3,OFFSET(Tabel3[[#This Row],[fin]],-1,)))</f>
        <v>45909.552604166689</v>
      </c>
      <c r="S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45909.604687500025</v>
      </c>
      <c r="T36" s="102">
        <f ca="1">--(Tabel3[[#This Row],[jour]]&lt;&gt;TRUNC(Tabel3[[#This Row],[fin]]))</f>
        <v>0</v>
      </c>
      <c r="U36" s="102">
        <f ca="1">IF(Tabel3[[#This Row],[Type]]="j0",0,--(TRUNC(Tabel3[[#This Row],[debut]])-TRUNC(Tabel3[[#This Row],[fin precedent]])&lt;Tabel3[[#This Row],[delai]]))</f>
        <v>0</v>
      </c>
      <c r="X36" s="95">
        <v>45932</v>
      </c>
      <c r="Y36" s="96">
        <v>906.15</v>
      </c>
    </row>
    <row r="37" spans="1:25" ht="18" customHeight="1" x14ac:dyDescent="0.2">
      <c r="A37" s="55" t="s">
        <v>75</v>
      </c>
      <c r="B37" s="88">
        <v>60</v>
      </c>
      <c r="C37" s="97">
        <v>45918</v>
      </c>
      <c r="D37" s="97">
        <f t="shared" si="3"/>
        <v>45920</v>
      </c>
      <c r="E37" s="97">
        <f t="shared" si="3"/>
        <v>45924</v>
      </c>
      <c r="F37" s="97">
        <f t="shared" si="3"/>
        <v>45928</v>
      </c>
      <c r="G37" s="97">
        <f t="shared" si="3"/>
        <v>45933</v>
      </c>
      <c r="H37" s="97">
        <f t="shared" si="3"/>
        <v>45948</v>
      </c>
      <c r="I37" s="97">
        <f t="shared" si="3"/>
        <v>45978</v>
      </c>
      <c r="L37" s="98" t="s">
        <v>107</v>
      </c>
      <c r="M37" s="98" t="s">
        <v>38</v>
      </c>
      <c r="N37" s="104">
        <v>45909</v>
      </c>
      <c r="O37" s="98">
        <v>78.75</v>
      </c>
      <c r="P37" s="98">
        <f>INDEX($C$1:$I$1,MATCH(Tabel3[[#This Row],[Type]],Devoirs[[#Headers],[J0]:[J60]],0))</f>
        <v>4</v>
      </c>
      <c r="Q37" s="105" cm="1">
        <f t="array" aca="1" ref="Q3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45905.502708333341</v>
      </c>
      <c r="R37" s="105">
        <f ca="1">MAX(Tabel3[[#This Row],[jour]]+$R$3,IF(ROW()-ROW(Tabel3[[#Headers],[debut]])=1,DATE(2025,9,1)+$R$3,OFFSET(Tabel3[[#This Row],[fin]],-1,)))</f>
        <v>45909.604687500025</v>
      </c>
      <c r="S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45909.659375000025</v>
      </c>
      <c r="T37" s="102">
        <f ca="1">--(Tabel3[[#This Row],[jour]]&lt;&gt;TRUNC(Tabel3[[#This Row],[fin]]))</f>
        <v>0</v>
      </c>
      <c r="U37" s="102">
        <f ca="1">IF(Tabel3[[#This Row],[Type]]="j0",0,--(TRUNC(Tabel3[[#This Row],[debut]])-TRUNC(Tabel3[[#This Row],[fin precedent]])&lt;Tabel3[[#This Row],[delai]]))</f>
        <v>0</v>
      </c>
      <c r="X37" s="95">
        <v>45933</v>
      </c>
      <c r="Y37" s="96">
        <v>1045.0999999999999</v>
      </c>
    </row>
    <row r="38" spans="1:25" ht="18" customHeight="1" x14ac:dyDescent="0.2">
      <c r="A38" s="56" t="s">
        <v>76</v>
      </c>
      <c r="B38" s="88">
        <v>114</v>
      </c>
      <c r="C38" s="97">
        <v>45930</v>
      </c>
      <c r="D38" s="97">
        <f t="shared" ref="D38:I53" si="4">IF($C38&gt;0,$C38+D$2,"")</f>
        <v>45932</v>
      </c>
      <c r="E38" s="97">
        <f t="shared" si="4"/>
        <v>45936</v>
      </c>
      <c r="F38" s="97">
        <f t="shared" si="4"/>
        <v>45940</v>
      </c>
      <c r="G38" s="97">
        <f t="shared" si="4"/>
        <v>45945</v>
      </c>
      <c r="H38" s="97">
        <f t="shared" si="4"/>
        <v>45960</v>
      </c>
      <c r="I38" s="97">
        <f t="shared" si="4"/>
        <v>45990</v>
      </c>
      <c r="L38" s="98" t="s">
        <v>128</v>
      </c>
      <c r="M38" s="98" t="s">
        <v>1</v>
      </c>
      <c r="N38" s="104">
        <v>45909</v>
      </c>
      <c r="O38" s="98">
        <v>70</v>
      </c>
      <c r="P38" s="98">
        <f>INDEX($C$1:$I$1,MATCH(Tabel3[[#This Row],[Type]],Devoirs[[#Headers],[J0]:[J60]],0))</f>
        <v>0</v>
      </c>
      <c r="Q38" s="105" t="str" cm="1">
        <f t="array" ref="Q3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8" s="105">
        <f ca="1">MAX(Tabel3[[#This Row],[jour]]+$R$3,IF(ROW()-ROW(Tabel3[[#Headers],[debut]])=1,DATE(2025,9,1)+$R$3,OFFSET(Tabel3[[#This Row],[fin]],-1,)))</f>
        <v>45909.659375000025</v>
      </c>
      <c r="S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45909.707986111134</v>
      </c>
      <c r="T38" s="102">
        <f ca="1">--(Tabel3[[#This Row],[jour]]&lt;&gt;TRUNC(Tabel3[[#This Row],[fin]]))</f>
        <v>0</v>
      </c>
      <c r="U38" s="102">
        <f>IF(Tabel3[[#This Row],[Type]]="j0",0,--(TRUNC(Tabel3[[#This Row],[debut]])-TRUNC(Tabel3[[#This Row],[fin precedent]])&lt;Tabel3[[#This Row],[delai]]))</f>
        <v>0</v>
      </c>
      <c r="X38" s="95">
        <v>45934</v>
      </c>
      <c r="Y38" s="96">
        <v>673.2</v>
      </c>
    </row>
    <row r="39" spans="1:25" ht="18" customHeight="1" x14ac:dyDescent="0.2">
      <c r="A39" s="56" t="s">
        <v>77</v>
      </c>
      <c r="B39" s="88">
        <v>108</v>
      </c>
      <c r="C39" s="97">
        <v>45929</v>
      </c>
      <c r="D39" s="97">
        <f t="shared" si="4"/>
        <v>45931</v>
      </c>
      <c r="E39" s="97">
        <f t="shared" si="4"/>
        <v>45935</v>
      </c>
      <c r="F39" s="97">
        <f t="shared" si="4"/>
        <v>45939</v>
      </c>
      <c r="G39" s="97">
        <f t="shared" si="4"/>
        <v>45944</v>
      </c>
      <c r="H39" s="97">
        <f t="shared" si="4"/>
        <v>45959</v>
      </c>
      <c r="I39" s="97">
        <f t="shared" si="4"/>
        <v>45989</v>
      </c>
      <c r="L39" s="98" t="s">
        <v>373</v>
      </c>
      <c r="M39" s="98" t="s">
        <v>1</v>
      </c>
      <c r="N39" s="104">
        <v>45909</v>
      </c>
      <c r="O39" s="98">
        <v>108</v>
      </c>
      <c r="P39" s="98">
        <f>INDEX($C$1:$I$1,MATCH(Tabel3[[#This Row],[Type]],Devoirs[[#Headers],[J0]:[J60]],0))</f>
        <v>0</v>
      </c>
      <c r="Q39" s="105" t="str" cm="1">
        <f t="array" ref="Q3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9" s="105">
        <f ca="1">MAX(Tabel3[[#This Row],[jour]]+$R$3,IF(ROW()-ROW(Tabel3[[#Headers],[debut]])=1,DATE(2025,9,1)+$R$3,OFFSET(Tabel3[[#This Row],[fin]],-1,)))</f>
        <v>45909.707986111134</v>
      </c>
      <c r="S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45910.366319444467</v>
      </c>
      <c r="T39" s="102">
        <f ca="1">--(Tabel3[[#This Row],[jour]]&lt;&gt;TRUNC(Tabel3[[#This Row],[fin]]))</f>
        <v>1</v>
      </c>
      <c r="U39" s="102">
        <f>IF(Tabel3[[#This Row],[Type]]="j0",0,--(TRUNC(Tabel3[[#This Row],[debut]])-TRUNC(Tabel3[[#This Row],[fin precedent]])&lt;Tabel3[[#This Row],[delai]]))</f>
        <v>0</v>
      </c>
      <c r="X39" s="95">
        <v>45935</v>
      </c>
      <c r="Y39" s="96">
        <v>548.54999999999995</v>
      </c>
    </row>
    <row r="40" spans="1:25" ht="18" customHeight="1" x14ac:dyDescent="0.2">
      <c r="A40" s="56" t="s">
        <v>78</v>
      </c>
      <c r="B40" s="88">
        <v>87</v>
      </c>
      <c r="C40" s="97">
        <v>45912</v>
      </c>
      <c r="D40" s="97">
        <f t="shared" si="4"/>
        <v>45914</v>
      </c>
      <c r="E40" s="97">
        <f t="shared" si="4"/>
        <v>45918</v>
      </c>
      <c r="F40" s="97">
        <f t="shared" si="4"/>
        <v>45922</v>
      </c>
      <c r="G40" s="97">
        <f t="shared" si="4"/>
        <v>45927</v>
      </c>
      <c r="H40" s="97">
        <f t="shared" si="4"/>
        <v>45942</v>
      </c>
      <c r="I40" s="97">
        <f t="shared" si="4"/>
        <v>45972</v>
      </c>
      <c r="L40" s="98" t="s">
        <v>83</v>
      </c>
      <c r="M40" s="98" t="s">
        <v>1</v>
      </c>
      <c r="N40" s="104">
        <v>45909</v>
      </c>
      <c r="O40" s="98">
        <v>111</v>
      </c>
      <c r="P40" s="98">
        <f>INDEX($C$1:$I$1,MATCH(Tabel3[[#This Row],[Type]],Devoirs[[#Headers],[J0]:[J60]],0))</f>
        <v>0</v>
      </c>
      <c r="Q40" s="105" t="str" cm="1">
        <f t="array" ref="Q4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40" s="105">
        <f ca="1">MAX(Tabel3[[#This Row],[jour]]+$R$3,IF(ROW()-ROW(Tabel3[[#Headers],[debut]])=1,DATE(2025,9,1)+$R$3,OFFSET(Tabel3[[#This Row],[fin]],-1,)))</f>
        <v>45910.366319444467</v>
      </c>
      <c r="S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45910.443402777797</v>
      </c>
      <c r="T40" s="102">
        <f ca="1">--(Tabel3[[#This Row],[jour]]&lt;&gt;TRUNC(Tabel3[[#This Row],[fin]]))</f>
        <v>1</v>
      </c>
      <c r="U40" s="102">
        <f>IF(Tabel3[[#This Row],[Type]]="j0",0,--(TRUNC(Tabel3[[#This Row],[debut]])-TRUNC(Tabel3[[#This Row],[fin precedent]])&lt;Tabel3[[#This Row],[delai]]))</f>
        <v>0</v>
      </c>
      <c r="X40" s="95">
        <v>45936</v>
      </c>
      <c r="Y40" s="96">
        <v>360.25</v>
      </c>
    </row>
    <row r="41" spans="1:25" ht="18" customHeight="1" x14ac:dyDescent="0.2">
      <c r="A41" s="56" t="s">
        <v>79</v>
      </c>
      <c r="B41" s="88">
        <v>81</v>
      </c>
      <c r="C41" s="97">
        <v>45938</v>
      </c>
      <c r="D41" s="97">
        <f t="shared" si="4"/>
        <v>45940</v>
      </c>
      <c r="E41" s="97">
        <f t="shared" si="4"/>
        <v>45944</v>
      </c>
      <c r="F41" s="97">
        <f t="shared" si="4"/>
        <v>45948</v>
      </c>
      <c r="G41" s="97">
        <f t="shared" si="4"/>
        <v>45953</v>
      </c>
      <c r="H41" s="97">
        <f t="shared" si="4"/>
        <v>45968</v>
      </c>
      <c r="I41" s="97">
        <f t="shared" si="4"/>
        <v>45998</v>
      </c>
      <c r="L41" s="98" t="s">
        <v>140</v>
      </c>
      <c r="M41" s="98" t="s">
        <v>37</v>
      </c>
      <c r="N41" s="104">
        <v>45910</v>
      </c>
      <c r="O41" s="98">
        <v>62.1</v>
      </c>
      <c r="P41" s="98">
        <f>INDEX($C$1:$I$1,MATCH(Tabel3[[#This Row],[Type]],Devoirs[[#Headers],[J0]:[J60]],0))</f>
        <v>2</v>
      </c>
      <c r="Q41" s="105" cm="1">
        <f t="array" aca="1" ref="Q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45908.555729166677</v>
      </c>
      <c r="R41" s="105">
        <f ca="1">MAX(Tabel3[[#This Row],[jour]]+$R$3,IF(ROW()-ROW(Tabel3[[#Headers],[debut]])=1,DATE(2025,9,1)+$R$3,OFFSET(Tabel3[[#This Row],[fin]],-1,)))</f>
        <v>45910.443402777797</v>
      </c>
      <c r="S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45910.486527777794</v>
      </c>
      <c r="T41" s="102">
        <f ca="1">--(Tabel3[[#This Row],[jour]]&lt;&gt;TRUNC(Tabel3[[#This Row],[fin]]))</f>
        <v>0</v>
      </c>
      <c r="U41" s="102">
        <f ca="1">IF(Tabel3[[#This Row],[Type]]="j0",0,--(TRUNC(Tabel3[[#This Row],[debut]])-TRUNC(Tabel3[[#This Row],[fin precedent]])&lt;Tabel3[[#This Row],[delai]]))</f>
        <v>0</v>
      </c>
      <c r="X41" s="95">
        <v>45937</v>
      </c>
      <c r="Y41" s="96">
        <v>736.5</v>
      </c>
    </row>
    <row r="42" spans="1:25" ht="18" customHeight="1" x14ac:dyDescent="0.2">
      <c r="A42" s="56" t="s">
        <v>80</v>
      </c>
      <c r="B42" s="88">
        <v>49</v>
      </c>
      <c r="C42" s="97">
        <v>45916</v>
      </c>
      <c r="D42" s="97">
        <f t="shared" si="4"/>
        <v>45918</v>
      </c>
      <c r="E42" s="97">
        <f t="shared" si="4"/>
        <v>45922</v>
      </c>
      <c r="F42" s="97">
        <f t="shared" si="4"/>
        <v>45926</v>
      </c>
      <c r="G42" s="97">
        <f t="shared" si="4"/>
        <v>45931</v>
      </c>
      <c r="H42" s="97">
        <f t="shared" si="4"/>
        <v>45946</v>
      </c>
      <c r="I42" s="97">
        <f t="shared" si="4"/>
        <v>45976</v>
      </c>
      <c r="L42" s="98" t="s">
        <v>133</v>
      </c>
      <c r="M42" s="98" t="s">
        <v>37</v>
      </c>
      <c r="N42" s="104">
        <v>45910</v>
      </c>
      <c r="O42" s="98">
        <v>70.2</v>
      </c>
      <c r="P42" s="98">
        <f>INDEX($C$1:$I$1,MATCH(Tabel3[[#This Row],[Type]],Devoirs[[#Headers],[J0]:[J60]],0))</f>
        <v>2</v>
      </c>
      <c r="Q42" s="105" cm="1">
        <f t="array" aca="1" ref="Q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45908.609895833346</v>
      </c>
      <c r="R42" s="105">
        <f ca="1">MAX(Tabel3[[#This Row],[jour]]+$R$3,IF(ROW()-ROW(Tabel3[[#Headers],[debut]])=1,DATE(2025,9,1)+$R$3,OFFSET(Tabel3[[#This Row],[fin]],-1,)))</f>
        <v>45910.486527777794</v>
      </c>
      <c r="S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45910.535277777795</v>
      </c>
      <c r="T42" s="102">
        <f ca="1">--(Tabel3[[#This Row],[jour]]&lt;&gt;TRUNC(Tabel3[[#This Row],[fin]]))</f>
        <v>0</v>
      </c>
      <c r="U42" s="102">
        <f ca="1">IF(Tabel3[[#This Row],[Type]]="j0",0,--(TRUNC(Tabel3[[#This Row],[debut]])-TRUNC(Tabel3[[#This Row],[fin precedent]])&lt;Tabel3[[#This Row],[delai]]))</f>
        <v>0</v>
      </c>
      <c r="X42" s="95">
        <v>45938</v>
      </c>
      <c r="Y42" s="96">
        <v>723.55</v>
      </c>
    </row>
    <row r="43" spans="1:25" ht="18" customHeight="1" x14ac:dyDescent="0.2">
      <c r="A43" s="56" t="s">
        <v>81</v>
      </c>
      <c r="B43" s="88">
        <v>106</v>
      </c>
      <c r="C43" s="97">
        <v>45933</v>
      </c>
      <c r="D43" s="97">
        <f t="shared" si="4"/>
        <v>45935</v>
      </c>
      <c r="E43" s="97">
        <f t="shared" si="4"/>
        <v>45939</v>
      </c>
      <c r="F43" s="97">
        <f t="shared" si="4"/>
        <v>45943</v>
      </c>
      <c r="G43" s="97">
        <f t="shared" si="4"/>
        <v>45948</v>
      </c>
      <c r="H43" s="97">
        <f t="shared" si="4"/>
        <v>45963</v>
      </c>
      <c r="I43" s="97">
        <f t="shared" si="4"/>
        <v>45993</v>
      </c>
      <c r="L43" s="98" t="s">
        <v>376</v>
      </c>
      <c r="M43" s="98" t="s">
        <v>37</v>
      </c>
      <c r="N43" s="104">
        <v>45910</v>
      </c>
      <c r="O43" s="98">
        <v>74.7</v>
      </c>
      <c r="P43" s="98">
        <f>INDEX($C$1:$I$1,MATCH(Tabel3[[#This Row],[Type]],Devoirs[[#Headers],[J0]:[J60]],0))</f>
        <v>2</v>
      </c>
      <c r="Q43" s="105" cm="1">
        <f t="array" aca="1" ref="Q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45908.667534722234</v>
      </c>
      <c r="R43" s="105">
        <f ca="1">MAX(Tabel3[[#This Row],[jour]]+$R$3,IF(ROW()-ROW(Tabel3[[#Headers],[debut]])=1,DATE(2025,9,1)+$R$3,OFFSET(Tabel3[[#This Row],[fin]],-1,)))</f>
        <v>45910.535277777795</v>
      </c>
      <c r="S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45910.587152777793</v>
      </c>
      <c r="T43" s="102">
        <f ca="1">--(Tabel3[[#This Row],[jour]]&lt;&gt;TRUNC(Tabel3[[#This Row],[fin]]))</f>
        <v>0</v>
      </c>
      <c r="U43" s="102">
        <f ca="1">IF(Tabel3[[#This Row],[Type]]="j0",0,--(TRUNC(Tabel3[[#This Row],[debut]])-TRUNC(Tabel3[[#This Row],[fin precedent]])&lt;Tabel3[[#This Row],[delai]]))</f>
        <v>0</v>
      </c>
      <c r="X43" s="95">
        <v>45939</v>
      </c>
      <c r="Y43" s="96">
        <v>1158.9499999999998</v>
      </c>
    </row>
    <row r="44" spans="1:25" ht="18" customHeight="1" x14ac:dyDescent="0.2">
      <c r="A44" s="56" t="s">
        <v>82</v>
      </c>
      <c r="B44" s="88">
        <v>31</v>
      </c>
      <c r="C44" s="97">
        <v>45918</v>
      </c>
      <c r="D44" s="97">
        <f t="shared" si="4"/>
        <v>45920</v>
      </c>
      <c r="E44" s="97">
        <f t="shared" si="4"/>
        <v>45924</v>
      </c>
      <c r="F44" s="97">
        <f t="shared" si="4"/>
        <v>45928</v>
      </c>
      <c r="G44" s="97">
        <f t="shared" si="4"/>
        <v>45933</v>
      </c>
      <c r="H44" s="97">
        <f t="shared" si="4"/>
        <v>45948</v>
      </c>
      <c r="I44" s="97">
        <f t="shared" si="4"/>
        <v>45978</v>
      </c>
      <c r="L44" s="98" t="s">
        <v>115</v>
      </c>
      <c r="M44" s="98" t="s">
        <v>37</v>
      </c>
      <c r="N44" s="104">
        <v>45910</v>
      </c>
      <c r="O44" s="98">
        <v>76.5</v>
      </c>
      <c r="P44" s="98">
        <f>INDEX($C$1:$I$1,MATCH(Tabel3[[#This Row],[Type]],Devoirs[[#Headers],[J0]:[J60]],0))</f>
        <v>2</v>
      </c>
      <c r="Q44" s="105" cm="1">
        <f t="array" aca="1" ref="Q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45908.726562500015</v>
      </c>
      <c r="R44" s="105">
        <f ca="1">MAX(Tabel3[[#This Row],[jour]]+$R$3,IF(ROW()-ROW(Tabel3[[#Headers],[debut]])=1,DATE(2025,9,1)+$R$3,OFFSET(Tabel3[[#This Row],[fin]],-1,)))</f>
        <v>45910.587152777793</v>
      </c>
      <c r="S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45910.640277777791</v>
      </c>
      <c r="T44" s="102">
        <f ca="1">--(Tabel3[[#This Row],[jour]]&lt;&gt;TRUNC(Tabel3[[#This Row],[fin]]))</f>
        <v>0</v>
      </c>
      <c r="U44" s="102">
        <f ca="1">IF(Tabel3[[#This Row],[Type]]="j0",0,--(TRUNC(Tabel3[[#This Row],[debut]])-TRUNC(Tabel3[[#This Row],[fin precedent]])&lt;Tabel3[[#This Row],[delai]]))</f>
        <v>0</v>
      </c>
      <c r="X44" s="95">
        <v>45940</v>
      </c>
      <c r="Y44" s="96">
        <v>609.29999999999995</v>
      </c>
    </row>
    <row r="45" spans="1:25" ht="18" customHeight="1" x14ac:dyDescent="0.2">
      <c r="A45" s="56" t="s">
        <v>83</v>
      </c>
      <c r="B45" s="88">
        <v>111</v>
      </c>
      <c r="C45" s="97">
        <v>45909</v>
      </c>
      <c r="D45" s="97">
        <f t="shared" si="4"/>
        <v>45911</v>
      </c>
      <c r="E45" s="97">
        <f t="shared" si="4"/>
        <v>45915</v>
      </c>
      <c r="F45" s="97">
        <f t="shared" si="4"/>
        <v>45919</v>
      </c>
      <c r="G45" s="97">
        <f t="shared" si="4"/>
        <v>45924</v>
      </c>
      <c r="H45" s="97">
        <f t="shared" si="4"/>
        <v>45939</v>
      </c>
      <c r="I45" s="97">
        <f t="shared" si="4"/>
        <v>45969</v>
      </c>
      <c r="L45" s="98" t="s">
        <v>113</v>
      </c>
      <c r="M45" s="98" t="s">
        <v>37</v>
      </c>
      <c r="N45" s="104">
        <v>45910</v>
      </c>
      <c r="O45" s="98">
        <v>83.7</v>
      </c>
      <c r="P45" s="98">
        <f>INDEX($C$1:$I$1,MATCH(Tabel3[[#This Row],[Type]],Devoirs[[#Headers],[J0]:[J60]],0))</f>
        <v>2</v>
      </c>
      <c r="Q45" s="105" cm="1">
        <f t="array" aca="1" ref="Q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45909.374479166683</v>
      </c>
      <c r="R45" s="105">
        <f ca="1">MAX(Tabel3[[#This Row],[jour]]+$R$3,IF(ROW()-ROW(Tabel3[[#Headers],[debut]])=1,DATE(2025,9,1)+$R$3,OFFSET(Tabel3[[#This Row],[fin]],-1,)))</f>
        <v>45910.640277777791</v>
      </c>
      <c r="S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45910.698402777794</v>
      </c>
      <c r="T45" s="102">
        <f ca="1">--(Tabel3[[#This Row],[jour]]&lt;&gt;TRUNC(Tabel3[[#This Row],[fin]]))</f>
        <v>0</v>
      </c>
      <c r="U45" s="102">
        <f ca="1">IF(Tabel3[[#This Row],[Type]]="j0",0,--(TRUNC(Tabel3[[#This Row],[debut]])-TRUNC(Tabel3[[#This Row],[fin precedent]])&lt;Tabel3[[#This Row],[delai]]))</f>
        <v>1</v>
      </c>
      <c r="X45" s="95">
        <v>45941</v>
      </c>
      <c r="Y45" s="96">
        <v>374.09999999999997</v>
      </c>
    </row>
    <row r="46" spans="1:25" ht="18" customHeight="1" x14ac:dyDescent="0.2">
      <c r="A46" s="57" t="s">
        <v>84</v>
      </c>
      <c r="B46" s="88">
        <v>40</v>
      </c>
      <c r="C46" s="97">
        <v>45924</v>
      </c>
      <c r="D46" s="97">
        <f t="shared" si="4"/>
        <v>45926</v>
      </c>
      <c r="E46" s="97">
        <f t="shared" si="4"/>
        <v>45930</v>
      </c>
      <c r="F46" s="97">
        <f t="shared" si="4"/>
        <v>45934</v>
      </c>
      <c r="G46" s="97">
        <f t="shared" si="4"/>
        <v>45939</v>
      </c>
      <c r="H46" s="97">
        <f t="shared" si="4"/>
        <v>45954</v>
      </c>
      <c r="I46" s="97">
        <f t="shared" si="4"/>
        <v>45984</v>
      </c>
      <c r="L46" s="98" t="s">
        <v>130</v>
      </c>
      <c r="M46" s="98" t="s">
        <v>37</v>
      </c>
      <c r="N46" s="104">
        <v>45910</v>
      </c>
      <c r="O46" s="98">
        <v>90.9</v>
      </c>
      <c r="P46" s="98">
        <f>INDEX($C$1:$I$1,MATCH(Tabel3[[#This Row],[Type]],Devoirs[[#Headers],[J0]:[J60]],0))</f>
        <v>2</v>
      </c>
      <c r="Q46" s="105" cm="1">
        <f t="array" aca="1" ref="Q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45909.444618055575</v>
      </c>
      <c r="R46" s="105">
        <f ca="1">MAX(Tabel3[[#This Row],[jour]]+$R$3,IF(ROW()-ROW(Tabel3[[#Headers],[debut]])=1,DATE(2025,9,1)+$R$3,OFFSET(Tabel3[[#This Row],[fin]],-1,)))</f>
        <v>45910.698402777794</v>
      </c>
      <c r="S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45911.344861111131</v>
      </c>
      <c r="T46" s="102">
        <f ca="1">--(Tabel3[[#This Row],[jour]]&lt;&gt;TRUNC(Tabel3[[#This Row],[fin]]))</f>
        <v>1</v>
      </c>
      <c r="U46" s="102">
        <f ca="1">IF(Tabel3[[#This Row],[Type]]="j0",0,--(TRUNC(Tabel3[[#This Row],[debut]])-TRUNC(Tabel3[[#This Row],[fin precedent]])&lt;Tabel3[[#This Row],[delai]]))</f>
        <v>1</v>
      </c>
      <c r="X46" s="95">
        <v>45942</v>
      </c>
      <c r="Y46" s="96">
        <v>479.99999999999994</v>
      </c>
    </row>
    <row r="47" spans="1:25" ht="18" customHeight="1" x14ac:dyDescent="0.2">
      <c r="A47" s="46" t="s">
        <v>85</v>
      </c>
      <c r="B47" s="46"/>
      <c r="C47" s="97"/>
      <c r="D47" s="97" t="str">
        <f t="shared" si="4"/>
        <v/>
      </c>
      <c r="E47" s="97" t="str">
        <f t="shared" si="4"/>
        <v/>
      </c>
      <c r="F47" s="97" t="str">
        <f t="shared" si="4"/>
        <v/>
      </c>
      <c r="G47" s="97" t="str">
        <f t="shared" si="4"/>
        <v/>
      </c>
      <c r="H47" s="97" t="str">
        <f t="shared" si="4"/>
        <v/>
      </c>
      <c r="I47" s="97" t="str">
        <f t="shared" si="4"/>
        <v/>
      </c>
      <c r="L47" s="98" t="s">
        <v>106</v>
      </c>
      <c r="M47" s="98" t="s">
        <v>37</v>
      </c>
      <c r="N47" s="104">
        <v>45910</v>
      </c>
      <c r="O47" s="98">
        <v>95.4</v>
      </c>
      <c r="P47" s="98">
        <f>INDEX($C$1:$I$1,MATCH(Tabel3[[#This Row],[Type]],Devoirs[[#Headers],[J0]:[J60]],0))</f>
        <v>2</v>
      </c>
      <c r="Q47" s="105" cm="1">
        <f t="array" aca="1" ref="Q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45909.518229166686</v>
      </c>
      <c r="R47" s="105">
        <f ca="1">MAX(Tabel3[[#This Row],[jour]]+$R$3,IF(ROW()-ROW(Tabel3[[#Headers],[debut]])=1,DATE(2025,9,1)+$R$3,OFFSET(Tabel3[[#This Row],[fin]],-1,)))</f>
        <v>45911.344861111131</v>
      </c>
      <c r="S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45911.411111111134</v>
      </c>
      <c r="T47" s="102">
        <f ca="1">--(Tabel3[[#This Row],[jour]]&lt;&gt;TRUNC(Tabel3[[#This Row],[fin]]))</f>
        <v>1</v>
      </c>
      <c r="U47" s="102">
        <f ca="1">IF(Tabel3[[#This Row],[Type]]="j0",0,--(TRUNC(Tabel3[[#This Row],[debut]])-TRUNC(Tabel3[[#This Row],[fin precedent]])&lt;Tabel3[[#This Row],[delai]]))</f>
        <v>0</v>
      </c>
      <c r="X47" s="95">
        <v>45943</v>
      </c>
      <c r="Y47" s="96">
        <v>435</v>
      </c>
    </row>
    <row r="48" spans="1:25" ht="18" customHeight="1" x14ac:dyDescent="0.2">
      <c r="A48" s="61" t="s">
        <v>86</v>
      </c>
      <c r="B48" s="89">
        <v>110</v>
      </c>
      <c r="C48" s="97">
        <v>45918</v>
      </c>
      <c r="D48" s="97">
        <f t="shared" si="4"/>
        <v>45920</v>
      </c>
      <c r="E48" s="97">
        <f t="shared" si="4"/>
        <v>45924</v>
      </c>
      <c r="F48" s="97">
        <f t="shared" si="4"/>
        <v>45928</v>
      </c>
      <c r="G48" s="97">
        <f t="shared" si="4"/>
        <v>45933</v>
      </c>
      <c r="H48" s="97">
        <f t="shared" si="4"/>
        <v>45948</v>
      </c>
      <c r="I48" s="97">
        <f t="shared" si="4"/>
        <v>45978</v>
      </c>
      <c r="L48" s="98" t="s">
        <v>141</v>
      </c>
      <c r="M48" s="98" t="s">
        <v>38</v>
      </c>
      <c r="N48" s="104">
        <v>45911</v>
      </c>
      <c r="O48" s="98">
        <v>47.25</v>
      </c>
      <c r="P48" s="98">
        <f>INDEX($C$1:$I$1,MATCH(Tabel3[[#This Row],[Type]],Devoirs[[#Headers],[J0]:[J60]],0))</f>
        <v>4</v>
      </c>
      <c r="Q48" s="105" cm="1">
        <f t="array" aca="1" ref="Q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45907.389375000006</v>
      </c>
      <c r="R48" s="105">
        <f ca="1">MAX(Tabel3[[#This Row],[jour]]+$R$3,IF(ROW()-ROW(Tabel3[[#Headers],[debut]])=1,DATE(2025,9,1)+$R$3,OFFSET(Tabel3[[#This Row],[fin]],-1,)))</f>
        <v>45911.411111111134</v>
      </c>
      <c r="S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45911.443923611136</v>
      </c>
      <c r="T48" s="102">
        <f ca="1">--(Tabel3[[#This Row],[jour]]&lt;&gt;TRUNC(Tabel3[[#This Row],[fin]]))</f>
        <v>0</v>
      </c>
      <c r="U48" s="102">
        <f ca="1">IF(Tabel3[[#This Row],[Type]]="j0",0,--(TRUNC(Tabel3[[#This Row],[debut]])-TRUNC(Tabel3[[#This Row],[fin precedent]])&lt;Tabel3[[#This Row],[delai]]))</f>
        <v>0</v>
      </c>
      <c r="X48" s="95">
        <v>45944</v>
      </c>
      <c r="Y48" s="96">
        <v>174.9</v>
      </c>
    </row>
    <row r="49" spans="1:25" ht="18" customHeight="1" x14ac:dyDescent="0.2">
      <c r="A49" s="62" t="s">
        <v>87</v>
      </c>
      <c r="B49" s="89">
        <v>36</v>
      </c>
      <c r="C49" s="97">
        <v>45925</v>
      </c>
      <c r="D49" s="97">
        <f t="shared" si="4"/>
        <v>45927</v>
      </c>
      <c r="E49" s="97">
        <f t="shared" si="4"/>
        <v>45931</v>
      </c>
      <c r="F49" s="97">
        <f t="shared" si="4"/>
        <v>45935</v>
      </c>
      <c r="G49" s="97">
        <f t="shared" si="4"/>
        <v>45940</v>
      </c>
      <c r="H49" s="97">
        <f t="shared" si="4"/>
        <v>45955</v>
      </c>
      <c r="I49" s="97">
        <f t="shared" si="4"/>
        <v>45985</v>
      </c>
      <c r="L49" s="98" t="s">
        <v>128</v>
      </c>
      <c r="M49" s="98" t="s">
        <v>37</v>
      </c>
      <c r="N49" s="104">
        <v>45911</v>
      </c>
      <c r="O49" s="98">
        <v>63</v>
      </c>
      <c r="P49" s="98">
        <f>INDEX($C$1:$I$1,MATCH(Tabel3[[#This Row],[Type]],Devoirs[[#Headers],[J0]:[J60]],0))</f>
        <v>2</v>
      </c>
      <c r="Q49" s="105" cm="1">
        <f t="array" aca="1" ref="Q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45909.707986111134</v>
      </c>
      <c r="R49" s="105">
        <f ca="1">MAX(Tabel3[[#This Row],[jour]]+$R$3,IF(ROW()-ROW(Tabel3[[#Headers],[debut]])=1,DATE(2025,9,1)+$R$3,OFFSET(Tabel3[[#This Row],[fin]],-1,)))</f>
        <v>45911.443923611136</v>
      </c>
      <c r="S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45911.487673611133</v>
      </c>
      <c r="T49" s="102">
        <f ca="1">--(Tabel3[[#This Row],[jour]]&lt;&gt;TRUNC(Tabel3[[#This Row],[fin]]))</f>
        <v>0</v>
      </c>
      <c r="U49" s="102">
        <f ca="1">IF(Tabel3[[#This Row],[Type]]="j0",0,--(TRUNC(Tabel3[[#This Row],[debut]])-TRUNC(Tabel3[[#This Row],[fin precedent]])&lt;Tabel3[[#This Row],[delai]]))</f>
        <v>0</v>
      </c>
      <c r="X49" s="95">
        <v>45945</v>
      </c>
      <c r="Y49" s="96">
        <v>325.65000000000003</v>
      </c>
    </row>
    <row r="50" spans="1:25" ht="18" customHeight="1" x14ac:dyDescent="0.2">
      <c r="A50" s="62" t="s">
        <v>88</v>
      </c>
      <c r="B50" s="89">
        <v>113</v>
      </c>
      <c r="C50" s="97">
        <v>45902</v>
      </c>
      <c r="D50" s="97">
        <f t="shared" si="4"/>
        <v>45904</v>
      </c>
      <c r="E50" s="97">
        <f t="shared" si="4"/>
        <v>45908</v>
      </c>
      <c r="F50" s="97">
        <f t="shared" si="4"/>
        <v>45912</v>
      </c>
      <c r="G50" s="97">
        <f t="shared" si="4"/>
        <v>45917</v>
      </c>
      <c r="H50" s="97">
        <f t="shared" si="4"/>
        <v>45932</v>
      </c>
      <c r="I50" s="97">
        <f t="shared" si="4"/>
        <v>45962</v>
      </c>
      <c r="L50" s="98" t="s">
        <v>373</v>
      </c>
      <c r="M50" s="98" t="s">
        <v>37</v>
      </c>
      <c r="N50" s="104">
        <v>45911</v>
      </c>
      <c r="O50" s="98">
        <v>97.2</v>
      </c>
      <c r="P50" s="98">
        <f>INDEX($C$1:$I$1,MATCH(Tabel3[[#This Row],[Type]],Devoirs[[#Headers],[J0]:[J60]],0))</f>
        <v>2</v>
      </c>
      <c r="Q50" s="105" cm="1">
        <f t="array" aca="1" ref="Q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45910.366319444467</v>
      </c>
      <c r="R50" s="105">
        <f ca="1">MAX(Tabel3[[#This Row],[jour]]+$R$3,IF(ROW()-ROW(Tabel3[[#Headers],[debut]])=1,DATE(2025,9,1)+$R$3,OFFSET(Tabel3[[#This Row],[fin]],-1,)))</f>
        <v>45911.487673611133</v>
      </c>
      <c r="S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45911.55517361113</v>
      </c>
      <c r="T50" s="102">
        <f ca="1">--(Tabel3[[#This Row],[jour]]&lt;&gt;TRUNC(Tabel3[[#This Row],[fin]]))</f>
        <v>0</v>
      </c>
      <c r="U50" s="102">
        <f ca="1">IF(Tabel3[[#This Row],[Type]]="j0",0,--(TRUNC(Tabel3[[#This Row],[debut]])-TRUNC(Tabel3[[#This Row],[fin precedent]])&lt;Tabel3[[#This Row],[delai]]))</f>
        <v>1</v>
      </c>
      <c r="X50" s="95">
        <v>45946</v>
      </c>
      <c r="Y50" s="96">
        <v>433.8</v>
      </c>
    </row>
    <row r="51" spans="1:25" ht="18" customHeight="1" x14ac:dyDescent="0.2">
      <c r="A51" s="62" t="s">
        <v>89</v>
      </c>
      <c r="B51" s="89">
        <v>66</v>
      </c>
      <c r="C51" s="97">
        <v>45903</v>
      </c>
      <c r="D51" s="97">
        <f t="shared" si="4"/>
        <v>45905</v>
      </c>
      <c r="E51" s="97">
        <f t="shared" si="4"/>
        <v>45909</v>
      </c>
      <c r="F51" s="97">
        <f t="shared" si="4"/>
        <v>45913</v>
      </c>
      <c r="G51" s="97">
        <f t="shared" si="4"/>
        <v>45918</v>
      </c>
      <c r="H51" s="97">
        <f t="shared" si="4"/>
        <v>45933</v>
      </c>
      <c r="I51" s="97">
        <f t="shared" si="4"/>
        <v>45963</v>
      </c>
      <c r="L51" s="98" t="s">
        <v>83</v>
      </c>
      <c r="M51" s="98" t="s">
        <v>37</v>
      </c>
      <c r="N51" s="104">
        <v>45911</v>
      </c>
      <c r="O51" s="98">
        <v>99.9</v>
      </c>
      <c r="P51" s="98">
        <f>INDEX($C$1:$I$1,MATCH(Tabel3[[#This Row],[Type]],Devoirs[[#Headers],[J0]:[J60]],0))</f>
        <v>2</v>
      </c>
      <c r="Q51" s="105" cm="1">
        <f t="array" aca="1" ref="Q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45910.443402777797</v>
      </c>
      <c r="R51" s="105">
        <f ca="1">MAX(Tabel3[[#This Row],[jour]]+$R$3,IF(ROW()-ROW(Tabel3[[#Headers],[debut]])=1,DATE(2025,9,1)+$R$3,OFFSET(Tabel3[[#This Row],[fin]],-1,)))</f>
        <v>45911.55517361113</v>
      </c>
      <c r="S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45911.624548611129</v>
      </c>
      <c r="T51" s="102">
        <f ca="1">--(Tabel3[[#This Row],[jour]]&lt;&gt;TRUNC(Tabel3[[#This Row],[fin]]))</f>
        <v>0</v>
      </c>
      <c r="U51" s="102">
        <f ca="1">IF(Tabel3[[#This Row],[Type]]="j0",0,--(TRUNC(Tabel3[[#This Row],[debut]])-TRUNC(Tabel3[[#This Row],[fin precedent]])&lt;Tabel3[[#This Row],[delai]]))</f>
        <v>1</v>
      </c>
      <c r="X51" s="95">
        <v>45947</v>
      </c>
      <c r="Y51" s="96">
        <v>455.84999999999991</v>
      </c>
    </row>
    <row r="52" spans="1:25" ht="18" customHeight="1" x14ac:dyDescent="0.2">
      <c r="A52" s="62" t="s">
        <v>90</v>
      </c>
      <c r="B52" s="89">
        <v>100</v>
      </c>
      <c r="C52" s="97">
        <v>45903</v>
      </c>
      <c r="D52" s="97">
        <f t="shared" si="4"/>
        <v>45905</v>
      </c>
      <c r="E52" s="97">
        <f t="shared" si="4"/>
        <v>45909</v>
      </c>
      <c r="F52" s="97">
        <f t="shared" si="4"/>
        <v>45913</v>
      </c>
      <c r="G52" s="97">
        <f t="shared" si="4"/>
        <v>45918</v>
      </c>
      <c r="H52" s="97">
        <f t="shared" si="4"/>
        <v>45933</v>
      </c>
      <c r="I52" s="97">
        <f t="shared" si="4"/>
        <v>45963</v>
      </c>
      <c r="L52" s="98" t="s">
        <v>138</v>
      </c>
      <c r="M52" s="98" t="s">
        <v>39</v>
      </c>
      <c r="N52" s="104">
        <v>45911</v>
      </c>
      <c r="O52" s="98">
        <v>19.2</v>
      </c>
      <c r="P52" s="98">
        <f>INDEX($C$1:$I$1,MATCH(Tabel3[[#This Row],[Type]],Devoirs[[#Headers],[J0]:[J60]],0))</f>
        <v>4</v>
      </c>
      <c r="Q52" s="105" cm="1">
        <f t="array" aca="1" ref="Q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45907.350000000006</v>
      </c>
      <c r="R52" s="105">
        <f ca="1">MAX(Tabel3[[#This Row],[jour]]+$R$3,IF(ROW()-ROW(Tabel3[[#Headers],[debut]])=1,DATE(2025,9,1)+$R$3,OFFSET(Tabel3[[#This Row],[fin]],-1,)))</f>
        <v>45911.624548611129</v>
      </c>
      <c r="S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45911.637881944465</v>
      </c>
      <c r="T52" s="102">
        <f ca="1">--(Tabel3[[#This Row],[jour]]&lt;&gt;TRUNC(Tabel3[[#This Row],[fin]]))</f>
        <v>0</v>
      </c>
      <c r="U52" s="102">
        <f ca="1">IF(Tabel3[[#This Row],[Type]]="j0",0,--(TRUNC(Tabel3[[#This Row],[debut]])-TRUNC(Tabel3[[#This Row],[fin precedent]])&lt;Tabel3[[#This Row],[delai]]))</f>
        <v>0</v>
      </c>
      <c r="X52" s="95">
        <v>45948</v>
      </c>
      <c r="Y52" s="96">
        <v>356.70000000000005</v>
      </c>
    </row>
    <row r="53" spans="1:25" ht="18" customHeight="1" x14ac:dyDescent="0.2">
      <c r="A53" s="62" t="s">
        <v>91</v>
      </c>
      <c r="B53" s="89">
        <v>71</v>
      </c>
      <c r="C53" s="97">
        <v>45936</v>
      </c>
      <c r="D53" s="97">
        <f t="shared" si="4"/>
        <v>45938</v>
      </c>
      <c r="E53" s="97">
        <f t="shared" si="4"/>
        <v>45942</v>
      </c>
      <c r="F53" s="97">
        <f t="shared" si="4"/>
        <v>45946</v>
      </c>
      <c r="G53" s="97">
        <f t="shared" si="4"/>
        <v>45951</v>
      </c>
      <c r="H53" s="97">
        <f t="shared" si="4"/>
        <v>45966</v>
      </c>
      <c r="I53" s="97">
        <f t="shared" si="4"/>
        <v>45996</v>
      </c>
      <c r="L53" s="98" t="s">
        <v>374</v>
      </c>
      <c r="M53" s="98" t="s">
        <v>1</v>
      </c>
      <c r="N53" s="104">
        <v>45911</v>
      </c>
      <c r="O53" s="98">
        <v>54</v>
      </c>
      <c r="P53" s="98">
        <f>INDEX($C$1:$I$1,MATCH(Tabel3[[#This Row],[Type]],Devoirs[[#Headers],[J0]:[J60]],0))</f>
        <v>0</v>
      </c>
      <c r="Q53" s="105" t="str" cm="1">
        <f t="array" ref="Q5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53" s="105">
        <f ca="1">MAX(Tabel3[[#This Row],[jour]]+$R$3,IF(ROW()-ROW(Tabel3[[#Headers],[debut]])=1,DATE(2025,9,1)+$R$3,OFFSET(Tabel3[[#This Row],[fin]],-1,)))</f>
        <v>45911.637881944465</v>
      </c>
      <c r="S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45911.675381944464</v>
      </c>
      <c r="T53" s="102">
        <f ca="1">--(Tabel3[[#This Row],[jour]]&lt;&gt;TRUNC(Tabel3[[#This Row],[fin]]))</f>
        <v>0</v>
      </c>
      <c r="U53" s="102">
        <f>IF(Tabel3[[#This Row],[Type]]="j0",0,--(TRUNC(Tabel3[[#This Row],[debut]])-TRUNC(Tabel3[[#This Row],[fin precedent]])&lt;Tabel3[[#This Row],[delai]]))</f>
        <v>0</v>
      </c>
      <c r="X53" s="95">
        <v>45949</v>
      </c>
      <c r="Y53" s="96">
        <v>210.6</v>
      </c>
    </row>
    <row r="54" spans="1:25" ht="18" customHeight="1" x14ac:dyDescent="0.2">
      <c r="A54" s="62" t="s">
        <v>92</v>
      </c>
      <c r="B54" s="89">
        <v>99</v>
      </c>
      <c r="C54" s="97">
        <v>45918</v>
      </c>
      <c r="D54" s="97">
        <f t="shared" ref="D54:I69" si="5">IF($C54&gt;0,$C54+D$2,"")</f>
        <v>45920</v>
      </c>
      <c r="E54" s="97">
        <f t="shared" si="5"/>
        <v>45924</v>
      </c>
      <c r="F54" s="97">
        <f t="shared" si="5"/>
        <v>45928</v>
      </c>
      <c r="G54" s="97">
        <f t="shared" si="5"/>
        <v>45933</v>
      </c>
      <c r="H54" s="97">
        <f t="shared" si="5"/>
        <v>45948</v>
      </c>
      <c r="I54" s="97">
        <f t="shared" si="5"/>
        <v>45978</v>
      </c>
      <c r="L54" s="98" t="s">
        <v>61</v>
      </c>
      <c r="M54" s="98" t="s">
        <v>1</v>
      </c>
      <c r="N54" s="104">
        <v>45911</v>
      </c>
      <c r="O54" s="98">
        <v>63</v>
      </c>
      <c r="P54" s="98">
        <f>INDEX($C$1:$I$1,MATCH(Tabel3[[#This Row],[Type]],Devoirs[[#Headers],[J0]:[J60]],0))</f>
        <v>0</v>
      </c>
      <c r="Q54" s="105" t="str" cm="1">
        <f t="array" ref="Q5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54" s="105">
        <f ca="1">MAX(Tabel3[[#This Row],[jour]]+$R$3,IF(ROW()-ROW(Tabel3[[#Headers],[debut]])=1,DATE(2025,9,1)+$R$3,OFFSET(Tabel3[[#This Row],[fin]],-1,)))</f>
        <v>45911.675381944464</v>
      </c>
      <c r="S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45911.719131944461</v>
      </c>
      <c r="T54" s="102">
        <f ca="1">--(Tabel3[[#This Row],[jour]]&lt;&gt;TRUNC(Tabel3[[#This Row],[fin]]))</f>
        <v>0</v>
      </c>
      <c r="U54" s="102">
        <f>IF(Tabel3[[#This Row],[Type]]="j0",0,--(TRUNC(Tabel3[[#This Row],[debut]])-TRUNC(Tabel3[[#This Row],[fin precedent]])&lt;Tabel3[[#This Row],[delai]]))</f>
        <v>0</v>
      </c>
      <c r="X54" s="95">
        <v>45950</v>
      </c>
      <c r="Y54" s="96">
        <v>113.4</v>
      </c>
    </row>
    <row r="55" spans="1:25" ht="18" customHeight="1" x14ac:dyDescent="0.2">
      <c r="A55" s="62" t="s">
        <v>93</v>
      </c>
      <c r="B55" s="89">
        <v>78</v>
      </c>
      <c r="C55" s="97">
        <v>45923</v>
      </c>
      <c r="D55" s="97">
        <f t="shared" si="5"/>
        <v>45925</v>
      </c>
      <c r="E55" s="97">
        <f t="shared" si="5"/>
        <v>45929</v>
      </c>
      <c r="F55" s="97">
        <f t="shared" si="5"/>
        <v>45933</v>
      </c>
      <c r="G55" s="97">
        <f t="shared" si="5"/>
        <v>45938</v>
      </c>
      <c r="H55" s="97">
        <f t="shared" si="5"/>
        <v>45953</v>
      </c>
      <c r="I55" s="97">
        <f t="shared" si="5"/>
        <v>45983</v>
      </c>
      <c r="L55" s="98" t="s">
        <v>55</v>
      </c>
      <c r="M55" s="98" t="s">
        <v>39</v>
      </c>
      <c r="N55" s="104">
        <v>45912</v>
      </c>
      <c r="O55" s="98">
        <v>30.599999999999998</v>
      </c>
      <c r="P55" s="98">
        <f>INDEX($C$1:$I$1,MATCH(Tabel3[[#This Row],[Type]],Devoirs[[#Headers],[J0]:[J60]],0))</f>
        <v>4</v>
      </c>
      <c r="Q55" s="105" cm="1">
        <f t="array" aca="1" ref="Q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45908.359895833339</v>
      </c>
      <c r="R55" s="105">
        <f ca="1">MAX(Tabel3[[#This Row],[jour]]+$R$3,IF(ROW()-ROW(Tabel3[[#Headers],[debut]])=1,DATE(2025,9,1)+$R$3,OFFSET(Tabel3[[#This Row],[fin]],-1,)))</f>
        <v>45912.333333333336</v>
      </c>
      <c r="S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45912.354583333334</v>
      </c>
      <c r="T55" s="102">
        <f ca="1">--(Tabel3[[#This Row],[jour]]&lt;&gt;TRUNC(Tabel3[[#This Row],[fin]]))</f>
        <v>0</v>
      </c>
      <c r="U55" s="102">
        <f ca="1">IF(Tabel3[[#This Row],[Type]]="j0",0,--(TRUNC(Tabel3[[#This Row],[debut]])-TRUNC(Tabel3[[#This Row],[fin precedent]])&lt;Tabel3[[#This Row],[delai]]))</f>
        <v>0</v>
      </c>
      <c r="X55" s="95">
        <v>45951</v>
      </c>
      <c r="Y55" s="96">
        <v>63.9</v>
      </c>
    </row>
    <row r="56" spans="1:25" ht="18" customHeight="1" x14ac:dyDescent="0.2">
      <c r="A56" s="63" t="s">
        <v>94</v>
      </c>
      <c r="B56" s="89">
        <v>70</v>
      </c>
      <c r="C56" s="97">
        <v>45925</v>
      </c>
      <c r="D56" s="97">
        <f t="shared" si="5"/>
        <v>45927</v>
      </c>
      <c r="E56" s="97">
        <f t="shared" si="5"/>
        <v>45931</v>
      </c>
      <c r="F56" s="97">
        <f t="shared" si="5"/>
        <v>45935</v>
      </c>
      <c r="G56" s="97">
        <f t="shared" si="5"/>
        <v>45940</v>
      </c>
      <c r="H56" s="97">
        <f t="shared" si="5"/>
        <v>45955</v>
      </c>
      <c r="I56" s="97">
        <f t="shared" si="5"/>
        <v>45985</v>
      </c>
      <c r="L56" s="98" t="s">
        <v>62</v>
      </c>
      <c r="M56" s="98" t="s">
        <v>39</v>
      </c>
      <c r="N56" s="104">
        <v>45912</v>
      </c>
      <c r="O56" s="98">
        <v>47.4</v>
      </c>
      <c r="P56" s="98">
        <f>INDEX($C$1:$I$1,MATCH(Tabel3[[#This Row],[Type]],Devoirs[[#Headers],[J0]:[J60]],0))</f>
        <v>4</v>
      </c>
      <c r="Q56" s="105" cm="1">
        <f t="array" aca="1" ref="Q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45908.401041666672</v>
      </c>
      <c r="R56" s="105">
        <f ca="1">MAX(Tabel3[[#This Row],[jour]]+$R$3,IF(ROW()-ROW(Tabel3[[#Headers],[debut]])=1,DATE(2025,9,1)+$R$3,OFFSET(Tabel3[[#This Row],[fin]],-1,)))</f>
        <v>45912.354583333334</v>
      </c>
      <c r="S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45912.387499999997</v>
      </c>
      <c r="T56" s="102">
        <f ca="1">--(Tabel3[[#This Row],[jour]]&lt;&gt;TRUNC(Tabel3[[#This Row],[fin]]))</f>
        <v>0</v>
      </c>
      <c r="U56" s="102">
        <f ca="1">IF(Tabel3[[#This Row],[Type]]="j0",0,--(TRUNC(Tabel3[[#This Row],[debut]])-TRUNC(Tabel3[[#This Row],[fin precedent]])&lt;Tabel3[[#This Row],[delai]]))</f>
        <v>0</v>
      </c>
      <c r="X56" s="95">
        <v>45952</v>
      </c>
      <c r="Y56" s="96">
        <v>254.70000000000005</v>
      </c>
    </row>
    <row r="57" spans="1:25" ht="18" customHeight="1" x14ac:dyDescent="0.2">
      <c r="A57" s="46" t="s">
        <v>95</v>
      </c>
      <c r="B57" s="46"/>
      <c r="C57" s="97"/>
      <c r="D57" s="97" t="str">
        <f t="shared" si="5"/>
        <v/>
      </c>
      <c r="E57" s="97" t="str">
        <f t="shared" si="5"/>
        <v/>
      </c>
      <c r="F57" s="97" t="str">
        <f t="shared" si="5"/>
        <v/>
      </c>
      <c r="G57" s="97" t="str">
        <f t="shared" si="5"/>
        <v/>
      </c>
      <c r="H57" s="97" t="str">
        <f t="shared" si="5"/>
        <v/>
      </c>
      <c r="I57" s="97" t="str">
        <f t="shared" si="5"/>
        <v/>
      </c>
      <c r="L57" s="98" t="s">
        <v>114</v>
      </c>
      <c r="M57" s="98" t="s">
        <v>39</v>
      </c>
      <c r="N57" s="104">
        <v>45912</v>
      </c>
      <c r="O57" s="98">
        <v>55.199999999999996</v>
      </c>
      <c r="P57" s="98">
        <f>INDEX($C$1:$I$1,MATCH(Tabel3[[#This Row],[Type]],Devoirs[[#Headers],[J0]:[J60]],0))</f>
        <v>4</v>
      </c>
      <c r="Q57" s="105" cm="1">
        <f t="array" aca="1" ref="Q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45908.448958333342</v>
      </c>
      <c r="R57" s="105">
        <f ca="1">MAX(Tabel3[[#This Row],[jour]]+$R$3,IF(ROW()-ROW(Tabel3[[#Headers],[debut]])=1,DATE(2025,9,1)+$R$3,OFFSET(Tabel3[[#This Row],[fin]],-1,)))</f>
        <v>45912.387499999997</v>
      </c>
      <c r="S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45912.425833333327</v>
      </c>
      <c r="T57" s="102">
        <f ca="1">--(Tabel3[[#This Row],[jour]]&lt;&gt;TRUNC(Tabel3[[#This Row],[fin]]))</f>
        <v>0</v>
      </c>
      <c r="U57" s="102">
        <f ca="1">IF(Tabel3[[#This Row],[Type]]="j0",0,--(TRUNC(Tabel3[[#This Row],[debut]])-TRUNC(Tabel3[[#This Row],[fin precedent]])&lt;Tabel3[[#This Row],[delai]]))</f>
        <v>0</v>
      </c>
      <c r="X57" s="95">
        <v>45953</v>
      </c>
      <c r="Y57" s="96">
        <v>150.44999999999999</v>
      </c>
    </row>
    <row r="58" spans="1:25" ht="18" customHeight="1" x14ac:dyDescent="0.2">
      <c r="A58" s="58" t="s">
        <v>96</v>
      </c>
      <c r="B58" s="90">
        <v>64</v>
      </c>
      <c r="C58" s="97">
        <v>45912</v>
      </c>
      <c r="D58" s="97">
        <f t="shared" si="5"/>
        <v>45914</v>
      </c>
      <c r="E58" s="97">
        <f t="shared" si="5"/>
        <v>45918</v>
      </c>
      <c r="F58" s="97">
        <f t="shared" si="5"/>
        <v>45922</v>
      </c>
      <c r="G58" s="97">
        <f t="shared" si="5"/>
        <v>45927</v>
      </c>
      <c r="H58" s="97">
        <f t="shared" si="5"/>
        <v>45942</v>
      </c>
      <c r="I58" s="97">
        <f t="shared" si="5"/>
        <v>45972</v>
      </c>
      <c r="L58" s="98" t="s">
        <v>88</v>
      </c>
      <c r="M58" s="98" t="s">
        <v>39</v>
      </c>
      <c r="N58" s="104">
        <v>45912</v>
      </c>
      <c r="O58" s="98">
        <v>67.8</v>
      </c>
      <c r="P58" s="98">
        <f>INDEX($C$1:$I$1,MATCH(Tabel3[[#This Row],[Type]],Devoirs[[#Headers],[J0]:[J60]],0))</f>
        <v>4</v>
      </c>
      <c r="Q58" s="105" cm="1">
        <f t="array" aca="1" ref="Q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45908.507812500007</v>
      </c>
      <c r="R58" s="105">
        <f ca="1">MAX(Tabel3[[#This Row],[jour]]+$R$3,IF(ROW()-ROW(Tabel3[[#Headers],[debut]])=1,DATE(2025,9,1)+$R$3,OFFSET(Tabel3[[#This Row],[fin]],-1,)))</f>
        <v>45912.425833333327</v>
      </c>
      <c r="S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45912.472916666658</v>
      </c>
      <c r="T58" s="102">
        <f ca="1">--(Tabel3[[#This Row],[jour]]&lt;&gt;TRUNC(Tabel3[[#This Row],[fin]]))</f>
        <v>0</v>
      </c>
      <c r="U58" s="102">
        <f ca="1">IF(Tabel3[[#This Row],[Type]]="j0",0,--(TRUNC(Tabel3[[#This Row],[debut]])-TRUNC(Tabel3[[#This Row],[fin precedent]])&lt;Tabel3[[#This Row],[delai]]))</f>
        <v>0</v>
      </c>
      <c r="X58" s="95">
        <v>45954</v>
      </c>
      <c r="Y58" s="96">
        <v>249.29999999999998</v>
      </c>
    </row>
    <row r="59" spans="1:25" ht="18" customHeight="1" x14ac:dyDescent="0.2">
      <c r="A59" s="59" t="s">
        <v>97</v>
      </c>
      <c r="B59" s="90">
        <v>110</v>
      </c>
      <c r="C59" s="97">
        <v>45939</v>
      </c>
      <c r="D59" s="97">
        <f t="shared" si="5"/>
        <v>45941</v>
      </c>
      <c r="E59" s="97">
        <f t="shared" si="5"/>
        <v>45945</v>
      </c>
      <c r="F59" s="97">
        <f t="shared" si="5"/>
        <v>45949</v>
      </c>
      <c r="G59" s="97">
        <f t="shared" si="5"/>
        <v>45954</v>
      </c>
      <c r="H59" s="97">
        <f t="shared" si="5"/>
        <v>45969</v>
      </c>
      <c r="I59" s="97">
        <f t="shared" si="5"/>
        <v>45999</v>
      </c>
      <c r="L59" s="98" t="s">
        <v>118</v>
      </c>
      <c r="M59" s="98" t="s">
        <v>1</v>
      </c>
      <c r="N59" s="104">
        <v>45912</v>
      </c>
      <c r="O59" s="98">
        <v>45</v>
      </c>
      <c r="P59" s="98">
        <f>INDEX($C$1:$I$1,MATCH(Tabel3[[#This Row],[Type]],Devoirs[[#Headers],[J0]:[J60]],0))</f>
        <v>0</v>
      </c>
      <c r="Q59" s="105" t="str" cm="1">
        <f t="array" ref="Q5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59" s="105">
        <f ca="1">MAX(Tabel3[[#This Row],[jour]]+$R$3,IF(ROW()-ROW(Tabel3[[#Headers],[debut]])=1,DATE(2025,9,1)+$R$3,OFFSET(Tabel3[[#This Row],[fin]],-1,)))</f>
        <v>45912.472916666658</v>
      </c>
      <c r="S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45912.504166666658</v>
      </c>
      <c r="T59" s="102">
        <f ca="1">--(Tabel3[[#This Row],[jour]]&lt;&gt;TRUNC(Tabel3[[#This Row],[fin]]))</f>
        <v>0</v>
      </c>
      <c r="U59" s="102">
        <f>IF(Tabel3[[#This Row],[Type]]="j0",0,--(TRUNC(Tabel3[[#This Row],[debut]])-TRUNC(Tabel3[[#This Row],[fin precedent]])&lt;Tabel3[[#This Row],[delai]]))</f>
        <v>0</v>
      </c>
      <c r="X59" s="95">
        <v>45955</v>
      </c>
      <c r="Y59" s="96">
        <v>176.25</v>
      </c>
    </row>
    <row r="60" spans="1:25" ht="18" customHeight="1" x14ac:dyDescent="0.2">
      <c r="A60" s="59" t="s">
        <v>98</v>
      </c>
      <c r="B60" s="90">
        <v>90</v>
      </c>
      <c r="C60" s="97">
        <v>45917</v>
      </c>
      <c r="D60" s="97">
        <f t="shared" si="5"/>
        <v>45919</v>
      </c>
      <c r="E60" s="97">
        <f t="shared" si="5"/>
        <v>45923</v>
      </c>
      <c r="F60" s="97">
        <f t="shared" si="5"/>
        <v>45927</v>
      </c>
      <c r="G60" s="97">
        <f t="shared" si="5"/>
        <v>45932</v>
      </c>
      <c r="H60" s="97">
        <f t="shared" si="5"/>
        <v>45947</v>
      </c>
      <c r="I60" s="97">
        <f t="shared" si="5"/>
        <v>45977</v>
      </c>
      <c r="L60" s="98" t="s">
        <v>96</v>
      </c>
      <c r="M60" s="98" t="s">
        <v>1</v>
      </c>
      <c r="N60" s="104">
        <v>45912</v>
      </c>
      <c r="O60" s="98">
        <v>64</v>
      </c>
      <c r="P60" s="98">
        <f>INDEX($C$1:$I$1,MATCH(Tabel3[[#This Row],[Type]],Devoirs[[#Headers],[J0]:[J60]],0))</f>
        <v>0</v>
      </c>
      <c r="Q60" s="105" t="str" cm="1">
        <f t="array" ref="Q6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60" s="105">
        <f ca="1">MAX(Tabel3[[#This Row],[jour]]+$R$3,IF(ROW()-ROW(Tabel3[[#Headers],[debut]])=1,DATE(2025,9,1)+$R$3,OFFSET(Tabel3[[#This Row],[fin]],-1,)))</f>
        <v>45912.504166666658</v>
      </c>
      <c r="S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45912.548611111102</v>
      </c>
      <c r="T60" s="102">
        <f ca="1">--(Tabel3[[#This Row],[jour]]&lt;&gt;TRUNC(Tabel3[[#This Row],[fin]]))</f>
        <v>0</v>
      </c>
      <c r="U60" s="102">
        <f>IF(Tabel3[[#This Row],[Type]]="j0",0,--(TRUNC(Tabel3[[#This Row],[debut]])-TRUNC(Tabel3[[#This Row],[fin precedent]])&lt;Tabel3[[#This Row],[delai]]))</f>
        <v>0</v>
      </c>
      <c r="X60" s="95">
        <v>45959</v>
      </c>
      <c r="Y60" s="96">
        <v>56.099999999999994</v>
      </c>
    </row>
    <row r="61" spans="1:25" ht="18" customHeight="1" x14ac:dyDescent="0.2">
      <c r="A61" s="59" t="s">
        <v>99</v>
      </c>
      <c r="B61" s="90">
        <v>120</v>
      </c>
      <c r="C61" s="97">
        <v>45917</v>
      </c>
      <c r="D61" s="97">
        <f t="shared" si="5"/>
        <v>45919</v>
      </c>
      <c r="E61" s="97">
        <f t="shared" si="5"/>
        <v>45923</v>
      </c>
      <c r="F61" s="97">
        <f t="shared" si="5"/>
        <v>45927</v>
      </c>
      <c r="G61" s="97">
        <f t="shared" si="5"/>
        <v>45932</v>
      </c>
      <c r="H61" s="97">
        <f t="shared" si="5"/>
        <v>45947</v>
      </c>
      <c r="I61" s="97">
        <f t="shared" si="5"/>
        <v>45977</v>
      </c>
      <c r="L61" s="98" t="s">
        <v>78</v>
      </c>
      <c r="M61" s="98" t="s">
        <v>1</v>
      </c>
      <c r="N61" s="104">
        <v>45912</v>
      </c>
      <c r="O61" s="98">
        <v>87</v>
      </c>
      <c r="P61" s="98">
        <f>INDEX($C$1:$I$1,MATCH(Tabel3[[#This Row],[Type]],Devoirs[[#Headers],[J0]:[J60]],0))</f>
        <v>0</v>
      </c>
      <c r="Q61" s="105" t="str" cm="1">
        <f t="array" ref="Q6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61" s="105">
        <f ca="1">MAX(Tabel3[[#This Row],[jour]]+$R$3,IF(ROW()-ROW(Tabel3[[#Headers],[debut]])=1,DATE(2025,9,1)+$R$3,OFFSET(Tabel3[[#This Row],[fin]],-1,)))</f>
        <v>45912.548611111102</v>
      </c>
      <c r="S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45912.609027777769</v>
      </c>
      <c r="T61" s="102">
        <f ca="1">--(Tabel3[[#This Row],[jour]]&lt;&gt;TRUNC(Tabel3[[#This Row],[fin]]))</f>
        <v>0</v>
      </c>
      <c r="U61" s="102">
        <f>IF(Tabel3[[#This Row],[Type]]="j0",0,--(TRUNC(Tabel3[[#This Row],[debut]])-TRUNC(Tabel3[[#This Row],[fin precedent]])&lt;Tabel3[[#This Row],[delai]]))</f>
        <v>0</v>
      </c>
      <c r="X61" s="95">
        <v>45960</v>
      </c>
      <c r="Y61" s="96">
        <v>87.299999999999983</v>
      </c>
    </row>
    <row r="62" spans="1:25" ht="18" customHeight="1" x14ac:dyDescent="0.2">
      <c r="A62" s="59" t="s">
        <v>100</v>
      </c>
      <c r="B62" s="90">
        <v>100</v>
      </c>
      <c r="C62" s="97">
        <v>45924</v>
      </c>
      <c r="D62" s="97">
        <f t="shared" si="5"/>
        <v>45926</v>
      </c>
      <c r="E62" s="97">
        <f t="shared" si="5"/>
        <v>45930</v>
      </c>
      <c r="F62" s="97">
        <f t="shared" si="5"/>
        <v>45934</v>
      </c>
      <c r="G62" s="97">
        <f t="shared" si="5"/>
        <v>45939</v>
      </c>
      <c r="H62" s="97">
        <f t="shared" si="5"/>
        <v>45954</v>
      </c>
      <c r="I62" s="97">
        <f t="shared" si="5"/>
        <v>45984</v>
      </c>
      <c r="L62" s="98" t="s">
        <v>66</v>
      </c>
      <c r="M62" s="98" t="s">
        <v>1</v>
      </c>
      <c r="N62" s="104">
        <v>45912</v>
      </c>
      <c r="O62" s="98">
        <v>92</v>
      </c>
      <c r="P62" s="98">
        <f>INDEX($C$1:$I$1,MATCH(Tabel3[[#This Row],[Type]],Devoirs[[#Headers],[J0]:[J60]],0))</f>
        <v>0</v>
      </c>
      <c r="Q62" s="105" t="str" cm="1">
        <f t="array" ref="Q6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62" s="105">
        <f ca="1">MAX(Tabel3[[#This Row],[jour]]+$R$3,IF(ROW()-ROW(Tabel3[[#Headers],[debut]])=1,DATE(2025,9,1)+$R$3,OFFSET(Tabel3[[#This Row],[fin]],-1,)))</f>
        <v>45912.609027777769</v>
      </c>
      <c r="S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45912.672916666656</v>
      </c>
      <c r="T62" s="102">
        <f ca="1">--(Tabel3[[#This Row],[jour]]&lt;&gt;TRUNC(Tabel3[[#This Row],[fin]]))</f>
        <v>0</v>
      </c>
      <c r="U62" s="102">
        <f>IF(Tabel3[[#This Row],[Type]]="j0",0,--(TRUNC(Tabel3[[#This Row],[debut]])-TRUNC(Tabel3[[#This Row],[fin precedent]])&lt;Tabel3[[#This Row],[delai]]))</f>
        <v>0</v>
      </c>
      <c r="X62" s="95">
        <v>45961</v>
      </c>
      <c r="Y62" s="96">
        <v>95.1</v>
      </c>
    </row>
    <row r="63" spans="1:25" ht="18" customHeight="1" x14ac:dyDescent="0.2">
      <c r="A63" s="59" t="s">
        <v>101</v>
      </c>
      <c r="B63" s="90">
        <v>100</v>
      </c>
      <c r="C63" s="97">
        <v>45924</v>
      </c>
      <c r="D63" s="97">
        <f t="shared" si="5"/>
        <v>45926</v>
      </c>
      <c r="E63" s="97">
        <f t="shared" si="5"/>
        <v>45930</v>
      </c>
      <c r="F63" s="97">
        <f t="shared" si="5"/>
        <v>45934</v>
      </c>
      <c r="G63" s="97">
        <f t="shared" si="5"/>
        <v>45939</v>
      </c>
      <c r="H63" s="97">
        <f t="shared" si="5"/>
        <v>45954</v>
      </c>
      <c r="I63" s="97">
        <f t="shared" si="5"/>
        <v>45984</v>
      </c>
      <c r="L63" s="98" t="s">
        <v>374</v>
      </c>
      <c r="M63" s="98" t="s">
        <v>37</v>
      </c>
      <c r="N63" s="104">
        <v>45913</v>
      </c>
      <c r="O63" s="98">
        <v>48.6</v>
      </c>
      <c r="P63" s="98">
        <f>INDEX($C$1:$I$1,MATCH(Tabel3[[#This Row],[Type]],Devoirs[[#Headers],[J0]:[J60]],0))</f>
        <v>2</v>
      </c>
      <c r="Q63" s="105" cm="1">
        <f t="array" aca="1" ref="Q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45911.675381944464</v>
      </c>
      <c r="R63" s="105">
        <f ca="1">MAX(Tabel3[[#This Row],[jour]]+$R$3,IF(ROW()-ROW(Tabel3[[#Headers],[debut]])=1,DATE(2025,9,1)+$R$3,OFFSET(Tabel3[[#This Row],[fin]],-1,)))</f>
        <v>45913.333333333336</v>
      </c>
      <c r="S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45913.367083333338</v>
      </c>
      <c r="T63" s="102">
        <f ca="1">--(Tabel3[[#This Row],[jour]]&lt;&gt;TRUNC(Tabel3[[#This Row],[fin]]))</f>
        <v>0</v>
      </c>
      <c r="U63" s="102">
        <f ca="1">IF(Tabel3[[#This Row],[Type]]="j0",0,--(TRUNC(Tabel3[[#This Row],[debut]])-TRUNC(Tabel3[[#This Row],[fin precedent]])&lt;Tabel3[[#This Row],[delai]]))</f>
        <v>0</v>
      </c>
      <c r="X63" s="95">
        <v>45962</v>
      </c>
      <c r="Y63" s="96">
        <v>108.75</v>
      </c>
    </row>
    <row r="64" spans="1:25" ht="18" customHeight="1" x14ac:dyDescent="0.2">
      <c r="A64" s="59" t="s">
        <v>102</v>
      </c>
      <c r="B64" s="90">
        <v>112</v>
      </c>
      <c r="C64" s="97">
        <v>45917</v>
      </c>
      <c r="D64" s="97">
        <f t="shared" si="5"/>
        <v>45919</v>
      </c>
      <c r="E64" s="97">
        <f t="shared" si="5"/>
        <v>45923</v>
      </c>
      <c r="F64" s="97">
        <f t="shared" si="5"/>
        <v>45927</v>
      </c>
      <c r="G64" s="97">
        <f t="shared" si="5"/>
        <v>45932</v>
      </c>
      <c r="H64" s="97">
        <f t="shared" si="5"/>
        <v>45947</v>
      </c>
      <c r="I64" s="97">
        <f t="shared" si="5"/>
        <v>45977</v>
      </c>
      <c r="L64" s="98" t="s">
        <v>61</v>
      </c>
      <c r="M64" s="98" t="s">
        <v>37</v>
      </c>
      <c r="N64" s="104">
        <v>45913</v>
      </c>
      <c r="O64" s="98">
        <v>56.7</v>
      </c>
      <c r="P64" s="98">
        <f>INDEX($C$1:$I$1,MATCH(Tabel3[[#This Row],[Type]],Devoirs[[#Headers],[J0]:[J60]],0))</f>
        <v>2</v>
      </c>
      <c r="Q64" s="105" cm="1">
        <f t="array" aca="1" ref="Q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45911.719131944461</v>
      </c>
      <c r="R64" s="105">
        <f ca="1">MAX(Tabel3[[#This Row],[jour]]+$R$3,IF(ROW()-ROW(Tabel3[[#Headers],[debut]])=1,DATE(2025,9,1)+$R$3,OFFSET(Tabel3[[#This Row],[fin]],-1,)))</f>
        <v>45913.367083333338</v>
      </c>
      <c r="S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45913.406458333338</v>
      </c>
      <c r="T64" s="102">
        <f ca="1">--(Tabel3[[#This Row],[jour]]&lt;&gt;TRUNC(Tabel3[[#This Row],[fin]]))</f>
        <v>0</v>
      </c>
      <c r="U64" s="102">
        <f ca="1">IF(Tabel3[[#This Row],[Type]]="j0",0,--(TRUNC(Tabel3[[#This Row],[debut]])-TRUNC(Tabel3[[#This Row],[fin precedent]])&lt;Tabel3[[#This Row],[delai]]))</f>
        <v>0</v>
      </c>
      <c r="X64" s="95">
        <v>45963</v>
      </c>
      <c r="Y64" s="96">
        <v>109.64999999999999</v>
      </c>
    </row>
    <row r="65" spans="1:25" ht="18" customHeight="1" x14ac:dyDescent="0.2">
      <c r="A65" s="60" t="s">
        <v>103</v>
      </c>
      <c r="B65" s="90">
        <v>36</v>
      </c>
      <c r="C65" s="97">
        <v>45937</v>
      </c>
      <c r="D65" s="97">
        <f t="shared" si="5"/>
        <v>45939</v>
      </c>
      <c r="E65" s="97">
        <f t="shared" si="5"/>
        <v>45943</v>
      </c>
      <c r="F65" s="97">
        <f t="shared" si="5"/>
        <v>45947</v>
      </c>
      <c r="G65" s="97">
        <f t="shared" si="5"/>
        <v>45952</v>
      </c>
      <c r="H65" s="97">
        <f t="shared" si="5"/>
        <v>45967</v>
      </c>
      <c r="I65" s="97">
        <f t="shared" si="5"/>
        <v>45997</v>
      </c>
      <c r="L65" s="98" t="s">
        <v>89</v>
      </c>
      <c r="M65" s="98" t="s">
        <v>39</v>
      </c>
      <c r="N65" s="104">
        <v>45913</v>
      </c>
      <c r="O65" s="98">
        <v>39.6</v>
      </c>
      <c r="P65" s="98">
        <f>INDEX($C$1:$I$1,MATCH(Tabel3[[#This Row],[Type]],Devoirs[[#Headers],[J0]:[J60]],0))</f>
        <v>4</v>
      </c>
      <c r="Q65" s="105" cm="1">
        <f t="array" aca="1" ref="Q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45909.552604166689</v>
      </c>
      <c r="R65" s="105">
        <f ca="1">MAX(Tabel3[[#This Row],[jour]]+$R$3,IF(ROW()-ROW(Tabel3[[#Headers],[debut]])=1,DATE(2025,9,1)+$R$3,OFFSET(Tabel3[[#This Row],[fin]],-1,)))</f>
        <v>45913.406458333338</v>
      </c>
      <c r="S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45913.433958333335</v>
      </c>
      <c r="T65" s="102">
        <f ca="1">--(Tabel3[[#This Row],[jour]]&lt;&gt;TRUNC(Tabel3[[#This Row],[fin]]))</f>
        <v>0</v>
      </c>
      <c r="U65" s="102">
        <f ca="1">IF(Tabel3[[#This Row],[Type]]="j0",0,--(TRUNC(Tabel3[[#This Row],[debut]])-TRUNC(Tabel3[[#This Row],[fin precedent]])&lt;Tabel3[[#This Row],[delai]]))</f>
        <v>0</v>
      </c>
      <c r="X65" s="95">
        <v>45965</v>
      </c>
      <c r="Y65" s="96">
        <v>9.4499999999999993</v>
      </c>
    </row>
    <row r="66" spans="1:25" ht="18" customHeight="1" x14ac:dyDescent="0.2">
      <c r="A66" s="46" t="s">
        <v>104</v>
      </c>
      <c r="B66" s="46"/>
      <c r="C66" s="97"/>
      <c r="D66" s="97" t="str">
        <f t="shared" si="5"/>
        <v/>
      </c>
      <c r="E66" s="97" t="str">
        <f t="shared" si="5"/>
        <v/>
      </c>
      <c r="F66" s="97" t="str">
        <f t="shared" si="5"/>
        <v/>
      </c>
      <c r="G66" s="97" t="str">
        <f t="shared" si="5"/>
        <v/>
      </c>
      <c r="H66" s="97" t="str">
        <f t="shared" si="5"/>
        <v/>
      </c>
      <c r="I66" s="97" t="str">
        <f t="shared" si="5"/>
        <v/>
      </c>
      <c r="L66" s="98" t="s">
        <v>90</v>
      </c>
      <c r="M66" s="98" t="s">
        <v>39</v>
      </c>
      <c r="N66" s="104">
        <v>45913</v>
      </c>
      <c r="O66" s="98">
        <v>60</v>
      </c>
      <c r="P66" s="98">
        <f>INDEX($C$1:$I$1,MATCH(Tabel3[[#This Row],[Type]],Devoirs[[#Headers],[J0]:[J60]],0))</f>
        <v>4</v>
      </c>
      <c r="Q66" s="105" cm="1">
        <f t="array" aca="1" ref="Q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45909.604687500025</v>
      </c>
      <c r="R66" s="105">
        <f ca="1">MAX(Tabel3[[#This Row],[jour]]+$R$3,IF(ROW()-ROW(Tabel3[[#Headers],[debut]])=1,DATE(2025,9,1)+$R$3,OFFSET(Tabel3[[#This Row],[fin]],-1,)))</f>
        <v>45913.433958333335</v>
      </c>
      <c r="S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45913.475624999999</v>
      </c>
      <c r="T66" s="102">
        <f ca="1">--(Tabel3[[#This Row],[jour]]&lt;&gt;TRUNC(Tabel3[[#This Row],[fin]]))</f>
        <v>0</v>
      </c>
      <c r="U66" s="102">
        <f ca="1">IF(Tabel3[[#This Row],[Type]]="j0",0,--(TRUNC(Tabel3[[#This Row],[debut]])-TRUNC(Tabel3[[#This Row],[fin precedent]])&lt;Tabel3[[#This Row],[delai]]))</f>
        <v>0</v>
      </c>
      <c r="X66" s="95">
        <v>45966</v>
      </c>
      <c r="Y66" s="96">
        <v>42.6</v>
      </c>
    </row>
    <row r="67" spans="1:25" ht="18" customHeight="1" x14ac:dyDescent="0.2">
      <c r="A67" s="64" t="s">
        <v>105</v>
      </c>
      <c r="B67" s="91">
        <v>45</v>
      </c>
      <c r="C67" s="97">
        <v>45916</v>
      </c>
      <c r="D67" s="97">
        <f t="shared" si="5"/>
        <v>45918</v>
      </c>
      <c r="E67" s="97">
        <f t="shared" si="5"/>
        <v>45922</v>
      </c>
      <c r="F67" s="97">
        <f t="shared" si="5"/>
        <v>45926</v>
      </c>
      <c r="G67" s="97">
        <f t="shared" si="5"/>
        <v>45931</v>
      </c>
      <c r="H67" s="97">
        <f t="shared" si="5"/>
        <v>45946</v>
      </c>
      <c r="I67" s="97">
        <f t="shared" si="5"/>
        <v>45976</v>
      </c>
      <c r="L67" s="98" t="s">
        <v>107</v>
      </c>
      <c r="M67" s="98" t="s">
        <v>39</v>
      </c>
      <c r="N67" s="104">
        <v>45913</v>
      </c>
      <c r="O67" s="98">
        <v>63</v>
      </c>
      <c r="P67" s="98">
        <f>INDEX($C$1:$I$1,MATCH(Tabel3[[#This Row],[Type]],Devoirs[[#Headers],[J0]:[J60]],0))</f>
        <v>4</v>
      </c>
      <c r="Q67" s="105" cm="1">
        <f t="array" aca="1" ref="Q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45909.659375000025</v>
      </c>
      <c r="R67" s="105">
        <f ca="1">MAX(Tabel3[[#This Row],[jour]]+$R$3,IF(ROW()-ROW(Tabel3[[#Headers],[debut]])=1,DATE(2025,9,1)+$R$3,OFFSET(Tabel3[[#This Row],[fin]],-1,)))</f>
        <v>45913.475624999999</v>
      </c>
      <c r="S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45913.519374999996</v>
      </c>
      <c r="T67" s="102">
        <f ca="1">--(Tabel3[[#This Row],[jour]]&lt;&gt;TRUNC(Tabel3[[#This Row],[fin]]))</f>
        <v>0</v>
      </c>
      <c r="U67" s="102">
        <f ca="1">IF(Tabel3[[#This Row],[Type]]="j0",0,--(TRUNC(Tabel3[[#This Row],[debut]])-TRUNC(Tabel3[[#This Row],[fin precedent]])&lt;Tabel3[[#This Row],[delai]]))</f>
        <v>0</v>
      </c>
      <c r="X67" s="95">
        <v>45967</v>
      </c>
      <c r="Y67" s="96">
        <v>118.79999999999998</v>
      </c>
    </row>
    <row r="68" spans="1:25" ht="18" customHeight="1" x14ac:dyDescent="0.2">
      <c r="A68" s="65" t="s">
        <v>106</v>
      </c>
      <c r="B68" s="91">
        <v>106</v>
      </c>
      <c r="C68" s="97">
        <v>45908</v>
      </c>
      <c r="D68" s="97">
        <f t="shared" si="5"/>
        <v>45910</v>
      </c>
      <c r="E68" s="97">
        <f t="shared" si="5"/>
        <v>45914</v>
      </c>
      <c r="F68" s="97">
        <f t="shared" si="5"/>
        <v>45918</v>
      </c>
      <c r="G68" s="97">
        <f t="shared" si="5"/>
        <v>45923</v>
      </c>
      <c r="H68" s="97">
        <f t="shared" si="5"/>
        <v>45938</v>
      </c>
      <c r="I68" s="97">
        <f t="shared" si="5"/>
        <v>45968</v>
      </c>
      <c r="L68" s="98" t="s">
        <v>140</v>
      </c>
      <c r="M68" s="98" t="s">
        <v>38</v>
      </c>
      <c r="N68" s="104">
        <v>45914</v>
      </c>
      <c r="O68" s="98">
        <v>51.75</v>
      </c>
      <c r="P68" s="98">
        <f>INDEX($C$1:$I$1,MATCH(Tabel3[[#This Row],[Type]],Devoirs[[#Headers],[J0]:[J60]],0))</f>
        <v>4</v>
      </c>
      <c r="Q68" s="105" cm="1">
        <f t="array" aca="1" ref="Q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45910.486527777794</v>
      </c>
      <c r="R68" s="105">
        <f ca="1">MAX(Tabel3[[#This Row],[jour]]+$R$3,IF(ROW()-ROW(Tabel3[[#Headers],[debut]])=1,DATE(2025,9,1)+$R$3,OFFSET(Tabel3[[#This Row],[fin]],-1,)))</f>
        <v>45914.333333333336</v>
      </c>
      <c r="S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45914.369270833333</v>
      </c>
      <c r="T68" s="102">
        <f ca="1">--(Tabel3[[#This Row],[jour]]&lt;&gt;TRUNC(Tabel3[[#This Row],[fin]]))</f>
        <v>0</v>
      </c>
      <c r="U68" s="102">
        <f ca="1">IF(Tabel3[[#This Row],[Type]]="j0",0,--(TRUNC(Tabel3[[#This Row],[debut]])-TRUNC(Tabel3[[#This Row],[fin precedent]])&lt;Tabel3[[#This Row],[delai]]))</f>
        <v>0</v>
      </c>
      <c r="X68" s="95">
        <v>45968</v>
      </c>
      <c r="Y68" s="96">
        <v>128.55000000000001</v>
      </c>
    </row>
    <row r="69" spans="1:25" ht="18" customHeight="1" x14ac:dyDescent="0.2">
      <c r="A69" s="65" t="s">
        <v>107</v>
      </c>
      <c r="B69" s="91">
        <v>105</v>
      </c>
      <c r="C69" s="97">
        <v>45903</v>
      </c>
      <c r="D69" s="97">
        <f t="shared" si="5"/>
        <v>45905</v>
      </c>
      <c r="E69" s="97">
        <f t="shared" si="5"/>
        <v>45909</v>
      </c>
      <c r="F69" s="97">
        <f t="shared" si="5"/>
        <v>45913</v>
      </c>
      <c r="G69" s="97">
        <f t="shared" si="5"/>
        <v>45918</v>
      </c>
      <c r="H69" s="97">
        <f t="shared" si="5"/>
        <v>45933</v>
      </c>
      <c r="I69" s="97">
        <f t="shared" si="5"/>
        <v>45963</v>
      </c>
      <c r="L69" s="98" t="s">
        <v>133</v>
      </c>
      <c r="M69" s="98" t="s">
        <v>38</v>
      </c>
      <c r="N69" s="104">
        <v>45914</v>
      </c>
      <c r="O69" s="98">
        <v>58.5</v>
      </c>
      <c r="P69" s="98">
        <f>INDEX($C$1:$I$1,MATCH(Tabel3[[#This Row],[Type]],Devoirs[[#Headers],[J0]:[J60]],0))</f>
        <v>4</v>
      </c>
      <c r="Q69" s="105" cm="1">
        <f t="array" aca="1" ref="Q6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45910.535277777795</v>
      </c>
      <c r="R69" s="105">
        <f ca="1">MAX(Tabel3[[#This Row],[jour]]+$R$3,IF(ROW()-ROW(Tabel3[[#Headers],[debut]])=1,DATE(2025,9,1)+$R$3,OFFSET(Tabel3[[#This Row],[fin]],-1,)))</f>
        <v>45914.369270833333</v>
      </c>
      <c r="S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45914.409895833334</v>
      </c>
      <c r="T69" s="102">
        <f ca="1">--(Tabel3[[#This Row],[jour]]&lt;&gt;TRUNC(Tabel3[[#This Row],[fin]]))</f>
        <v>0</v>
      </c>
      <c r="U69" s="102">
        <f ca="1">IF(Tabel3[[#This Row],[Type]]="j0",0,--(TRUNC(Tabel3[[#This Row],[debut]])-TRUNC(Tabel3[[#This Row],[fin precedent]])&lt;Tabel3[[#This Row],[delai]]))</f>
        <v>0</v>
      </c>
      <c r="X69" s="95">
        <v>45969</v>
      </c>
      <c r="Y69" s="96">
        <v>96.149999999999991</v>
      </c>
    </row>
    <row r="70" spans="1:25" ht="18" customHeight="1" x14ac:dyDescent="0.2">
      <c r="A70" s="65" t="s">
        <v>108</v>
      </c>
      <c r="B70" s="91">
        <v>113</v>
      </c>
      <c r="C70" s="97">
        <v>45915</v>
      </c>
      <c r="D70" s="97">
        <f t="shared" ref="D70:I85" si="6">IF($C70&gt;0,$C70+D$2,"")</f>
        <v>45917</v>
      </c>
      <c r="E70" s="97">
        <f t="shared" si="6"/>
        <v>45921</v>
      </c>
      <c r="F70" s="97">
        <f t="shared" si="6"/>
        <v>45925</v>
      </c>
      <c r="G70" s="97">
        <f t="shared" si="6"/>
        <v>45930</v>
      </c>
      <c r="H70" s="97">
        <f t="shared" si="6"/>
        <v>45945</v>
      </c>
      <c r="I70" s="97">
        <f t="shared" si="6"/>
        <v>45975</v>
      </c>
      <c r="L70" s="98" t="s">
        <v>376</v>
      </c>
      <c r="M70" s="98" t="s">
        <v>38</v>
      </c>
      <c r="N70" s="104">
        <v>45914</v>
      </c>
      <c r="O70" s="98">
        <v>62.25</v>
      </c>
      <c r="P70" s="98">
        <f>INDEX($C$1:$I$1,MATCH(Tabel3[[#This Row],[Type]],Devoirs[[#Headers],[J0]:[J60]],0))</f>
        <v>4</v>
      </c>
      <c r="Q70" s="105" cm="1">
        <f t="array" aca="1" ref="Q7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45910.587152777793</v>
      </c>
      <c r="R70" s="105">
        <f ca="1">MAX(Tabel3[[#This Row],[jour]]+$R$3,IF(ROW()-ROW(Tabel3[[#Headers],[debut]])=1,DATE(2025,9,1)+$R$3,OFFSET(Tabel3[[#This Row],[fin]],-1,)))</f>
        <v>45914.409895833334</v>
      </c>
      <c r="S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45914.453125</v>
      </c>
      <c r="T70" s="102">
        <f ca="1">--(Tabel3[[#This Row],[jour]]&lt;&gt;TRUNC(Tabel3[[#This Row],[fin]]))</f>
        <v>0</v>
      </c>
      <c r="U70" s="102">
        <f ca="1">IF(Tabel3[[#This Row],[Type]]="j0",0,--(TRUNC(Tabel3[[#This Row],[debut]])-TRUNC(Tabel3[[#This Row],[fin precedent]])&lt;Tabel3[[#This Row],[delai]]))</f>
        <v>0</v>
      </c>
      <c r="X70" s="95">
        <v>45970</v>
      </c>
      <c r="Y70" s="96">
        <v>56.7</v>
      </c>
    </row>
    <row r="71" spans="1:25" ht="18" customHeight="1" x14ac:dyDescent="0.2">
      <c r="A71" s="65" t="s">
        <v>109</v>
      </c>
      <c r="B71" s="91">
        <v>112</v>
      </c>
      <c r="C71" s="97">
        <v>45922</v>
      </c>
      <c r="D71" s="97">
        <f t="shared" si="6"/>
        <v>45924</v>
      </c>
      <c r="E71" s="97">
        <f t="shared" si="6"/>
        <v>45928</v>
      </c>
      <c r="F71" s="97">
        <f t="shared" si="6"/>
        <v>45932</v>
      </c>
      <c r="G71" s="97">
        <f t="shared" si="6"/>
        <v>45937</v>
      </c>
      <c r="H71" s="97">
        <f t="shared" si="6"/>
        <v>45952</v>
      </c>
      <c r="I71" s="97">
        <f t="shared" si="6"/>
        <v>45982</v>
      </c>
      <c r="L71" s="98" t="s">
        <v>115</v>
      </c>
      <c r="M71" s="98" t="s">
        <v>38</v>
      </c>
      <c r="N71" s="104">
        <v>45914</v>
      </c>
      <c r="O71" s="98">
        <v>63.75</v>
      </c>
      <c r="P71" s="98">
        <f>INDEX($C$1:$I$1,MATCH(Tabel3[[#This Row],[Type]],Devoirs[[#Headers],[J0]:[J60]],0))</f>
        <v>4</v>
      </c>
      <c r="Q71" s="105" cm="1">
        <f t="array" aca="1" ref="Q7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45910.640277777791</v>
      </c>
      <c r="R71" s="105">
        <f ca="1">MAX(Tabel3[[#This Row],[jour]]+$R$3,IF(ROW()-ROW(Tabel3[[#Headers],[debut]])=1,DATE(2025,9,1)+$R$3,OFFSET(Tabel3[[#This Row],[fin]],-1,)))</f>
        <v>45914.453125</v>
      </c>
      <c r="S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45914.497395833336</v>
      </c>
      <c r="T71" s="102">
        <f ca="1">--(Tabel3[[#This Row],[jour]]&lt;&gt;TRUNC(Tabel3[[#This Row],[fin]]))</f>
        <v>0</v>
      </c>
      <c r="U71" s="102">
        <f ca="1">IF(Tabel3[[#This Row],[Type]]="j0",0,--(TRUNC(Tabel3[[#This Row],[debut]])-TRUNC(Tabel3[[#This Row],[fin precedent]])&lt;Tabel3[[#This Row],[delai]]))</f>
        <v>0</v>
      </c>
      <c r="X71" s="95">
        <v>45971</v>
      </c>
      <c r="Y71" s="96">
        <v>17.549999999999997</v>
      </c>
    </row>
    <row r="72" spans="1:25" ht="18" customHeight="1" x14ac:dyDescent="0.2">
      <c r="A72" s="65" t="s">
        <v>110</v>
      </c>
      <c r="B72" s="91">
        <v>100</v>
      </c>
      <c r="C72" s="97">
        <v>45924</v>
      </c>
      <c r="D72" s="97">
        <f t="shared" si="6"/>
        <v>45926</v>
      </c>
      <c r="E72" s="97">
        <f t="shared" si="6"/>
        <v>45930</v>
      </c>
      <c r="F72" s="97">
        <f t="shared" si="6"/>
        <v>45934</v>
      </c>
      <c r="G72" s="97">
        <f t="shared" si="6"/>
        <v>45939</v>
      </c>
      <c r="H72" s="97">
        <f t="shared" si="6"/>
        <v>45954</v>
      </c>
      <c r="I72" s="97">
        <f t="shared" si="6"/>
        <v>45984</v>
      </c>
      <c r="L72" s="98" t="s">
        <v>113</v>
      </c>
      <c r="M72" s="98" t="s">
        <v>38</v>
      </c>
      <c r="N72" s="104">
        <v>45914</v>
      </c>
      <c r="O72" s="98">
        <v>69.75</v>
      </c>
      <c r="P72" s="98">
        <f>INDEX($C$1:$I$1,MATCH(Tabel3[[#This Row],[Type]],Devoirs[[#Headers],[J0]:[J60]],0))</f>
        <v>4</v>
      </c>
      <c r="Q72" s="105" cm="1">
        <f t="array" aca="1" ref="Q7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45910.698402777794</v>
      </c>
      <c r="R72" s="105">
        <f ca="1">MAX(Tabel3[[#This Row],[jour]]+$R$3,IF(ROW()-ROW(Tabel3[[#Headers],[debut]])=1,DATE(2025,9,1)+$R$3,OFFSET(Tabel3[[#This Row],[fin]],-1,)))</f>
        <v>45914.497395833336</v>
      </c>
      <c r="S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45914.545833333337</v>
      </c>
      <c r="T72" s="102">
        <f ca="1">--(Tabel3[[#This Row],[jour]]&lt;&gt;TRUNC(Tabel3[[#This Row],[fin]]))</f>
        <v>0</v>
      </c>
      <c r="U72" s="102">
        <f ca="1">IF(Tabel3[[#This Row],[Type]]="j0",0,--(TRUNC(Tabel3[[#This Row],[debut]])-TRUNC(Tabel3[[#This Row],[fin precedent]])&lt;Tabel3[[#This Row],[delai]]))</f>
        <v>0</v>
      </c>
      <c r="X72" s="95">
        <v>45972</v>
      </c>
      <c r="Y72" s="96">
        <v>43.199999999999996</v>
      </c>
    </row>
    <row r="73" spans="1:25" ht="18" customHeight="1" x14ac:dyDescent="0.2">
      <c r="A73" s="65" t="s">
        <v>111</v>
      </c>
      <c r="B73" s="91">
        <v>62</v>
      </c>
      <c r="C73" s="97">
        <v>45933</v>
      </c>
      <c r="D73" s="97">
        <f t="shared" si="6"/>
        <v>45935</v>
      </c>
      <c r="E73" s="97">
        <f t="shared" si="6"/>
        <v>45939</v>
      </c>
      <c r="F73" s="97">
        <f t="shared" si="6"/>
        <v>45943</v>
      </c>
      <c r="G73" s="97">
        <f t="shared" si="6"/>
        <v>45948</v>
      </c>
      <c r="H73" s="97">
        <f t="shared" si="6"/>
        <v>45963</v>
      </c>
      <c r="I73" s="97">
        <f t="shared" si="6"/>
        <v>45993</v>
      </c>
      <c r="L73" s="98" t="s">
        <v>130</v>
      </c>
      <c r="M73" s="98" t="s">
        <v>38</v>
      </c>
      <c r="N73" s="104">
        <v>45914</v>
      </c>
      <c r="O73" s="98">
        <v>75.75</v>
      </c>
      <c r="P73" s="98">
        <f>INDEX($C$1:$I$1,MATCH(Tabel3[[#This Row],[Type]],Devoirs[[#Headers],[J0]:[J60]],0))</f>
        <v>4</v>
      </c>
      <c r="Q73" s="105" cm="1">
        <f t="array" aca="1" ref="Q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45911.344861111131</v>
      </c>
      <c r="R73" s="105">
        <f ca="1">MAX(Tabel3[[#This Row],[jour]]+$R$3,IF(ROW()-ROW(Tabel3[[#Headers],[debut]])=1,DATE(2025,9,1)+$R$3,OFFSET(Tabel3[[#This Row],[fin]],-1,)))</f>
        <v>45914.545833333337</v>
      </c>
      <c r="S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45914.598437500004</v>
      </c>
      <c r="T73" s="102">
        <f ca="1">--(Tabel3[[#This Row],[jour]]&lt;&gt;TRUNC(Tabel3[[#This Row],[fin]]))</f>
        <v>0</v>
      </c>
      <c r="U73" s="102">
        <f ca="1">IF(Tabel3[[#This Row],[Type]]="j0",0,--(TRUNC(Tabel3[[#This Row],[debut]])-TRUNC(Tabel3[[#This Row],[fin precedent]])&lt;Tabel3[[#This Row],[delai]]))</f>
        <v>1</v>
      </c>
      <c r="X73" s="95">
        <v>45975</v>
      </c>
      <c r="Y73" s="96">
        <v>31.349999999999998</v>
      </c>
    </row>
    <row r="74" spans="1:25" ht="18" customHeight="1" x14ac:dyDescent="0.2">
      <c r="A74" s="65" t="s">
        <v>112</v>
      </c>
      <c r="B74" s="91">
        <v>98</v>
      </c>
      <c r="C74" s="97">
        <v>45924</v>
      </c>
      <c r="D74" s="97">
        <f t="shared" si="6"/>
        <v>45926</v>
      </c>
      <c r="E74" s="97">
        <f t="shared" si="6"/>
        <v>45930</v>
      </c>
      <c r="F74" s="97">
        <f t="shared" si="6"/>
        <v>45934</v>
      </c>
      <c r="G74" s="97">
        <f t="shared" si="6"/>
        <v>45939</v>
      </c>
      <c r="H74" s="97">
        <f t="shared" si="6"/>
        <v>45954</v>
      </c>
      <c r="I74" s="97">
        <f t="shared" si="6"/>
        <v>45984</v>
      </c>
      <c r="L74" s="98" t="s">
        <v>106</v>
      </c>
      <c r="M74" s="98" t="s">
        <v>38</v>
      </c>
      <c r="N74" s="104">
        <v>45914</v>
      </c>
      <c r="O74" s="98">
        <v>79.5</v>
      </c>
      <c r="P74" s="98">
        <f>INDEX($C$1:$I$1,MATCH(Tabel3[[#This Row],[Type]],Devoirs[[#Headers],[J0]:[J60]],0))</f>
        <v>4</v>
      </c>
      <c r="Q74" s="105" cm="1">
        <f t="array" aca="1" ref="Q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45911.411111111134</v>
      </c>
      <c r="R74" s="105">
        <f ca="1">MAX(Tabel3[[#This Row],[jour]]+$R$3,IF(ROW()-ROW(Tabel3[[#Headers],[debut]])=1,DATE(2025,9,1)+$R$3,OFFSET(Tabel3[[#This Row],[fin]],-1,)))</f>
        <v>45914.598437500004</v>
      </c>
      <c r="S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45914.653645833336</v>
      </c>
      <c r="T74" s="102">
        <f ca="1">--(Tabel3[[#This Row],[jour]]&lt;&gt;TRUNC(Tabel3[[#This Row],[fin]]))</f>
        <v>0</v>
      </c>
      <c r="U74" s="102">
        <f ca="1">IF(Tabel3[[#This Row],[Type]]="j0",0,--(TRUNC(Tabel3[[#This Row],[debut]])-TRUNC(Tabel3[[#This Row],[fin precedent]])&lt;Tabel3[[#This Row],[delai]]))</f>
        <v>1</v>
      </c>
      <c r="X74" s="95">
        <v>45976</v>
      </c>
      <c r="Y74" s="96">
        <v>35.699999999999996</v>
      </c>
    </row>
    <row r="75" spans="1:25" ht="18" customHeight="1" x14ac:dyDescent="0.2">
      <c r="A75" s="65" t="s">
        <v>113</v>
      </c>
      <c r="B75" s="91">
        <v>93</v>
      </c>
      <c r="C75" s="97">
        <v>45908</v>
      </c>
      <c r="D75" s="97">
        <f t="shared" si="6"/>
        <v>45910</v>
      </c>
      <c r="E75" s="97">
        <f t="shared" si="6"/>
        <v>45914</v>
      </c>
      <c r="F75" s="97">
        <f t="shared" si="6"/>
        <v>45918</v>
      </c>
      <c r="G75" s="97">
        <f t="shared" si="6"/>
        <v>45923</v>
      </c>
      <c r="H75" s="97">
        <f t="shared" si="6"/>
        <v>45938</v>
      </c>
      <c r="I75" s="97">
        <f t="shared" si="6"/>
        <v>45968</v>
      </c>
      <c r="L75" s="98" t="s">
        <v>118</v>
      </c>
      <c r="M75" s="98" t="s">
        <v>37</v>
      </c>
      <c r="N75" s="104">
        <v>45914</v>
      </c>
      <c r="O75" s="98">
        <v>40.5</v>
      </c>
      <c r="P75" s="98">
        <f>INDEX($C$1:$I$1,MATCH(Tabel3[[#This Row],[Type]],Devoirs[[#Headers],[J0]:[J60]],0))</f>
        <v>2</v>
      </c>
      <c r="Q75" s="105" cm="1">
        <f t="array" aca="1" ref="Q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45912.504166666658</v>
      </c>
      <c r="R75" s="105">
        <f ca="1">MAX(Tabel3[[#This Row],[jour]]+$R$3,IF(ROW()-ROW(Tabel3[[#Headers],[debut]])=1,DATE(2025,9,1)+$R$3,OFFSET(Tabel3[[#This Row],[fin]],-1,)))</f>
        <v>45914.653645833336</v>
      </c>
      <c r="S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45914.681770833333</v>
      </c>
      <c r="T75" s="102">
        <f ca="1">--(Tabel3[[#This Row],[jour]]&lt;&gt;TRUNC(Tabel3[[#This Row],[fin]]))</f>
        <v>0</v>
      </c>
      <c r="U75" s="102">
        <f ca="1">IF(Tabel3[[#This Row],[Type]]="j0",0,--(TRUNC(Tabel3[[#This Row],[debut]])-TRUNC(Tabel3[[#This Row],[fin precedent]])&lt;Tabel3[[#This Row],[delai]]))</f>
        <v>0</v>
      </c>
      <c r="X75" s="95">
        <v>45977</v>
      </c>
      <c r="Y75" s="96">
        <v>65.25</v>
      </c>
    </row>
    <row r="76" spans="1:25" ht="18" customHeight="1" x14ac:dyDescent="0.2">
      <c r="A76" s="65" t="s">
        <v>114</v>
      </c>
      <c r="B76" s="91">
        <v>92</v>
      </c>
      <c r="C76" s="97">
        <v>45902</v>
      </c>
      <c r="D76" s="97">
        <f t="shared" si="6"/>
        <v>45904</v>
      </c>
      <c r="E76" s="97">
        <f t="shared" si="6"/>
        <v>45908</v>
      </c>
      <c r="F76" s="97">
        <f t="shared" si="6"/>
        <v>45912</v>
      </c>
      <c r="G76" s="97">
        <f t="shared" si="6"/>
        <v>45917</v>
      </c>
      <c r="H76" s="97">
        <f t="shared" si="6"/>
        <v>45932</v>
      </c>
      <c r="I76" s="97">
        <f t="shared" si="6"/>
        <v>45962</v>
      </c>
      <c r="L76" s="98" t="s">
        <v>96</v>
      </c>
      <c r="M76" s="98" t="s">
        <v>37</v>
      </c>
      <c r="N76" s="104">
        <v>45914</v>
      </c>
      <c r="O76" s="98">
        <v>57.6</v>
      </c>
      <c r="P76" s="98">
        <f>INDEX($C$1:$I$1,MATCH(Tabel3[[#This Row],[Type]],Devoirs[[#Headers],[J0]:[J60]],0))</f>
        <v>2</v>
      </c>
      <c r="Q76" s="105" cm="1">
        <f t="array" aca="1" ref="Q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45912.548611111102</v>
      </c>
      <c r="R76" s="105">
        <f ca="1">MAX(Tabel3[[#This Row],[jour]]+$R$3,IF(ROW()-ROW(Tabel3[[#Headers],[debut]])=1,DATE(2025,9,1)+$R$3,OFFSET(Tabel3[[#This Row],[fin]],-1,)))</f>
        <v>45914.681770833333</v>
      </c>
      <c r="S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45914.721770833334</v>
      </c>
      <c r="T76" s="102">
        <f ca="1">--(Tabel3[[#This Row],[jour]]&lt;&gt;TRUNC(Tabel3[[#This Row],[fin]]))</f>
        <v>0</v>
      </c>
      <c r="U76" s="102">
        <f ca="1">IF(Tabel3[[#This Row],[Type]]="j0",0,--(TRUNC(Tabel3[[#This Row],[debut]])-TRUNC(Tabel3[[#This Row],[fin precedent]])&lt;Tabel3[[#This Row],[delai]]))</f>
        <v>0</v>
      </c>
      <c r="X76" s="95">
        <v>45978</v>
      </c>
      <c r="Y76" s="96">
        <v>90.3</v>
      </c>
    </row>
    <row r="77" spans="1:25" ht="18" customHeight="1" x14ac:dyDescent="0.2">
      <c r="A77" s="65" t="s">
        <v>115</v>
      </c>
      <c r="B77" s="91">
        <v>85</v>
      </c>
      <c r="C77" s="97">
        <v>45908</v>
      </c>
      <c r="D77" s="97">
        <f t="shared" si="6"/>
        <v>45910</v>
      </c>
      <c r="E77" s="97">
        <f t="shared" si="6"/>
        <v>45914</v>
      </c>
      <c r="F77" s="97">
        <f t="shared" si="6"/>
        <v>45918</v>
      </c>
      <c r="G77" s="97">
        <f t="shared" si="6"/>
        <v>45923</v>
      </c>
      <c r="H77" s="97">
        <f t="shared" si="6"/>
        <v>45938</v>
      </c>
      <c r="I77" s="97">
        <f t="shared" si="6"/>
        <v>45968</v>
      </c>
      <c r="L77" s="98" t="s">
        <v>78</v>
      </c>
      <c r="M77" s="98" t="s">
        <v>37</v>
      </c>
      <c r="N77" s="104">
        <v>45914</v>
      </c>
      <c r="O77" s="98">
        <v>78.3</v>
      </c>
      <c r="P77" s="98">
        <f>INDEX($C$1:$I$1,MATCH(Tabel3[[#This Row],[Type]],Devoirs[[#Headers],[J0]:[J60]],0))</f>
        <v>2</v>
      </c>
      <c r="Q77" s="105" cm="1">
        <f t="array" aca="1" ref="Q7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45912.609027777769</v>
      </c>
      <c r="R77" s="105">
        <f ca="1">MAX(Tabel3[[#This Row],[jour]]+$R$3,IF(ROW()-ROW(Tabel3[[#Headers],[debut]])=1,DATE(2025,9,1)+$R$3,OFFSET(Tabel3[[#This Row],[fin]],-1,)))</f>
        <v>45914.721770833334</v>
      </c>
      <c r="S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45915.359479166669</v>
      </c>
      <c r="T77" s="102">
        <f ca="1">--(Tabel3[[#This Row],[jour]]&lt;&gt;TRUNC(Tabel3[[#This Row],[fin]]))</f>
        <v>1</v>
      </c>
      <c r="U77" s="102">
        <f ca="1">IF(Tabel3[[#This Row],[Type]]="j0",0,--(TRUNC(Tabel3[[#This Row],[debut]])-TRUNC(Tabel3[[#This Row],[fin precedent]])&lt;Tabel3[[#This Row],[delai]]))</f>
        <v>0</v>
      </c>
      <c r="X77" s="95">
        <v>45979</v>
      </c>
      <c r="Y77" s="96">
        <v>52.5</v>
      </c>
    </row>
    <row r="78" spans="1:25" ht="18" customHeight="1" x14ac:dyDescent="0.2">
      <c r="A78" s="65" t="s">
        <v>116</v>
      </c>
      <c r="B78" s="91">
        <v>110</v>
      </c>
      <c r="C78" s="97">
        <v>45922</v>
      </c>
      <c r="D78" s="97">
        <f t="shared" si="6"/>
        <v>45924</v>
      </c>
      <c r="E78" s="97">
        <f t="shared" si="6"/>
        <v>45928</v>
      </c>
      <c r="F78" s="97">
        <f t="shared" si="6"/>
        <v>45932</v>
      </c>
      <c r="G78" s="97">
        <f t="shared" si="6"/>
        <v>45937</v>
      </c>
      <c r="H78" s="97">
        <f t="shared" si="6"/>
        <v>45952</v>
      </c>
      <c r="I78" s="97">
        <f t="shared" si="6"/>
        <v>45982</v>
      </c>
      <c r="L78" s="98" t="s">
        <v>66</v>
      </c>
      <c r="M78" s="98" t="s">
        <v>37</v>
      </c>
      <c r="N78" s="104">
        <v>45914</v>
      </c>
      <c r="O78" s="98">
        <v>82.8</v>
      </c>
      <c r="P78" s="98">
        <f>INDEX($C$1:$I$1,MATCH(Tabel3[[#This Row],[Type]],Devoirs[[#Headers],[J0]:[J60]],0))</f>
        <v>2</v>
      </c>
      <c r="Q78" s="105" cm="1">
        <f t="array" aca="1" ref="Q7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45912.672916666656</v>
      </c>
      <c r="R78" s="105">
        <f ca="1">MAX(Tabel3[[#This Row],[jour]]+$R$3,IF(ROW()-ROW(Tabel3[[#Headers],[debut]])=1,DATE(2025,9,1)+$R$3,OFFSET(Tabel3[[#This Row],[fin]],-1,)))</f>
        <v>45915.359479166669</v>
      </c>
      <c r="S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45915.416979166672</v>
      </c>
      <c r="T78" s="102">
        <f ca="1">--(Tabel3[[#This Row],[jour]]&lt;&gt;TRUNC(Tabel3[[#This Row],[fin]]))</f>
        <v>1</v>
      </c>
      <c r="U78" s="102">
        <f ca="1">IF(Tabel3[[#This Row],[Type]]="j0",0,--(TRUNC(Tabel3[[#This Row],[debut]])-TRUNC(Tabel3[[#This Row],[fin precedent]])&lt;Tabel3[[#This Row],[delai]]))</f>
        <v>0</v>
      </c>
      <c r="X78" s="95">
        <v>45982</v>
      </c>
      <c r="Y78" s="96">
        <v>38.25</v>
      </c>
    </row>
    <row r="79" spans="1:25" ht="18" customHeight="1" x14ac:dyDescent="0.2">
      <c r="A79" s="65" t="s">
        <v>117</v>
      </c>
      <c r="B79" s="91">
        <v>60</v>
      </c>
      <c r="C79" s="97">
        <v>45916</v>
      </c>
      <c r="D79" s="97">
        <f t="shared" si="6"/>
        <v>45918</v>
      </c>
      <c r="E79" s="97">
        <f t="shared" si="6"/>
        <v>45922</v>
      </c>
      <c r="F79" s="97">
        <f t="shared" si="6"/>
        <v>45926</v>
      </c>
      <c r="G79" s="97">
        <f t="shared" si="6"/>
        <v>45931</v>
      </c>
      <c r="H79" s="97">
        <f t="shared" si="6"/>
        <v>45946</v>
      </c>
      <c r="I79" s="97">
        <f t="shared" si="6"/>
        <v>45976</v>
      </c>
      <c r="L79" s="98" t="s">
        <v>128</v>
      </c>
      <c r="M79" s="98" t="s">
        <v>38</v>
      </c>
      <c r="N79" s="104">
        <v>45915</v>
      </c>
      <c r="O79" s="98">
        <v>52.5</v>
      </c>
      <c r="P79" s="98">
        <f>INDEX($C$1:$I$1,MATCH(Tabel3[[#This Row],[Type]],Devoirs[[#Headers],[J0]:[J60]],0))</f>
        <v>4</v>
      </c>
      <c r="Q79" s="105" cm="1">
        <f t="array" aca="1" ref="Q7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45911.487673611133</v>
      </c>
      <c r="R79" s="105">
        <f ca="1">MAX(Tabel3[[#This Row],[jour]]+$R$3,IF(ROW()-ROW(Tabel3[[#Headers],[debut]])=1,DATE(2025,9,1)+$R$3,OFFSET(Tabel3[[#This Row],[fin]],-1,)))</f>
        <v>45915.416979166672</v>
      </c>
      <c r="S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45915.453437500008</v>
      </c>
      <c r="T79" s="102">
        <f ca="1">--(Tabel3[[#This Row],[jour]]&lt;&gt;TRUNC(Tabel3[[#This Row],[fin]]))</f>
        <v>0</v>
      </c>
      <c r="U79" s="102">
        <f ca="1">IF(Tabel3[[#This Row],[Type]]="j0",0,--(TRUNC(Tabel3[[#This Row],[debut]])-TRUNC(Tabel3[[#This Row],[fin precedent]])&lt;Tabel3[[#This Row],[delai]]))</f>
        <v>0</v>
      </c>
      <c r="X79" s="95">
        <v>45983</v>
      </c>
      <c r="Y79" s="96">
        <v>47.999999999999993</v>
      </c>
    </row>
    <row r="80" spans="1:25" ht="18" customHeight="1" x14ac:dyDescent="0.2">
      <c r="A80" s="65" t="s">
        <v>118</v>
      </c>
      <c r="B80" s="91">
        <v>45</v>
      </c>
      <c r="C80" s="97">
        <v>45912</v>
      </c>
      <c r="D80" s="97">
        <f t="shared" si="6"/>
        <v>45914</v>
      </c>
      <c r="E80" s="97">
        <f t="shared" si="6"/>
        <v>45918</v>
      </c>
      <c r="F80" s="97">
        <f t="shared" si="6"/>
        <v>45922</v>
      </c>
      <c r="G80" s="97">
        <f t="shared" si="6"/>
        <v>45927</v>
      </c>
      <c r="H80" s="97">
        <f t="shared" si="6"/>
        <v>45942</v>
      </c>
      <c r="I80" s="97">
        <f t="shared" si="6"/>
        <v>45972</v>
      </c>
      <c r="L80" s="98" t="s">
        <v>373</v>
      </c>
      <c r="M80" s="98" t="s">
        <v>38</v>
      </c>
      <c r="N80" s="104">
        <v>45915</v>
      </c>
      <c r="O80" s="98">
        <v>81</v>
      </c>
      <c r="P80" s="98">
        <f>INDEX($C$1:$I$1,MATCH(Tabel3[[#This Row],[Type]],Devoirs[[#Headers],[J0]:[J60]],0))</f>
        <v>4</v>
      </c>
      <c r="Q80" s="105" cm="1">
        <f t="array" aca="1" ref="Q8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45911.55517361113</v>
      </c>
      <c r="R80" s="105">
        <f ca="1">MAX(Tabel3[[#This Row],[jour]]+$R$3,IF(ROW()-ROW(Tabel3[[#Headers],[debut]])=1,DATE(2025,9,1)+$R$3,OFFSET(Tabel3[[#This Row],[fin]],-1,)))</f>
        <v>45915.453437500008</v>
      </c>
      <c r="S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45915.509687500009</v>
      </c>
      <c r="T80" s="102">
        <f ca="1">--(Tabel3[[#This Row],[jour]]&lt;&gt;TRUNC(Tabel3[[#This Row],[fin]]))</f>
        <v>0</v>
      </c>
      <c r="U80" s="102">
        <f ca="1">IF(Tabel3[[#This Row],[Type]]="j0",0,--(TRUNC(Tabel3[[#This Row],[debut]])-TRUNC(Tabel3[[#This Row],[fin precedent]])&lt;Tabel3[[#This Row],[delai]]))</f>
        <v>0</v>
      </c>
      <c r="X80" s="95">
        <v>45984</v>
      </c>
      <c r="Y80" s="96">
        <v>85.05</v>
      </c>
    </row>
    <row r="81" spans="1:25" ht="18" customHeight="1" x14ac:dyDescent="0.2">
      <c r="A81" s="65" t="s">
        <v>119</v>
      </c>
      <c r="B81" s="91">
        <v>34</v>
      </c>
      <c r="C81" s="97">
        <v>45925</v>
      </c>
      <c r="D81" s="97">
        <f t="shared" si="6"/>
        <v>45927</v>
      </c>
      <c r="E81" s="97">
        <f t="shared" si="6"/>
        <v>45931</v>
      </c>
      <c r="F81" s="97">
        <f t="shared" si="6"/>
        <v>45935</v>
      </c>
      <c r="G81" s="97">
        <f t="shared" si="6"/>
        <v>45940</v>
      </c>
      <c r="H81" s="97">
        <f t="shared" si="6"/>
        <v>45955</v>
      </c>
      <c r="I81" s="97">
        <f t="shared" si="6"/>
        <v>45985</v>
      </c>
      <c r="L81" s="98" t="s">
        <v>83</v>
      </c>
      <c r="M81" s="98" t="s">
        <v>38</v>
      </c>
      <c r="N81" s="104">
        <v>45915</v>
      </c>
      <c r="O81" s="98">
        <v>83.25</v>
      </c>
      <c r="P81" s="98">
        <f>INDEX($C$1:$I$1,MATCH(Tabel3[[#This Row],[Type]],Devoirs[[#Headers],[J0]:[J60]],0))</f>
        <v>4</v>
      </c>
      <c r="Q81" s="105" cm="1">
        <f t="array" aca="1" ref="Q8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45911.624548611129</v>
      </c>
      <c r="R81" s="105">
        <f ca="1">MAX(Tabel3[[#This Row],[jour]]+$R$3,IF(ROW()-ROW(Tabel3[[#Headers],[debut]])=1,DATE(2025,9,1)+$R$3,OFFSET(Tabel3[[#This Row],[fin]],-1,)))</f>
        <v>45915.509687500009</v>
      </c>
      <c r="S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45915.567500000012</v>
      </c>
      <c r="T81" s="102">
        <f ca="1">--(Tabel3[[#This Row],[jour]]&lt;&gt;TRUNC(Tabel3[[#This Row],[fin]]))</f>
        <v>0</v>
      </c>
      <c r="U81" s="102">
        <f ca="1">IF(Tabel3[[#This Row],[Type]]="j0",0,--(TRUNC(Tabel3[[#This Row],[debut]])-TRUNC(Tabel3[[#This Row],[fin precedent]])&lt;Tabel3[[#This Row],[delai]]))</f>
        <v>0</v>
      </c>
      <c r="X81" s="95">
        <v>45985</v>
      </c>
      <c r="Y81" s="96">
        <v>45.599999999999994</v>
      </c>
    </row>
    <row r="82" spans="1:25" ht="18" customHeight="1" x14ac:dyDescent="0.2">
      <c r="A82" s="65" t="s">
        <v>120</v>
      </c>
      <c r="B82" s="91">
        <v>102</v>
      </c>
      <c r="C82" s="97">
        <v>45931</v>
      </c>
      <c r="D82" s="97">
        <f t="shared" si="6"/>
        <v>45933</v>
      </c>
      <c r="E82" s="97">
        <f t="shared" si="6"/>
        <v>45937</v>
      </c>
      <c r="F82" s="97">
        <f t="shared" si="6"/>
        <v>45941</v>
      </c>
      <c r="G82" s="97">
        <f t="shared" si="6"/>
        <v>45946</v>
      </c>
      <c r="H82" s="97">
        <f t="shared" si="6"/>
        <v>45961</v>
      </c>
      <c r="I82" s="97">
        <f t="shared" si="6"/>
        <v>45991</v>
      </c>
      <c r="L82" s="98" t="s">
        <v>141</v>
      </c>
      <c r="M82" s="98" t="s">
        <v>39</v>
      </c>
      <c r="N82" s="104">
        <v>45915</v>
      </c>
      <c r="O82" s="98">
        <v>37.799999999999997</v>
      </c>
      <c r="P82" s="98">
        <f>INDEX($C$1:$I$1,MATCH(Tabel3[[#This Row],[Type]],Devoirs[[#Headers],[J0]:[J60]],0))</f>
        <v>4</v>
      </c>
      <c r="Q82" s="105" cm="1">
        <f t="array" aca="1" ref="Q8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45911.443923611136</v>
      </c>
      <c r="R82" s="105">
        <f ca="1">MAX(Tabel3[[#This Row],[jour]]+$R$3,IF(ROW()-ROW(Tabel3[[#Headers],[debut]])=1,DATE(2025,9,1)+$R$3,OFFSET(Tabel3[[#This Row],[fin]],-1,)))</f>
        <v>45915.567500000012</v>
      </c>
      <c r="S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45915.593750000015</v>
      </c>
      <c r="T82" s="102">
        <f ca="1">--(Tabel3[[#This Row],[jour]]&lt;&gt;TRUNC(Tabel3[[#This Row],[fin]]))</f>
        <v>0</v>
      </c>
      <c r="U82" s="102">
        <f ca="1">IF(Tabel3[[#This Row],[Type]]="j0",0,--(TRUNC(Tabel3[[#This Row],[debut]])-TRUNC(Tabel3[[#This Row],[fin precedent]])&lt;Tabel3[[#This Row],[delai]]))</f>
        <v>0</v>
      </c>
      <c r="X82" s="95">
        <v>45989</v>
      </c>
      <c r="Y82" s="96">
        <v>28.049999999999997</v>
      </c>
    </row>
    <row r="83" spans="1:25" ht="18" customHeight="1" x14ac:dyDescent="0.2">
      <c r="A83" s="65" t="s">
        <v>121</v>
      </c>
      <c r="B83" s="91">
        <v>69</v>
      </c>
      <c r="C83" s="97">
        <v>45924</v>
      </c>
      <c r="D83" s="97">
        <f t="shared" si="6"/>
        <v>45926</v>
      </c>
      <c r="E83" s="97">
        <f t="shared" si="6"/>
        <v>45930</v>
      </c>
      <c r="F83" s="97">
        <f t="shared" si="6"/>
        <v>45934</v>
      </c>
      <c r="G83" s="97">
        <f t="shared" si="6"/>
        <v>45939</v>
      </c>
      <c r="H83" s="97">
        <f t="shared" si="6"/>
        <v>45954</v>
      </c>
      <c r="I83" s="97">
        <f t="shared" si="6"/>
        <v>45984</v>
      </c>
      <c r="L83" s="98" t="s">
        <v>44</v>
      </c>
      <c r="M83" s="98" t="s">
        <v>1</v>
      </c>
      <c r="N83" s="104">
        <v>45915</v>
      </c>
      <c r="O83" s="98">
        <v>96</v>
      </c>
      <c r="P83" s="98">
        <f>INDEX($C$1:$I$1,MATCH(Tabel3[[#This Row],[Type]],Devoirs[[#Headers],[J0]:[J60]],0))</f>
        <v>0</v>
      </c>
      <c r="Q83" s="105" t="str" cm="1">
        <f t="array" ref="Q8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3" s="105">
        <f ca="1">MAX(Tabel3[[#This Row],[jour]]+$R$3,IF(ROW()-ROW(Tabel3[[#Headers],[debut]])=1,DATE(2025,9,1)+$R$3,OFFSET(Tabel3[[#This Row],[fin]],-1,)))</f>
        <v>45915.593750000015</v>
      </c>
      <c r="S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45915.66041666668</v>
      </c>
      <c r="T83" s="102">
        <f ca="1">--(Tabel3[[#This Row],[jour]]&lt;&gt;TRUNC(Tabel3[[#This Row],[fin]]))</f>
        <v>0</v>
      </c>
      <c r="U83" s="102">
        <f>IF(Tabel3[[#This Row],[Type]]="j0",0,--(TRUNC(Tabel3[[#This Row],[debut]])-TRUNC(Tabel3[[#This Row],[fin precedent]])&lt;Tabel3[[#This Row],[delai]]))</f>
        <v>0</v>
      </c>
      <c r="X83" s="95">
        <v>45990</v>
      </c>
      <c r="Y83" s="96">
        <v>43.649999999999991</v>
      </c>
    </row>
    <row r="84" spans="1:25" ht="18" customHeight="1" x14ac:dyDescent="0.2">
      <c r="A84" s="65" t="s">
        <v>122</v>
      </c>
      <c r="B84" s="91">
        <v>79</v>
      </c>
      <c r="C84" s="97">
        <v>45929</v>
      </c>
      <c r="D84" s="97">
        <f t="shared" si="6"/>
        <v>45931</v>
      </c>
      <c r="E84" s="97">
        <f t="shared" si="6"/>
        <v>45935</v>
      </c>
      <c r="F84" s="97">
        <f t="shared" si="6"/>
        <v>45939</v>
      </c>
      <c r="G84" s="97">
        <f t="shared" si="6"/>
        <v>45944</v>
      </c>
      <c r="H84" s="97">
        <f t="shared" si="6"/>
        <v>45959</v>
      </c>
      <c r="I84" s="97">
        <f t="shared" si="6"/>
        <v>45989</v>
      </c>
      <c r="L84" s="98" t="s">
        <v>108</v>
      </c>
      <c r="M84" s="98" t="s">
        <v>1</v>
      </c>
      <c r="N84" s="104">
        <v>45915</v>
      </c>
      <c r="O84" s="98">
        <v>113</v>
      </c>
      <c r="P84" s="98">
        <f>INDEX($C$1:$I$1,MATCH(Tabel3[[#This Row],[Type]],Devoirs[[#Headers],[J0]:[J60]],0))</f>
        <v>0</v>
      </c>
      <c r="Q84" s="105" t="str" cm="1">
        <f t="array" ref="Q8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4" s="105">
        <f ca="1">MAX(Tabel3[[#This Row],[jour]]+$R$3,IF(ROW()-ROW(Tabel3[[#Headers],[debut]])=1,DATE(2025,9,1)+$R$3,OFFSET(Tabel3[[#This Row],[fin]],-1,)))</f>
        <v>45915.66041666668</v>
      </c>
      <c r="S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45915.738888888904</v>
      </c>
      <c r="T84" s="102">
        <f ca="1">--(Tabel3[[#This Row],[jour]]&lt;&gt;TRUNC(Tabel3[[#This Row],[fin]]))</f>
        <v>0</v>
      </c>
      <c r="U84" s="102">
        <f>IF(Tabel3[[#This Row],[Type]]="j0",0,--(TRUNC(Tabel3[[#This Row],[debut]])-TRUNC(Tabel3[[#This Row],[fin precedent]])&lt;Tabel3[[#This Row],[delai]]))</f>
        <v>0</v>
      </c>
      <c r="X84" s="95">
        <v>45991</v>
      </c>
      <c r="Y84" s="96">
        <v>45.15</v>
      </c>
    </row>
    <row r="85" spans="1:25" ht="18" customHeight="1" x14ac:dyDescent="0.2">
      <c r="A85" s="65" t="s">
        <v>123</v>
      </c>
      <c r="B85" s="91">
        <v>76</v>
      </c>
      <c r="C85" s="97">
        <v>45932</v>
      </c>
      <c r="D85" s="97">
        <f t="shared" si="6"/>
        <v>45934</v>
      </c>
      <c r="E85" s="97">
        <f t="shared" si="6"/>
        <v>45938</v>
      </c>
      <c r="F85" s="97">
        <f t="shared" si="6"/>
        <v>45942</v>
      </c>
      <c r="G85" s="97">
        <f t="shared" si="6"/>
        <v>45947</v>
      </c>
      <c r="H85" s="97">
        <f t="shared" si="6"/>
        <v>45962</v>
      </c>
      <c r="I85" s="97">
        <f t="shared" si="6"/>
        <v>45992</v>
      </c>
      <c r="L85" s="98" t="s">
        <v>138</v>
      </c>
      <c r="M85" s="98" t="s">
        <v>40</v>
      </c>
      <c r="N85" s="104">
        <v>45916</v>
      </c>
      <c r="O85" s="98">
        <v>14.4</v>
      </c>
      <c r="P85" s="98">
        <f>INDEX($C$1:$I$1,MATCH(Tabel3[[#This Row],[Type]],Devoirs[[#Headers],[J0]:[J60]],0))</f>
        <v>5</v>
      </c>
      <c r="Q85" s="105" cm="1">
        <f t="array" aca="1" ref="Q8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45911.637881944465</v>
      </c>
      <c r="R85" s="105">
        <f ca="1">MAX(Tabel3[[#This Row],[jour]]+$R$3,IF(ROW()-ROW(Tabel3[[#Headers],[debut]])=1,DATE(2025,9,1)+$R$3,OFFSET(Tabel3[[#This Row],[fin]],-1,)))</f>
        <v>45916.333333333336</v>
      </c>
      <c r="S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45916.343333333338</v>
      </c>
      <c r="T85" s="102">
        <f ca="1">--(Tabel3[[#This Row],[jour]]&lt;&gt;TRUNC(Tabel3[[#This Row],[fin]]))</f>
        <v>0</v>
      </c>
      <c r="U85" s="102">
        <f ca="1">IF(Tabel3[[#This Row],[Type]]="j0",0,--(TRUNC(Tabel3[[#This Row],[debut]])-TRUNC(Tabel3[[#This Row],[fin precedent]])&lt;Tabel3[[#This Row],[delai]]))</f>
        <v>0</v>
      </c>
      <c r="X85" s="95">
        <v>45992</v>
      </c>
      <c r="Y85" s="96">
        <v>29.25</v>
      </c>
    </row>
    <row r="86" spans="1:25" ht="18" customHeight="1" x14ac:dyDescent="0.2">
      <c r="A86" s="66" t="s">
        <v>124</v>
      </c>
      <c r="B86" s="91">
        <v>50</v>
      </c>
      <c r="C86" s="97">
        <v>45931</v>
      </c>
      <c r="D86" s="97">
        <f t="shared" ref="D86:I101" si="7">IF($C86&gt;0,$C86+D$2,"")</f>
        <v>45933</v>
      </c>
      <c r="E86" s="97">
        <f t="shared" si="7"/>
        <v>45937</v>
      </c>
      <c r="F86" s="97">
        <f t="shared" si="7"/>
        <v>45941</v>
      </c>
      <c r="G86" s="97">
        <f t="shared" si="7"/>
        <v>45946</v>
      </c>
      <c r="H86" s="97">
        <f t="shared" si="7"/>
        <v>45961</v>
      </c>
      <c r="I86" s="97">
        <f t="shared" si="7"/>
        <v>45991</v>
      </c>
      <c r="L86" s="98" t="s">
        <v>137</v>
      </c>
      <c r="M86" s="98" t="s">
        <v>1</v>
      </c>
      <c r="N86" s="104">
        <v>45916</v>
      </c>
      <c r="O86" s="98">
        <v>36</v>
      </c>
      <c r="P86" s="98">
        <f>INDEX($C$1:$I$1,MATCH(Tabel3[[#This Row],[Type]],Devoirs[[#Headers],[J0]:[J60]],0))</f>
        <v>0</v>
      </c>
      <c r="Q86" s="105" t="str" cm="1">
        <f t="array" ref="Q8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6" s="105">
        <f ca="1">MAX(Tabel3[[#This Row],[jour]]+$R$3,IF(ROW()-ROW(Tabel3[[#Headers],[debut]])=1,DATE(2025,9,1)+$R$3,OFFSET(Tabel3[[#This Row],[fin]],-1,)))</f>
        <v>45916.343333333338</v>
      </c>
      <c r="S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45916.368333333339</v>
      </c>
      <c r="T86" s="102">
        <f ca="1">--(Tabel3[[#This Row],[jour]]&lt;&gt;TRUNC(Tabel3[[#This Row],[fin]]))</f>
        <v>0</v>
      </c>
      <c r="U86" s="102">
        <f>IF(Tabel3[[#This Row],[Type]]="j0",0,--(TRUNC(Tabel3[[#This Row],[debut]])-TRUNC(Tabel3[[#This Row],[fin precedent]])&lt;Tabel3[[#This Row],[delai]]))</f>
        <v>0</v>
      </c>
      <c r="X86" s="95">
        <v>45993</v>
      </c>
      <c r="Y86" s="96">
        <v>34.5</v>
      </c>
    </row>
    <row r="87" spans="1:25" ht="18" customHeight="1" x14ac:dyDescent="0.2">
      <c r="A87" s="46" t="s">
        <v>125</v>
      </c>
      <c r="B87" s="46"/>
      <c r="C87" s="97"/>
      <c r="D87" s="97" t="str">
        <f t="shared" si="7"/>
        <v/>
      </c>
      <c r="E87" s="97" t="str">
        <f t="shared" si="7"/>
        <v/>
      </c>
      <c r="F87" s="97" t="str">
        <f t="shared" si="7"/>
        <v/>
      </c>
      <c r="G87" s="97" t="str">
        <f t="shared" si="7"/>
        <v/>
      </c>
      <c r="H87" s="97" t="str">
        <f t="shared" si="7"/>
        <v/>
      </c>
      <c r="I87" s="97" t="str">
        <f t="shared" si="7"/>
        <v/>
      </c>
      <c r="L87" s="98" t="s">
        <v>105</v>
      </c>
      <c r="M87" s="98" t="s">
        <v>1</v>
      </c>
      <c r="N87" s="104">
        <v>45916</v>
      </c>
      <c r="O87" s="98">
        <v>45</v>
      </c>
      <c r="P87" s="98">
        <f>INDEX($C$1:$I$1,MATCH(Tabel3[[#This Row],[Type]],Devoirs[[#Headers],[J0]:[J60]],0))</f>
        <v>0</v>
      </c>
      <c r="Q87" s="105" t="str" cm="1">
        <f t="array" ref="Q8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7" s="105">
        <f ca="1">MAX(Tabel3[[#This Row],[jour]]+$R$3,IF(ROW()-ROW(Tabel3[[#Headers],[debut]])=1,DATE(2025,9,1)+$R$3,OFFSET(Tabel3[[#This Row],[fin]],-1,)))</f>
        <v>45916.368333333339</v>
      </c>
      <c r="S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45916.399583333339</v>
      </c>
      <c r="T87" s="102">
        <f ca="1">--(Tabel3[[#This Row],[jour]]&lt;&gt;TRUNC(Tabel3[[#This Row],[fin]]))</f>
        <v>0</v>
      </c>
      <c r="U87" s="102">
        <f>IF(Tabel3[[#This Row],[Type]]="j0",0,--(TRUNC(Tabel3[[#This Row],[debut]])-TRUNC(Tabel3[[#This Row],[fin precedent]])&lt;Tabel3[[#This Row],[delai]]))</f>
        <v>0</v>
      </c>
      <c r="X87" s="95">
        <v>45996</v>
      </c>
      <c r="Y87" s="96">
        <v>21.3</v>
      </c>
    </row>
    <row r="88" spans="1:25" ht="18" customHeight="1" x14ac:dyDescent="0.2">
      <c r="A88" s="74" t="s">
        <v>126</v>
      </c>
      <c r="B88" s="74">
        <v>66</v>
      </c>
      <c r="C88" s="97">
        <v>45937</v>
      </c>
      <c r="D88" s="97">
        <f t="shared" si="7"/>
        <v>45939</v>
      </c>
      <c r="E88" s="97">
        <f t="shared" si="7"/>
        <v>45943</v>
      </c>
      <c r="F88" s="97">
        <f t="shared" si="7"/>
        <v>45947</v>
      </c>
      <c r="G88" s="97">
        <f t="shared" si="7"/>
        <v>45952</v>
      </c>
      <c r="H88" s="97">
        <f t="shared" si="7"/>
        <v>45967</v>
      </c>
      <c r="I88" s="97">
        <f t="shared" si="7"/>
        <v>45997</v>
      </c>
      <c r="L88" s="98" t="s">
        <v>69</v>
      </c>
      <c r="M88" s="98" t="s">
        <v>1</v>
      </c>
      <c r="N88" s="104">
        <v>45916</v>
      </c>
      <c r="O88" s="98">
        <v>48</v>
      </c>
      <c r="P88" s="98">
        <f>INDEX($C$1:$I$1,MATCH(Tabel3[[#This Row],[Type]],Devoirs[[#Headers],[J0]:[J60]],0))</f>
        <v>0</v>
      </c>
      <c r="Q88" s="105" t="str" cm="1">
        <f t="array" ref="Q8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8" s="105">
        <f ca="1">MAX(Tabel3[[#This Row],[jour]]+$R$3,IF(ROW()-ROW(Tabel3[[#Headers],[debut]])=1,DATE(2025,9,1)+$R$3,OFFSET(Tabel3[[#This Row],[fin]],-1,)))</f>
        <v>45916.399583333339</v>
      </c>
      <c r="S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45916.432916666672</v>
      </c>
      <c r="T88" s="102">
        <f ca="1">--(Tabel3[[#This Row],[jour]]&lt;&gt;TRUNC(Tabel3[[#This Row],[fin]]))</f>
        <v>0</v>
      </c>
      <c r="U88" s="102">
        <f>IF(Tabel3[[#This Row],[Type]]="j0",0,--(TRUNC(Tabel3[[#This Row],[debut]])-TRUNC(Tabel3[[#This Row],[fin precedent]])&lt;Tabel3[[#This Row],[delai]]))</f>
        <v>0</v>
      </c>
      <c r="X88" s="95">
        <v>45997</v>
      </c>
      <c r="Y88" s="96">
        <v>59.399999999999991</v>
      </c>
    </row>
    <row r="89" spans="1:25" ht="18" customHeight="1" x14ac:dyDescent="0.2">
      <c r="A89" s="74" t="s">
        <v>127</v>
      </c>
      <c r="B89" s="74">
        <v>107</v>
      </c>
      <c r="C89" s="97">
        <v>45918</v>
      </c>
      <c r="D89" s="97">
        <f t="shared" si="7"/>
        <v>45920</v>
      </c>
      <c r="E89" s="97">
        <f t="shared" si="7"/>
        <v>45924</v>
      </c>
      <c r="F89" s="97">
        <f t="shared" si="7"/>
        <v>45928</v>
      </c>
      <c r="G89" s="97">
        <f t="shared" si="7"/>
        <v>45933</v>
      </c>
      <c r="H89" s="97">
        <f t="shared" si="7"/>
        <v>45948</v>
      </c>
      <c r="I89" s="97">
        <f t="shared" si="7"/>
        <v>45978</v>
      </c>
      <c r="L89" s="98" t="s">
        <v>80</v>
      </c>
      <c r="M89" s="98" t="s">
        <v>1</v>
      </c>
      <c r="N89" s="104">
        <v>45916</v>
      </c>
      <c r="O89" s="98">
        <v>49</v>
      </c>
      <c r="P89" s="98">
        <f>INDEX($C$1:$I$1,MATCH(Tabel3[[#This Row],[Type]],Devoirs[[#Headers],[J0]:[J60]],0))</f>
        <v>0</v>
      </c>
      <c r="Q89" s="105" t="str" cm="1">
        <f t="array" ref="Q8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89" s="105">
        <f ca="1">MAX(Tabel3[[#This Row],[jour]]+$R$3,IF(ROW()-ROW(Tabel3[[#Headers],[debut]])=1,DATE(2025,9,1)+$R$3,OFFSET(Tabel3[[#This Row],[fin]],-1,)))</f>
        <v>45916.432916666672</v>
      </c>
      <c r="S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45916.466944444452</v>
      </c>
      <c r="T89" s="102">
        <f ca="1">--(Tabel3[[#This Row],[jour]]&lt;&gt;TRUNC(Tabel3[[#This Row],[fin]]))</f>
        <v>0</v>
      </c>
      <c r="U89" s="102">
        <f>IF(Tabel3[[#This Row],[Type]]="j0",0,--(TRUNC(Tabel3[[#This Row],[debut]])-TRUNC(Tabel3[[#This Row],[fin precedent]])&lt;Tabel3[[#This Row],[delai]]))</f>
        <v>0</v>
      </c>
      <c r="X89" s="95">
        <v>45998</v>
      </c>
      <c r="Y89" s="96">
        <v>18.149999999999999</v>
      </c>
    </row>
    <row r="90" spans="1:25" ht="18" customHeight="1" x14ac:dyDescent="0.2">
      <c r="A90" s="74" t="s">
        <v>128</v>
      </c>
      <c r="B90" s="74">
        <v>70</v>
      </c>
      <c r="C90" s="97">
        <v>45909</v>
      </c>
      <c r="D90" s="97">
        <f t="shared" si="7"/>
        <v>45911</v>
      </c>
      <c r="E90" s="97">
        <f t="shared" si="7"/>
        <v>45915</v>
      </c>
      <c r="F90" s="97">
        <f t="shared" si="7"/>
        <v>45919</v>
      </c>
      <c r="G90" s="97">
        <f t="shared" si="7"/>
        <v>45924</v>
      </c>
      <c r="H90" s="97">
        <f t="shared" si="7"/>
        <v>45939</v>
      </c>
      <c r="I90" s="97">
        <f t="shared" si="7"/>
        <v>45969</v>
      </c>
      <c r="L90" s="98" t="s">
        <v>117</v>
      </c>
      <c r="M90" s="98" t="s">
        <v>1</v>
      </c>
      <c r="N90" s="104">
        <v>45916</v>
      </c>
      <c r="O90" s="98">
        <v>60</v>
      </c>
      <c r="P90" s="98">
        <f>INDEX($C$1:$I$1,MATCH(Tabel3[[#This Row],[Type]],Devoirs[[#Headers],[J0]:[J60]],0))</f>
        <v>0</v>
      </c>
      <c r="Q90" s="105" t="str" cm="1">
        <f t="array" ref="Q9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90" s="105">
        <f ca="1">MAX(Tabel3[[#This Row],[jour]]+$R$3,IF(ROW()-ROW(Tabel3[[#Headers],[debut]])=1,DATE(2025,9,1)+$R$3,OFFSET(Tabel3[[#This Row],[fin]],-1,)))</f>
        <v>45916.466944444452</v>
      </c>
      <c r="S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45916.508611111116</v>
      </c>
      <c r="T90" s="102">
        <f ca="1">--(Tabel3[[#This Row],[jour]]&lt;&gt;TRUNC(Tabel3[[#This Row],[fin]]))</f>
        <v>0</v>
      </c>
      <c r="U90" s="102">
        <f>IF(Tabel3[[#This Row],[Type]]="j0",0,--(TRUNC(Tabel3[[#This Row],[debut]])-TRUNC(Tabel3[[#This Row],[fin precedent]])&lt;Tabel3[[#This Row],[delai]]))</f>
        <v>0</v>
      </c>
      <c r="X90" s="95">
        <v>45999</v>
      </c>
      <c r="Y90" s="96">
        <v>26.4</v>
      </c>
    </row>
    <row r="91" spans="1:25" ht="18" customHeight="1" x14ac:dyDescent="0.2">
      <c r="A91" s="74" t="s">
        <v>129</v>
      </c>
      <c r="B91" s="74">
        <v>88</v>
      </c>
      <c r="C91" s="97">
        <v>45925</v>
      </c>
      <c r="D91" s="97">
        <f t="shared" si="7"/>
        <v>45927</v>
      </c>
      <c r="E91" s="97">
        <f t="shared" si="7"/>
        <v>45931</v>
      </c>
      <c r="F91" s="97">
        <f t="shared" si="7"/>
        <v>45935</v>
      </c>
      <c r="G91" s="97">
        <f t="shared" si="7"/>
        <v>45940</v>
      </c>
      <c r="H91" s="97">
        <f t="shared" si="7"/>
        <v>45955</v>
      </c>
      <c r="I91" s="97">
        <f t="shared" si="7"/>
        <v>45985</v>
      </c>
      <c r="L91" s="98" t="s">
        <v>374</v>
      </c>
      <c r="M91" s="98" t="s">
        <v>38</v>
      </c>
      <c r="N91" s="104">
        <v>45917</v>
      </c>
      <c r="O91" s="98">
        <v>40.5</v>
      </c>
      <c r="P91" s="98">
        <f>INDEX($C$1:$I$1,MATCH(Tabel3[[#This Row],[Type]],Devoirs[[#Headers],[J0]:[J60]],0))</f>
        <v>4</v>
      </c>
      <c r="Q91" s="105" cm="1">
        <f t="array" aca="1" ref="Q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45913.367083333338</v>
      </c>
      <c r="R91" s="105">
        <f ca="1">MAX(Tabel3[[#This Row],[jour]]+$R$3,IF(ROW()-ROW(Tabel3[[#Headers],[debut]])=1,DATE(2025,9,1)+$R$3,OFFSET(Tabel3[[#This Row],[fin]],-1,)))</f>
        <v>45917.333333333336</v>
      </c>
      <c r="S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45917.361458333333</v>
      </c>
      <c r="T91" s="102">
        <f ca="1">--(Tabel3[[#This Row],[jour]]&lt;&gt;TRUNC(Tabel3[[#This Row],[fin]]))</f>
        <v>0</v>
      </c>
      <c r="U91" s="102">
        <f ca="1">IF(Tabel3[[#This Row],[Type]]="j0",0,--(TRUNC(Tabel3[[#This Row],[debut]])-TRUNC(Tabel3[[#This Row],[fin precedent]])&lt;Tabel3[[#This Row],[delai]]))</f>
        <v>0</v>
      </c>
      <c r="X91" s="95">
        <v>46000</v>
      </c>
      <c r="Y91" s="96">
        <v>28.35</v>
      </c>
    </row>
    <row r="92" spans="1:25" ht="18" customHeight="1" x14ac:dyDescent="0.2">
      <c r="A92" s="74" t="s">
        <v>130</v>
      </c>
      <c r="B92" s="74">
        <v>101</v>
      </c>
      <c r="C92" s="97">
        <v>45908</v>
      </c>
      <c r="D92" s="97">
        <f t="shared" si="7"/>
        <v>45910</v>
      </c>
      <c r="E92" s="97">
        <f t="shared" si="7"/>
        <v>45914</v>
      </c>
      <c r="F92" s="97">
        <f t="shared" si="7"/>
        <v>45918</v>
      </c>
      <c r="G92" s="97">
        <f t="shared" si="7"/>
        <v>45923</v>
      </c>
      <c r="H92" s="97">
        <f t="shared" si="7"/>
        <v>45938</v>
      </c>
      <c r="I92" s="97">
        <f t="shared" si="7"/>
        <v>45968</v>
      </c>
      <c r="L92" s="98" t="s">
        <v>61</v>
      </c>
      <c r="M92" s="98" t="s">
        <v>38</v>
      </c>
      <c r="N92" s="104">
        <v>45917</v>
      </c>
      <c r="O92" s="98">
        <v>47.25</v>
      </c>
      <c r="P92" s="98">
        <f>INDEX($C$1:$I$1,MATCH(Tabel3[[#This Row],[Type]],Devoirs[[#Headers],[J0]:[J60]],0))</f>
        <v>4</v>
      </c>
      <c r="Q92" s="105" cm="1">
        <f t="array" aca="1" ref="Q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45913.406458333338</v>
      </c>
      <c r="R92" s="105">
        <f ca="1">MAX(Tabel3[[#This Row],[jour]]+$R$3,IF(ROW()-ROW(Tabel3[[#Headers],[debut]])=1,DATE(2025,9,1)+$R$3,OFFSET(Tabel3[[#This Row],[fin]],-1,)))</f>
        <v>45917.361458333333</v>
      </c>
      <c r="S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45917.394270833334</v>
      </c>
      <c r="T92" s="102">
        <f ca="1">--(Tabel3[[#This Row],[jour]]&lt;&gt;TRUNC(Tabel3[[#This Row],[fin]]))</f>
        <v>0</v>
      </c>
      <c r="U92" s="102">
        <f ca="1">IF(Tabel3[[#This Row],[Type]]="j0",0,--(TRUNC(Tabel3[[#This Row],[debut]])-TRUNC(Tabel3[[#This Row],[fin precedent]])&lt;Tabel3[[#This Row],[delai]]))</f>
        <v>0</v>
      </c>
    </row>
    <row r="93" spans="1:25" ht="18" customHeight="1" x14ac:dyDescent="0.2">
      <c r="A93" s="74" t="s">
        <v>131</v>
      </c>
      <c r="B93" s="74">
        <v>56</v>
      </c>
      <c r="C93" s="97">
        <v>45919</v>
      </c>
      <c r="D93" s="97">
        <f t="shared" si="7"/>
        <v>45921</v>
      </c>
      <c r="E93" s="97">
        <f t="shared" si="7"/>
        <v>45925</v>
      </c>
      <c r="F93" s="97">
        <f t="shared" si="7"/>
        <v>45929</v>
      </c>
      <c r="G93" s="97">
        <f t="shared" si="7"/>
        <v>45934</v>
      </c>
      <c r="H93" s="97">
        <f t="shared" si="7"/>
        <v>45949</v>
      </c>
      <c r="I93" s="97">
        <f t="shared" si="7"/>
        <v>45979</v>
      </c>
      <c r="L93" s="98" t="s">
        <v>44</v>
      </c>
      <c r="M93" s="98" t="s">
        <v>37</v>
      </c>
      <c r="N93" s="104">
        <v>45917</v>
      </c>
      <c r="O93" s="98">
        <v>86.4</v>
      </c>
      <c r="P93" s="98">
        <f>INDEX($C$1:$I$1,MATCH(Tabel3[[#This Row],[Type]],Devoirs[[#Headers],[J0]:[J60]],0))</f>
        <v>2</v>
      </c>
      <c r="Q93" s="105" cm="1">
        <f t="array" aca="1" ref="Q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45915.66041666668</v>
      </c>
      <c r="R93" s="105">
        <f ca="1">MAX(Tabel3[[#This Row],[jour]]+$R$3,IF(ROW()-ROW(Tabel3[[#Headers],[debut]])=1,DATE(2025,9,1)+$R$3,OFFSET(Tabel3[[#This Row],[fin]],-1,)))</f>
        <v>45917.394270833334</v>
      </c>
      <c r="S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45917.454270833332</v>
      </c>
      <c r="T93" s="102">
        <f ca="1">--(Tabel3[[#This Row],[jour]]&lt;&gt;TRUNC(Tabel3[[#This Row],[fin]]))</f>
        <v>0</v>
      </c>
      <c r="U93" s="102">
        <f ca="1">IF(Tabel3[[#This Row],[Type]]="j0",0,--(TRUNC(Tabel3[[#This Row],[debut]])-TRUNC(Tabel3[[#This Row],[fin precedent]])&lt;Tabel3[[#This Row],[delai]]))</f>
        <v>0</v>
      </c>
    </row>
    <row r="94" spans="1:25" ht="18" customHeight="1" x14ac:dyDescent="0.2">
      <c r="A94" s="74" t="s">
        <v>132</v>
      </c>
      <c r="B94" s="74">
        <v>81</v>
      </c>
      <c r="C94" s="97">
        <v>45940</v>
      </c>
      <c r="D94" s="97">
        <f t="shared" si="7"/>
        <v>45942</v>
      </c>
      <c r="E94" s="97">
        <f t="shared" si="7"/>
        <v>45946</v>
      </c>
      <c r="F94" s="97">
        <f t="shared" si="7"/>
        <v>45950</v>
      </c>
      <c r="G94" s="97">
        <f t="shared" si="7"/>
        <v>45955</v>
      </c>
      <c r="H94" s="97">
        <f t="shared" si="7"/>
        <v>45970</v>
      </c>
      <c r="I94" s="97">
        <f t="shared" si="7"/>
        <v>46000</v>
      </c>
      <c r="L94" s="98" t="s">
        <v>108</v>
      </c>
      <c r="M94" s="98" t="s">
        <v>37</v>
      </c>
      <c r="N94" s="104">
        <v>45917</v>
      </c>
      <c r="O94" s="98">
        <v>101.7</v>
      </c>
      <c r="P94" s="98">
        <f>INDEX($C$1:$I$1,MATCH(Tabel3[[#This Row],[Type]],Devoirs[[#Headers],[J0]:[J60]],0))</f>
        <v>2</v>
      </c>
      <c r="Q94" s="105" cm="1">
        <f t="array" aca="1" ref="Q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45915.738888888904</v>
      </c>
      <c r="R94" s="105">
        <f ca="1">MAX(Tabel3[[#This Row],[jour]]+$R$3,IF(ROW()-ROW(Tabel3[[#Headers],[debut]])=1,DATE(2025,9,1)+$R$3,OFFSET(Tabel3[[#This Row],[fin]],-1,)))</f>
        <v>45917.454270833332</v>
      </c>
      <c r="S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45917.524895833332</v>
      </c>
      <c r="T94" s="102">
        <f ca="1">--(Tabel3[[#This Row],[jour]]&lt;&gt;TRUNC(Tabel3[[#This Row],[fin]]))</f>
        <v>0</v>
      </c>
      <c r="U94" s="102">
        <f ca="1">IF(Tabel3[[#This Row],[Type]]="j0",0,--(TRUNC(Tabel3[[#This Row],[debut]])-TRUNC(Tabel3[[#This Row],[fin precedent]])&lt;Tabel3[[#This Row],[delai]]))</f>
        <v>0</v>
      </c>
    </row>
    <row r="95" spans="1:25" ht="18" customHeight="1" x14ac:dyDescent="0.2">
      <c r="A95" s="74" t="s">
        <v>133</v>
      </c>
      <c r="B95" s="74">
        <v>78</v>
      </c>
      <c r="C95" s="97">
        <v>45908</v>
      </c>
      <c r="D95" s="97">
        <f t="shared" si="7"/>
        <v>45910</v>
      </c>
      <c r="E95" s="97">
        <f t="shared" si="7"/>
        <v>45914</v>
      </c>
      <c r="F95" s="97">
        <f t="shared" si="7"/>
        <v>45918</v>
      </c>
      <c r="G95" s="97">
        <f t="shared" si="7"/>
        <v>45923</v>
      </c>
      <c r="H95" s="97">
        <f t="shared" si="7"/>
        <v>45938</v>
      </c>
      <c r="I95" s="97">
        <f t="shared" si="7"/>
        <v>45968</v>
      </c>
      <c r="L95" s="98" t="s">
        <v>55</v>
      </c>
      <c r="M95" s="98" t="s">
        <v>40</v>
      </c>
      <c r="N95" s="104">
        <v>45917</v>
      </c>
      <c r="O95" s="98">
        <v>22.95</v>
      </c>
      <c r="P95" s="98">
        <f>INDEX($C$1:$I$1,MATCH(Tabel3[[#This Row],[Type]],Devoirs[[#Headers],[J0]:[J60]],0))</f>
        <v>5</v>
      </c>
      <c r="Q95" s="105" cm="1">
        <f t="array" aca="1" ref="Q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45912.354583333334</v>
      </c>
      <c r="R95" s="105">
        <f ca="1">MAX(Tabel3[[#This Row],[jour]]+$R$3,IF(ROW()-ROW(Tabel3[[#Headers],[debut]])=1,DATE(2025,9,1)+$R$3,OFFSET(Tabel3[[#This Row],[fin]],-1,)))</f>
        <v>45917.524895833332</v>
      </c>
      <c r="S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45917.540833333333</v>
      </c>
      <c r="T95" s="102">
        <f ca="1">--(Tabel3[[#This Row],[jour]]&lt;&gt;TRUNC(Tabel3[[#This Row],[fin]]))</f>
        <v>0</v>
      </c>
      <c r="U95" s="102">
        <f ca="1">IF(Tabel3[[#This Row],[Type]]="j0",0,--(TRUNC(Tabel3[[#This Row],[debut]])-TRUNC(Tabel3[[#This Row],[fin precedent]])&lt;Tabel3[[#This Row],[delai]]))</f>
        <v>0</v>
      </c>
    </row>
    <row r="96" spans="1:25" ht="18" customHeight="1" x14ac:dyDescent="0.2">
      <c r="A96" s="74" t="s">
        <v>134</v>
      </c>
      <c r="B96" s="74">
        <v>102</v>
      </c>
      <c r="C96" s="97">
        <v>45923</v>
      </c>
      <c r="D96" s="97">
        <f t="shared" si="7"/>
        <v>45925</v>
      </c>
      <c r="E96" s="97">
        <f t="shared" si="7"/>
        <v>45929</v>
      </c>
      <c r="F96" s="97">
        <f t="shared" si="7"/>
        <v>45933</v>
      </c>
      <c r="G96" s="97">
        <f t="shared" si="7"/>
        <v>45938</v>
      </c>
      <c r="H96" s="97">
        <f t="shared" si="7"/>
        <v>45953</v>
      </c>
      <c r="I96" s="97">
        <f t="shared" si="7"/>
        <v>45983</v>
      </c>
      <c r="L96" s="98" t="s">
        <v>62</v>
      </c>
      <c r="M96" s="98" t="s">
        <v>40</v>
      </c>
      <c r="N96" s="104">
        <v>45917</v>
      </c>
      <c r="O96" s="98">
        <v>35.550000000000004</v>
      </c>
      <c r="P96" s="98">
        <f>INDEX($C$1:$I$1,MATCH(Tabel3[[#This Row],[Type]],Devoirs[[#Headers],[J0]:[J60]],0))</f>
        <v>5</v>
      </c>
      <c r="Q96" s="105" cm="1">
        <f t="array" aca="1" ref="Q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45912.387499999997</v>
      </c>
      <c r="R96" s="105">
        <f ca="1">MAX(Tabel3[[#This Row],[jour]]+$R$3,IF(ROW()-ROW(Tabel3[[#Headers],[debut]])=1,DATE(2025,9,1)+$R$3,OFFSET(Tabel3[[#This Row],[fin]],-1,)))</f>
        <v>45917.540833333333</v>
      </c>
      <c r="S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45917.565520833334</v>
      </c>
      <c r="T96" s="102">
        <f ca="1">--(Tabel3[[#This Row],[jour]]&lt;&gt;TRUNC(Tabel3[[#This Row],[fin]]))</f>
        <v>0</v>
      </c>
      <c r="U96" s="102">
        <f ca="1">IF(Tabel3[[#This Row],[Type]]="j0",0,--(TRUNC(Tabel3[[#This Row],[debut]])-TRUNC(Tabel3[[#This Row],[fin precedent]])&lt;Tabel3[[#This Row],[delai]]))</f>
        <v>0</v>
      </c>
    </row>
    <row r="97" spans="1:21" ht="18" customHeight="1" x14ac:dyDescent="0.2">
      <c r="A97" s="46" t="s">
        <v>135</v>
      </c>
      <c r="B97" s="46"/>
      <c r="C97" s="97"/>
      <c r="D97" s="97" t="str">
        <f t="shared" si="7"/>
        <v/>
      </c>
      <c r="E97" s="97" t="str">
        <f t="shared" si="7"/>
        <v/>
      </c>
      <c r="F97" s="97" t="str">
        <f t="shared" si="7"/>
        <v/>
      </c>
      <c r="G97" s="97" t="str">
        <f t="shared" si="7"/>
        <v/>
      </c>
      <c r="H97" s="97" t="str">
        <f t="shared" si="7"/>
        <v/>
      </c>
      <c r="I97" s="97" t="str">
        <f t="shared" si="7"/>
        <v/>
      </c>
      <c r="L97" s="98" t="s">
        <v>114</v>
      </c>
      <c r="M97" s="98" t="s">
        <v>40</v>
      </c>
      <c r="N97" s="104">
        <v>45917</v>
      </c>
      <c r="O97" s="98">
        <v>41.4</v>
      </c>
      <c r="P97" s="98">
        <f>INDEX($C$1:$I$1,MATCH(Tabel3[[#This Row],[Type]],Devoirs[[#Headers],[J0]:[J60]],0))</f>
        <v>5</v>
      </c>
      <c r="Q97" s="105" cm="1">
        <f t="array" aca="1" ref="Q9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45912.425833333327</v>
      </c>
      <c r="R97" s="105">
        <f ca="1">MAX(Tabel3[[#This Row],[jour]]+$R$3,IF(ROW()-ROW(Tabel3[[#Headers],[debut]])=1,DATE(2025,9,1)+$R$3,OFFSET(Tabel3[[#This Row],[fin]],-1,)))</f>
        <v>45917.565520833334</v>
      </c>
      <c r="S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45917.594270833331</v>
      </c>
      <c r="T97" s="102">
        <f ca="1">--(Tabel3[[#This Row],[jour]]&lt;&gt;TRUNC(Tabel3[[#This Row],[fin]]))</f>
        <v>0</v>
      </c>
      <c r="U97" s="102">
        <f ca="1">IF(Tabel3[[#This Row],[Type]]="j0",0,--(TRUNC(Tabel3[[#This Row],[debut]])-TRUNC(Tabel3[[#This Row],[fin precedent]])&lt;Tabel3[[#This Row],[delai]]))</f>
        <v>0</v>
      </c>
    </row>
    <row r="98" spans="1:21" ht="18" customHeight="1" x14ac:dyDescent="0.2">
      <c r="A98" s="75" t="s">
        <v>136</v>
      </c>
      <c r="B98" s="75">
        <v>58</v>
      </c>
      <c r="C98" s="97">
        <v>45923</v>
      </c>
      <c r="D98" s="97">
        <f t="shared" si="7"/>
        <v>45925</v>
      </c>
      <c r="E98" s="97">
        <f t="shared" si="7"/>
        <v>45929</v>
      </c>
      <c r="F98" s="97">
        <f t="shared" si="7"/>
        <v>45933</v>
      </c>
      <c r="G98" s="97">
        <f t="shared" si="7"/>
        <v>45938</v>
      </c>
      <c r="H98" s="97">
        <f t="shared" si="7"/>
        <v>45953</v>
      </c>
      <c r="I98" s="97">
        <f t="shared" si="7"/>
        <v>45983</v>
      </c>
      <c r="L98" s="98" t="s">
        <v>88</v>
      </c>
      <c r="M98" s="98" t="s">
        <v>40</v>
      </c>
      <c r="N98" s="104">
        <v>45917</v>
      </c>
      <c r="O98" s="98">
        <v>50.85</v>
      </c>
      <c r="P98" s="98">
        <f>INDEX($C$1:$I$1,MATCH(Tabel3[[#This Row],[Type]],Devoirs[[#Headers],[J0]:[J60]],0))</f>
        <v>5</v>
      </c>
      <c r="Q98" s="105" cm="1">
        <f t="array" aca="1" ref="Q9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45912.472916666658</v>
      </c>
      <c r="R98" s="105">
        <f ca="1">MAX(Tabel3[[#This Row],[jour]]+$R$3,IF(ROW()-ROW(Tabel3[[#Headers],[debut]])=1,DATE(2025,9,1)+$R$3,OFFSET(Tabel3[[#This Row],[fin]],-1,)))</f>
        <v>45917.594270833331</v>
      </c>
      <c r="S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45917.629583333328</v>
      </c>
      <c r="T98" s="102">
        <f ca="1">--(Tabel3[[#This Row],[jour]]&lt;&gt;TRUNC(Tabel3[[#This Row],[fin]]))</f>
        <v>0</v>
      </c>
      <c r="U98" s="102">
        <f ca="1">IF(Tabel3[[#This Row],[Type]]="j0",0,--(TRUNC(Tabel3[[#This Row],[debut]])-TRUNC(Tabel3[[#This Row],[fin precedent]])&lt;Tabel3[[#This Row],[delai]]))</f>
        <v>0</v>
      </c>
    </row>
    <row r="99" spans="1:21" ht="18" customHeight="1" x14ac:dyDescent="0.2">
      <c r="A99" s="75" t="s">
        <v>137</v>
      </c>
      <c r="B99" s="75">
        <v>36</v>
      </c>
      <c r="C99" s="97">
        <v>45916</v>
      </c>
      <c r="D99" s="97">
        <f t="shared" si="7"/>
        <v>45918</v>
      </c>
      <c r="E99" s="97">
        <f t="shared" si="7"/>
        <v>45922</v>
      </c>
      <c r="F99" s="97">
        <f t="shared" si="7"/>
        <v>45926</v>
      </c>
      <c r="G99" s="97">
        <f t="shared" si="7"/>
        <v>45931</v>
      </c>
      <c r="H99" s="97">
        <f t="shared" si="7"/>
        <v>45946</v>
      </c>
      <c r="I99" s="97">
        <f t="shared" si="7"/>
        <v>45976</v>
      </c>
      <c r="L99" s="98" t="s">
        <v>98</v>
      </c>
      <c r="M99" s="98" t="s">
        <v>1</v>
      </c>
      <c r="N99" s="104">
        <v>45917</v>
      </c>
      <c r="O99" s="98">
        <v>90</v>
      </c>
      <c r="P99" s="98">
        <f>INDEX($C$1:$I$1,MATCH(Tabel3[[#This Row],[Type]],Devoirs[[#Headers],[J0]:[J60]],0))</f>
        <v>0</v>
      </c>
      <c r="Q99" s="105" t="str" cm="1">
        <f t="array" ref="Q9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99" s="105">
        <f ca="1">MAX(Tabel3[[#This Row],[jour]]+$R$3,IF(ROW()-ROW(Tabel3[[#Headers],[debut]])=1,DATE(2025,9,1)+$R$3,OFFSET(Tabel3[[#This Row],[fin]],-1,)))</f>
        <v>45917.629583333328</v>
      </c>
      <c r="S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45917.692083333328</v>
      </c>
      <c r="T99" s="102">
        <f ca="1">--(Tabel3[[#This Row],[jour]]&lt;&gt;TRUNC(Tabel3[[#This Row],[fin]]))</f>
        <v>0</v>
      </c>
      <c r="U99" s="102">
        <f>IF(Tabel3[[#This Row],[Type]]="j0",0,--(TRUNC(Tabel3[[#This Row],[debut]])-TRUNC(Tabel3[[#This Row],[fin precedent]])&lt;Tabel3[[#This Row],[delai]]))</f>
        <v>0</v>
      </c>
    </row>
    <row r="100" spans="1:21" ht="18" customHeight="1" x14ac:dyDescent="0.2">
      <c r="A100" s="75" t="s">
        <v>138</v>
      </c>
      <c r="B100" s="75">
        <v>32</v>
      </c>
      <c r="C100" s="97">
        <v>45901</v>
      </c>
      <c r="D100" s="97">
        <f t="shared" si="7"/>
        <v>45903</v>
      </c>
      <c r="E100" s="97">
        <f t="shared" si="7"/>
        <v>45907</v>
      </c>
      <c r="F100" s="97">
        <f t="shared" si="7"/>
        <v>45911</v>
      </c>
      <c r="G100" s="97">
        <f t="shared" si="7"/>
        <v>45916</v>
      </c>
      <c r="H100" s="97">
        <f t="shared" si="7"/>
        <v>45931</v>
      </c>
      <c r="I100" s="97">
        <f t="shared" si="7"/>
        <v>45961</v>
      </c>
      <c r="L100" s="98" t="s">
        <v>102</v>
      </c>
      <c r="M100" s="98" t="s">
        <v>1</v>
      </c>
      <c r="N100" s="104">
        <v>45917</v>
      </c>
      <c r="O100" s="98">
        <v>112</v>
      </c>
      <c r="P100" s="98">
        <f>INDEX($C$1:$I$1,MATCH(Tabel3[[#This Row],[Type]],Devoirs[[#Headers],[J0]:[J60]],0))</f>
        <v>0</v>
      </c>
      <c r="Q100" s="105" t="str" cm="1">
        <f t="array" ref="Q10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00" s="105">
        <f ca="1">MAX(Tabel3[[#This Row],[jour]]+$R$3,IF(ROW()-ROW(Tabel3[[#Headers],[debut]])=1,DATE(2025,9,1)+$R$3,OFFSET(Tabel3[[#This Row],[fin]],-1,)))</f>
        <v>45917.692083333328</v>
      </c>
      <c r="S1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45918.35319444444</v>
      </c>
      <c r="T100" s="102">
        <f ca="1">--(Tabel3[[#This Row],[jour]]&lt;&gt;TRUNC(Tabel3[[#This Row],[fin]]))</f>
        <v>1</v>
      </c>
      <c r="U100" s="102">
        <f>IF(Tabel3[[#This Row],[Type]]="j0",0,--(TRUNC(Tabel3[[#This Row],[debut]])-TRUNC(Tabel3[[#This Row],[fin precedent]])&lt;Tabel3[[#This Row],[delai]]))</f>
        <v>0</v>
      </c>
    </row>
    <row r="101" spans="1:21" ht="18" customHeight="1" x14ac:dyDescent="0.2">
      <c r="A101" s="75" t="s">
        <v>139</v>
      </c>
      <c r="B101" s="75">
        <v>108</v>
      </c>
      <c r="C101" s="97">
        <v>45940</v>
      </c>
      <c r="D101" s="97">
        <f t="shared" si="7"/>
        <v>45942</v>
      </c>
      <c r="E101" s="97">
        <f t="shared" si="7"/>
        <v>45946</v>
      </c>
      <c r="F101" s="97">
        <f t="shared" si="7"/>
        <v>45950</v>
      </c>
      <c r="G101" s="97">
        <f t="shared" si="7"/>
        <v>45955</v>
      </c>
      <c r="H101" s="97">
        <f t="shared" si="7"/>
        <v>45970</v>
      </c>
      <c r="I101" s="97">
        <f t="shared" si="7"/>
        <v>46000</v>
      </c>
      <c r="L101" s="98" t="s">
        <v>59</v>
      </c>
      <c r="M101" s="98" t="s">
        <v>1</v>
      </c>
      <c r="N101" s="104">
        <v>45917</v>
      </c>
      <c r="O101" s="98">
        <v>113</v>
      </c>
      <c r="P101" s="98">
        <f>INDEX($C$1:$I$1,MATCH(Tabel3[[#This Row],[Type]],Devoirs[[#Headers],[J0]:[J60]],0))</f>
        <v>0</v>
      </c>
      <c r="Q101" s="105" t="str" cm="1">
        <f t="array" ref="Q10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01" s="105">
        <f ca="1">MAX(Tabel3[[#This Row],[jour]]+$R$3,IF(ROW()-ROW(Tabel3[[#Headers],[debut]])=1,DATE(2025,9,1)+$R$3,OFFSET(Tabel3[[#This Row],[fin]],-1,)))</f>
        <v>45918.35319444444</v>
      </c>
      <c r="S1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45918.431666666664</v>
      </c>
      <c r="T101" s="102">
        <f ca="1">--(Tabel3[[#This Row],[jour]]&lt;&gt;TRUNC(Tabel3[[#This Row],[fin]]))</f>
        <v>1</v>
      </c>
      <c r="U101" s="102">
        <f>IF(Tabel3[[#This Row],[Type]]="j0",0,--(TRUNC(Tabel3[[#This Row],[debut]])-TRUNC(Tabel3[[#This Row],[fin precedent]])&lt;Tabel3[[#This Row],[delai]]))</f>
        <v>0</v>
      </c>
    </row>
    <row r="102" spans="1:21" ht="18" customHeight="1" x14ac:dyDescent="0.2">
      <c r="A102" s="75" t="s">
        <v>140</v>
      </c>
      <c r="B102" s="75">
        <v>69</v>
      </c>
      <c r="C102" s="97">
        <v>45908</v>
      </c>
      <c r="D102" s="97">
        <f t="shared" ref="D102:I108" si="8">IF($C102&gt;0,$C102+D$2,"")</f>
        <v>45910</v>
      </c>
      <c r="E102" s="97">
        <f t="shared" si="8"/>
        <v>45914</v>
      </c>
      <c r="F102" s="97">
        <f t="shared" si="8"/>
        <v>45918</v>
      </c>
      <c r="G102" s="97">
        <f t="shared" si="8"/>
        <v>45923</v>
      </c>
      <c r="H102" s="97">
        <f t="shared" si="8"/>
        <v>45938</v>
      </c>
      <c r="I102" s="97">
        <f t="shared" si="8"/>
        <v>45968</v>
      </c>
      <c r="L102" s="98" t="s">
        <v>99</v>
      </c>
      <c r="M102" s="98" t="s">
        <v>1</v>
      </c>
      <c r="N102" s="104">
        <v>45917</v>
      </c>
      <c r="O102" s="98">
        <v>120</v>
      </c>
      <c r="P102" s="98">
        <f>INDEX($C$1:$I$1,MATCH(Tabel3[[#This Row],[Type]],Devoirs[[#Headers],[J0]:[J60]],0))</f>
        <v>0</v>
      </c>
      <c r="Q102" s="105" t="str" cm="1">
        <f t="array" ref="Q10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02" s="105">
        <f ca="1">MAX(Tabel3[[#This Row],[jour]]+$R$3,IF(ROW()-ROW(Tabel3[[#Headers],[debut]])=1,DATE(2025,9,1)+$R$3,OFFSET(Tabel3[[#This Row],[fin]],-1,)))</f>
        <v>45918.431666666664</v>
      </c>
      <c r="S1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45918.514999999999</v>
      </c>
      <c r="T102" s="102">
        <f ca="1">--(Tabel3[[#This Row],[jour]]&lt;&gt;TRUNC(Tabel3[[#This Row],[fin]]))</f>
        <v>1</v>
      </c>
      <c r="U102" s="102">
        <f>IF(Tabel3[[#This Row],[Type]]="j0",0,--(TRUNC(Tabel3[[#This Row],[debut]])-TRUNC(Tabel3[[#This Row],[fin precedent]])&lt;Tabel3[[#This Row],[delai]]))</f>
        <v>0</v>
      </c>
    </row>
    <row r="103" spans="1:21" ht="18" customHeight="1" x14ac:dyDescent="0.2">
      <c r="A103" s="75" t="s">
        <v>141</v>
      </c>
      <c r="B103" s="75">
        <v>63</v>
      </c>
      <c r="C103" s="97">
        <v>45905</v>
      </c>
      <c r="D103" s="97">
        <f t="shared" si="8"/>
        <v>45907</v>
      </c>
      <c r="E103" s="97">
        <f t="shared" si="8"/>
        <v>45911</v>
      </c>
      <c r="F103" s="97">
        <f t="shared" si="8"/>
        <v>45915</v>
      </c>
      <c r="G103" s="97">
        <f t="shared" si="8"/>
        <v>45920</v>
      </c>
      <c r="H103" s="97">
        <f t="shared" si="8"/>
        <v>45935</v>
      </c>
      <c r="I103" s="97">
        <f t="shared" si="8"/>
        <v>45965</v>
      </c>
      <c r="L103" s="98" t="s">
        <v>118</v>
      </c>
      <c r="M103" s="98" t="s">
        <v>38</v>
      </c>
      <c r="N103" s="104">
        <v>45918</v>
      </c>
      <c r="O103" s="98">
        <v>33.75</v>
      </c>
      <c r="P103" s="98">
        <f>INDEX($C$1:$I$1,MATCH(Tabel3[[#This Row],[Type]],Devoirs[[#Headers],[J0]:[J60]],0))</f>
        <v>4</v>
      </c>
      <c r="Q103" s="105" cm="1">
        <f t="array" aca="1" ref="Q10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45914.681770833333</v>
      </c>
      <c r="R103" s="105">
        <f ca="1">MAX(Tabel3[[#This Row],[jour]]+$R$3,IF(ROW()-ROW(Tabel3[[#Headers],[debut]])=1,DATE(2025,9,1)+$R$3,OFFSET(Tabel3[[#This Row],[fin]],-1,)))</f>
        <v>45918.514999999999</v>
      </c>
      <c r="S1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45918.538437499999</v>
      </c>
      <c r="T103" s="102">
        <f ca="1">--(Tabel3[[#This Row],[jour]]&lt;&gt;TRUNC(Tabel3[[#This Row],[fin]]))</f>
        <v>0</v>
      </c>
      <c r="U103" s="102">
        <f ca="1">IF(Tabel3[[#This Row],[Type]]="j0",0,--(TRUNC(Tabel3[[#This Row],[debut]])-TRUNC(Tabel3[[#This Row],[fin precedent]])&lt;Tabel3[[#This Row],[delai]]))</f>
        <v>0</v>
      </c>
    </row>
    <row r="104" spans="1:21" ht="18" customHeight="1" x14ac:dyDescent="0.2">
      <c r="A104" s="75" t="s">
        <v>142</v>
      </c>
      <c r="B104" s="75">
        <v>40</v>
      </c>
      <c r="C104" s="97">
        <v>45918</v>
      </c>
      <c r="D104" s="97">
        <f t="shared" si="8"/>
        <v>45920</v>
      </c>
      <c r="E104" s="97">
        <f t="shared" si="8"/>
        <v>45924</v>
      </c>
      <c r="F104" s="97">
        <f t="shared" si="8"/>
        <v>45928</v>
      </c>
      <c r="G104" s="97">
        <f t="shared" si="8"/>
        <v>45933</v>
      </c>
      <c r="H104" s="97">
        <f t="shared" si="8"/>
        <v>45948</v>
      </c>
      <c r="I104" s="97">
        <f t="shared" si="8"/>
        <v>45978</v>
      </c>
      <c r="L104" s="98" t="s">
        <v>96</v>
      </c>
      <c r="M104" s="98" t="s">
        <v>38</v>
      </c>
      <c r="N104" s="104">
        <v>45918</v>
      </c>
      <c r="O104" s="98">
        <v>48</v>
      </c>
      <c r="P104" s="98">
        <f>INDEX($C$1:$I$1,MATCH(Tabel3[[#This Row],[Type]],Devoirs[[#Headers],[J0]:[J60]],0))</f>
        <v>4</v>
      </c>
      <c r="Q104" s="105" cm="1">
        <f t="array" aca="1" ref="Q10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45914.721770833334</v>
      </c>
      <c r="R104" s="105">
        <f ca="1">MAX(Tabel3[[#This Row],[jour]]+$R$3,IF(ROW()-ROW(Tabel3[[#Headers],[debut]])=1,DATE(2025,9,1)+$R$3,OFFSET(Tabel3[[#This Row],[fin]],-1,)))</f>
        <v>45918.538437499999</v>
      </c>
      <c r="S1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45918.571770833332</v>
      </c>
      <c r="T104" s="102">
        <f ca="1">--(Tabel3[[#This Row],[jour]]&lt;&gt;TRUNC(Tabel3[[#This Row],[fin]]))</f>
        <v>0</v>
      </c>
      <c r="U104" s="102">
        <f ca="1">IF(Tabel3[[#This Row],[Type]]="j0",0,--(TRUNC(Tabel3[[#This Row],[debut]])-TRUNC(Tabel3[[#This Row],[fin precedent]])&lt;Tabel3[[#This Row],[delai]]))</f>
        <v>0</v>
      </c>
    </row>
    <row r="105" spans="1:21" ht="18" customHeight="1" x14ac:dyDescent="0.2">
      <c r="A105" s="75" t="s">
        <v>373</v>
      </c>
      <c r="B105" s="75">
        <v>108</v>
      </c>
      <c r="C105" s="97">
        <v>45909</v>
      </c>
      <c r="D105" s="97">
        <f t="shared" si="8"/>
        <v>45911</v>
      </c>
      <c r="E105" s="97">
        <f t="shared" si="8"/>
        <v>45915</v>
      </c>
      <c r="F105" s="97">
        <f t="shared" si="8"/>
        <v>45919</v>
      </c>
      <c r="G105" s="97">
        <f t="shared" si="8"/>
        <v>45924</v>
      </c>
      <c r="H105" s="97">
        <f t="shared" si="8"/>
        <v>45939</v>
      </c>
      <c r="I105" s="97">
        <f t="shared" si="8"/>
        <v>45969</v>
      </c>
      <c r="L105" s="98" t="s">
        <v>78</v>
      </c>
      <c r="M105" s="98" t="s">
        <v>38</v>
      </c>
      <c r="N105" s="104">
        <v>45918</v>
      </c>
      <c r="O105" s="98">
        <v>65.25</v>
      </c>
      <c r="P105" s="98">
        <f>INDEX($C$1:$I$1,MATCH(Tabel3[[#This Row],[Type]],Devoirs[[#Headers],[J0]:[J60]],0))</f>
        <v>4</v>
      </c>
      <c r="Q105" s="105" cm="1">
        <f t="array" aca="1" ref="Q10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45915.359479166669</v>
      </c>
      <c r="R105" s="105">
        <f ca="1">MAX(Tabel3[[#This Row],[jour]]+$R$3,IF(ROW()-ROW(Tabel3[[#Headers],[debut]])=1,DATE(2025,9,1)+$R$3,OFFSET(Tabel3[[#This Row],[fin]],-1,)))</f>
        <v>45918.571770833332</v>
      </c>
      <c r="S1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45918.617083333331</v>
      </c>
      <c r="T105" s="102">
        <f ca="1">--(Tabel3[[#This Row],[jour]]&lt;&gt;TRUNC(Tabel3[[#This Row],[fin]]))</f>
        <v>0</v>
      </c>
      <c r="U105" s="102">
        <f ca="1">IF(Tabel3[[#This Row],[Type]]="j0",0,--(TRUNC(Tabel3[[#This Row],[debut]])-TRUNC(Tabel3[[#This Row],[fin precedent]])&lt;Tabel3[[#This Row],[delai]]))</f>
        <v>1</v>
      </c>
    </row>
    <row r="106" spans="1:21" ht="18" customHeight="1" x14ac:dyDescent="0.2">
      <c r="A106" s="75" t="s">
        <v>374</v>
      </c>
      <c r="B106" s="75">
        <v>54</v>
      </c>
      <c r="C106" s="97">
        <v>45911</v>
      </c>
      <c r="D106" s="97">
        <f t="shared" si="8"/>
        <v>45913</v>
      </c>
      <c r="E106" s="97">
        <f t="shared" si="8"/>
        <v>45917</v>
      </c>
      <c r="F106" s="97">
        <f t="shared" si="8"/>
        <v>45921</v>
      </c>
      <c r="G106" s="97">
        <f t="shared" si="8"/>
        <v>45926</v>
      </c>
      <c r="H106" s="97">
        <f t="shared" si="8"/>
        <v>45941</v>
      </c>
      <c r="I106" s="97">
        <f t="shared" si="8"/>
        <v>45971</v>
      </c>
      <c r="L106" s="98" t="s">
        <v>66</v>
      </c>
      <c r="M106" s="98" t="s">
        <v>38</v>
      </c>
      <c r="N106" s="104">
        <v>45918</v>
      </c>
      <c r="O106" s="98">
        <v>69</v>
      </c>
      <c r="P106" s="98">
        <f>INDEX($C$1:$I$1,MATCH(Tabel3[[#This Row],[Type]],Devoirs[[#Headers],[J0]:[J60]],0))</f>
        <v>4</v>
      </c>
      <c r="Q106" s="105" cm="1">
        <f t="array" aca="1" ref="Q10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45915.416979166672</v>
      </c>
      <c r="R106" s="105">
        <f ca="1">MAX(Tabel3[[#This Row],[jour]]+$R$3,IF(ROW()-ROW(Tabel3[[#Headers],[debut]])=1,DATE(2025,9,1)+$R$3,OFFSET(Tabel3[[#This Row],[fin]],-1,)))</f>
        <v>45918.617083333331</v>
      </c>
      <c r="S1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45918.665000000001</v>
      </c>
      <c r="T106" s="102">
        <f ca="1">--(Tabel3[[#This Row],[jour]]&lt;&gt;TRUNC(Tabel3[[#This Row],[fin]]))</f>
        <v>0</v>
      </c>
      <c r="U106" s="102">
        <f ca="1">IF(Tabel3[[#This Row],[Type]]="j0",0,--(TRUNC(Tabel3[[#This Row],[debut]])-TRUNC(Tabel3[[#This Row],[fin precedent]])&lt;Tabel3[[#This Row],[delai]]))</f>
        <v>1</v>
      </c>
    </row>
    <row r="107" spans="1:21" ht="18" customHeight="1" x14ac:dyDescent="0.2">
      <c r="A107" s="75" t="s">
        <v>375</v>
      </c>
      <c r="B107" s="75">
        <v>104</v>
      </c>
      <c r="C107" s="97">
        <v>45919</v>
      </c>
      <c r="D107" s="97">
        <f t="shared" si="8"/>
        <v>45921</v>
      </c>
      <c r="E107" s="97">
        <f t="shared" si="8"/>
        <v>45925</v>
      </c>
      <c r="F107" s="97">
        <f t="shared" si="8"/>
        <v>45929</v>
      </c>
      <c r="G107" s="97">
        <f t="shared" si="8"/>
        <v>45934</v>
      </c>
      <c r="H107" s="97">
        <f t="shared" si="8"/>
        <v>45949</v>
      </c>
      <c r="I107" s="97">
        <f t="shared" si="8"/>
        <v>45979</v>
      </c>
      <c r="L107" s="98" t="s">
        <v>137</v>
      </c>
      <c r="M107" s="98" t="s">
        <v>37</v>
      </c>
      <c r="N107" s="104">
        <v>45918</v>
      </c>
      <c r="O107" s="98">
        <v>32.4</v>
      </c>
      <c r="P107" s="98">
        <f>INDEX($C$1:$I$1,MATCH(Tabel3[[#This Row],[Type]],Devoirs[[#Headers],[J0]:[J60]],0))</f>
        <v>2</v>
      </c>
      <c r="Q107" s="105" cm="1">
        <f t="array" aca="1" ref="Q10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45916.368333333339</v>
      </c>
      <c r="R107" s="105">
        <f ca="1">MAX(Tabel3[[#This Row],[jour]]+$R$3,IF(ROW()-ROW(Tabel3[[#Headers],[debut]])=1,DATE(2025,9,1)+$R$3,OFFSET(Tabel3[[#This Row],[fin]],-1,)))</f>
        <v>45918.665000000001</v>
      </c>
      <c r="S1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45918.6875</v>
      </c>
      <c r="T107" s="102">
        <f ca="1">--(Tabel3[[#This Row],[jour]]&lt;&gt;TRUNC(Tabel3[[#This Row],[fin]]))</f>
        <v>0</v>
      </c>
      <c r="U107" s="102">
        <f ca="1">IF(Tabel3[[#This Row],[Type]]="j0",0,--(TRUNC(Tabel3[[#This Row],[debut]])-TRUNC(Tabel3[[#This Row],[fin precedent]])&lt;Tabel3[[#This Row],[delai]]))</f>
        <v>0</v>
      </c>
    </row>
    <row r="108" spans="1:21" ht="18" customHeight="1" x14ac:dyDescent="0.2">
      <c r="A108" s="75" t="s">
        <v>376</v>
      </c>
      <c r="B108" s="75">
        <v>83</v>
      </c>
      <c r="C108" s="97">
        <v>45908</v>
      </c>
      <c r="D108" s="97">
        <f t="shared" si="8"/>
        <v>45910</v>
      </c>
      <c r="E108" s="97">
        <f t="shared" si="8"/>
        <v>45914</v>
      </c>
      <c r="F108" s="97">
        <f t="shared" si="8"/>
        <v>45918</v>
      </c>
      <c r="G108" s="97">
        <f t="shared" si="8"/>
        <v>45923</v>
      </c>
      <c r="H108" s="97">
        <f t="shared" si="8"/>
        <v>45938</v>
      </c>
      <c r="I108" s="97">
        <f t="shared" si="8"/>
        <v>45968</v>
      </c>
      <c r="L108" s="98" t="s">
        <v>105</v>
      </c>
      <c r="M108" s="98" t="s">
        <v>37</v>
      </c>
      <c r="N108" s="104">
        <v>45918</v>
      </c>
      <c r="O108" s="98">
        <v>40.5</v>
      </c>
      <c r="P108" s="98">
        <f>INDEX($C$1:$I$1,MATCH(Tabel3[[#This Row],[Type]],Devoirs[[#Headers],[J0]:[J60]],0))</f>
        <v>2</v>
      </c>
      <c r="Q108" s="105" cm="1">
        <f t="array" aca="1" ref="Q1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45916.399583333339</v>
      </c>
      <c r="R108" s="105">
        <f ca="1">MAX(Tabel3[[#This Row],[jour]]+$R$3,IF(ROW()-ROW(Tabel3[[#Headers],[debut]])=1,DATE(2025,9,1)+$R$3,OFFSET(Tabel3[[#This Row],[fin]],-1,)))</f>
        <v>45918.6875</v>
      </c>
      <c r="S1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45918.715624999997</v>
      </c>
      <c r="T108" s="102">
        <f ca="1">--(Tabel3[[#This Row],[jour]]&lt;&gt;TRUNC(Tabel3[[#This Row],[fin]]))</f>
        <v>0</v>
      </c>
      <c r="U108" s="102">
        <f ca="1">IF(Tabel3[[#This Row],[Type]]="j0",0,--(TRUNC(Tabel3[[#This Row],[debut]])-TRUNC(Tabel3[[#This Row],[fin precedent]])&lt;Tabel3[[#This Row],[delai]]))</f>
        <v>0</v>
      </c>
    </row>
    <row r="109" spans="1:21" ht="18" customHeight="1" x14ac:dyDescent="0.2">
      <c r="L109" s="98" t="s">
        <v>69</v>
      </c>
      <c r="M109" s="98" t="s">
        <v>37</v>
      </c>
      <c r="N109" s="104">
        <v>45918</v>
      </c>
      <c r="O109" s="98">
        <v>43.2</v>
      </c>
      <c r="P109" s="98">
        <f>INDEX($C$1:$I$1,MATCH(Tabel3[[#This Row],[Type]],Devoirs[[#Headers],[J0]:[J60]],0))</f>
        <v>2</v>
      </c>
      <c r="Q109" s="105" cm="1">
        <f t="array" aca="1" ref="Q1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45916.432916666672</v>
      </c>
      <c r="R109" s="105">
        <f ca="1">MAX(Tabel3[[#This Row],[jour]]+$R$3,IF(ROW()-ROW(Tabel3[[#Headers],[debut]])=1,DATE(2025,9,1)+$R$3,OFFSET(Tabel3[[#This Row],[fin]],-1,)))</f>
        <v>45918.715624999997</v>
      </c>
      <c r="S1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45918.745624999996</v>
      </c>
      <c r="T109" s="102">
        <f ca="1">--(Tabel3[[#This Row],[jour]]&lt;&gt;TRUNC(Tabel3[[#This Row],[fin]]))</f>
        <v>0</v>
      </c>
      <c r="U109" s="102">
        <f ca="1">IF(Tabel3[[#This Row],[Type]]="j0",0,--(TRUNC(Tabel3[[#This Row],[debut]])-TRUNC(Tabel3[[#This Row],[fin precedent]])&lt;Tabel3[[#This Row],[delai]]))</f>
        <v>0</v>
      </c>
    </row>
    <row r="110" spans="1:21" ht="18" customHeight="1" x14ac:dyDescent="0.2">
      <c r="L110" s="98" t="s">
        <v>80</v>
      </c>
      <c r="M110" s="98" t="s">
        <v>37</v>
      </c>
      <c r="N110" s="104">
        <v>45918</v>
      </c>
      <c r="O110" s="98">
        <v>44.1</v>
      </c>
      <c r="P110" s="98">
        <f>INDEX($C$1:$I$1,MATCH(Tabel3[[#This Row],[Type]],Devoirs[[#Headers],[J0]:[J60]],0))</f>
        <v>2</v>
      </c>
      <c r="Q110" s="105" cm="1">
        <f t="array" aca="1" ref="Q1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45916.466944444452</v>
      </c>
      <c r="R110" s="105">
        <f ca="1">MAX(Tabel3[[#This Row],[jour]]+$R$3,IF(ROW()-ROW(Tabel3[[#Headers],[debut]])=1,DATE(2025,9,1)+$R$3,OFFSET(Tabel3[[#This Row],[fin]],-1,)))</f>
        <v>45918.745624999996</v>
      </c>
      <c r="S1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45919.359583333331</v>
      </c>
      <c r="T110" s="102">
        <f ca="1">--(Tabel3[[#This Row],[jour]]&lt;&gt;TRUNC(Tabel3[[#This Row],[fin]]))</f>
        <v>1</v>
      </c>
      <c r="U110" s="102">
        <f ca="1">IF(Tabel3[[#This Row],[Type]]="j0",0,--(TRUNC(Tabel3[[#This Row],[debut]])-TRUNC(Tabel3[[#This Row],[fin precedent]])&lt;Tabel3[[#This Row],[delai]]))</f>
        <v>0</v>
      </c>
    </row>
    <row r="111" spans="1:21" ht="18" customHeight="1" x14ac:dyDescent="0.2">
      <c r="L111" s="98" t="s">
        <v>117</v>
      </c>
      <c r="M111" s="98" t="s">
        <v>37</v>
      </c>
      <c r="N111" s="104">
        <v>45918</v>
      </c>
      <c r="O111" s="98">
        <v>54</v>
      </c>
      <c r="P111" s="98">
        <f>INDEX($C$1:$I$1,MATCH(Tabel3[[#This Row],[Type]],Devoirs[[#Headers],[J0]:[J60]],0))</f>
        <v>2</v>
      </c>
      <c r="Q111" s="105" cm="1">
        <f t="array" aca="1" ref="Q1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45916.508611111116</v>
      </c>
      <c r="R111" s="105">
        <f ca="1">MAX(Tabel3[[#This Row],[jour]]+$R$3,IF(ROW()-ROW(Tabel3[[#Headers],[debut]])=1,DATE(2025,9,1)+$R$3,OFFSET(Tabel3[[#This Row],[fin]],-1,)))</f>
        <v>45919.359583333331</v>
      </c>
      <c r="S1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45919.39708333333</v>
      </c>
      <c r="T111" s="102">
        <f ca="1">--(Tabel3[[#This Row],[jour]]&lt;&gt;TRUNC(Tabel3[[#This Row],[fin]]))</f>
        <v>1</v>
      </c>
      <c r="U111" s="102">
        <f ca="1">IF(Tabel3[[#This Row],[Type]]="j0",0,--(TRUNC(Tabel3[[#This Row],[debut]])-TRUNC(Tabel3[[#This Row],[fin precedent]])&lt;Tabel3[[#This Row],[delai]]))</f>
        <v>0</v>
      </c>
    </row>
    <row r="112" spans="1:21" ht="18" customHeight="1" x14ac:dyDescent="0.2">
      <c r="L112" s="98" t="s">
        <v>89</v>
      </c>
      <c r="M112" s="98" t="s">
        <v>40</v>
      </c>
      <c r="N112" s="104">
        <v>45918</v>
      </c>
      <c r="O112" s="98">
        <v>29.7</v>
      </c>
      <c r="P112" s="98">
        <f>INDEX($C$1:$I$1,MATCH(Tabel3[[#This Row],[Type]],Devoirs[[#Headers],[J0]:[J60]],0))</f>
        <v>5</v>
      </c>
      <c r="Q112" s="105" cm="1">
        <f t="array" aca="1" ref="Q1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45913.433958333335</v>
      </c>
      <c r="R112" s="105">
        <f ca="1">MAX(Tabel3[[#This Row],[jour]]+$R$3,IF(ROW()-ROW(Tabel3[[#Headers],[debut]])=1,DATE(2025,9,1)+$R$3,OFFSET(Tabel3[[#This Row],[fin]],-1,)))</f>
        <v>45919.39708333333</v>
      </c>
      <c r="S1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45919.417708333327</v>
      </c>
      <c r="T112" s="102">
        <f ca="1">--(Tabel3[[#This Row],[jour]]&lt;&gt;TRUNC(Tabel3[[#This Row],[fin]]))</f>
        <v>1</v>
      </c>
      <c r="U112" s="102">
        <f ca="1">IF(Tabel3[[#This Row],[Type]]="j0",0,--(TRUNC(Tabel3[[#This Row],[debut]])-TRUNC(Tabel3[[#This Row],[fin precedent]])&lt;Tabel3[[#This Row],[delai]]))</f>
        <v>0</v>
      </c>
    </row>
    <row r="113" spans="12:21" ht="18" customHeight="1" x14ac:dyDescent="0.2">
      <c r="L113" s="98" t="s">
        <v>90</v>
      </c>
      <c r="M113" s="98" t="s">
        <v>40</v>
      </c>
      <c r="N113" s="104">
        <v>45918</v>
      </c>
      <c r="O113" s="98">
        <v>45</v>
      </c>
      <c r="P113" s="98">
        <f>INDEX($C$1:$I$1,MATCH(Tabel3[[#This Row],[Type]],Devoirs[[#Headers],[J0]:[J60]],0))</f>
        <v>5</v>
      </c>
      <c r="Q113" s="105" cm="1">
        <f t="array" aca="1" ref="Q1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45913.475624999999</v>
      </c>
      <c r="R113" s="105">
        <f ca="1">MAX(Tabel3[[#This Row],[jour]]+$R$3,IF(ROW()-ROW(Tabel3[[#Headers],[debut]])=1,DATE(2025,9,1)+$R$3,OFFSET(Tabel3[[#This Row],[fin]],-1,)))</f>
        <v>45919.417708333327</v>
      </c>
      <c r="S1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45919.448958333327</v>
      </c>
      <c r="T113" s="102">
        <f ca="1">--(Tabel3[[#This Row],[jour]]&lt;&gt;TRUNC(Tabel3[[#This Row],[fin]]))</f>
        <v>1</v>
      </c>
      <c r="U113" s="102">
        <f ca="1">IF(Tabel3[[#This Row],[Type]]="j0",0,--(TRUNC(Tabel3[[#This Row],[debut]])-TRUNC(Tabel3[[#This Row],[fin precedent]])&lt;Tabel3[[#This Row],[delai]]))</f>
        <v>0</v>
      </c>
    </row>
    <row r="114" spans="12:21" ht="18" customHeight="1" x14ac:dyDescent="0.2">
      <c r="L114" s="98" t="s">
        <v>107</v>
      </c>
      <c r="M114" s="98" t="s">
        <v>40</v>
      </c>
      <c r="N114" s="104">
        <v>45918</v>
      </c>
      <c r="O114" s="98">
        <v>47.25</v>
      </c>
      <c r="P114" s="98">
        <f>INDEX($C$1:$I$1,MATCH(Tabel3[[#This Row],[Type]],Devoirs[[#Headers],[J0]:[J60]],0))</f>
        <v>5</v>
      </c>
      <c r="Q114" s="105" cm="1">
        <f t="array" aca="1" ref="Q1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45913.519374999996</v>
      </c>
      <c r="R114" s="105">
        <f ca="1">MAX(Tabel3[[#This Row],[jour]]+$R$3,IF(ROW()-ROW(Tabel3[[#Headers],[debut]])=1,DATE(2025,9,1)+$R$3,OFFSET(Tabel3[[#This Row],[fin]],-1,)))</f>
        <v>45919.448958333327</v>
      </c>
      <c r="S1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45919.481770833328</v>
      </c>
      <c r="T114" s="102">
        <f ca="1">--(Tabel3[[#This Row],[jour]]&lt;&gt;TRUNC(Tabel3[[#This Row],[fin]]))</f>
        <v>1</v>
      </c>
      <c r="U114" s="102">
        <f ca="1">IF(Tabel3[[#This Row],[Type]]="j0",0,--(TRUNC(Tabel3[[#This Row],[debut]])-TRUNC(Tabel3[[#This Row],[fin precedent]])&lt;Tabel3[[#This Row],[delai]]))</f>
        <v>0</v>
      </c>
    </row>
    <row r="115" spans="12:21" ht="18" customHeight="1" x14ac:dyDescent="0.2">
      <c r="L115" s="98" t="s">
        <v>140</v>
      </c>
      <c r="M115" s="98" t="s">
        <v>39</v>
      </c>
      <c r="N115" s="104">
        <v>45918</v>
      </c>
      <c r="O115" s="98">
        <v>41.4</v>
      </c>
      <c r="P115" s="98">
        <f>INDEX($C$1:$I$1,MATCH(Tabel3[[#This Row],[Type]],Devoirs[[#Headers],[J0]:[J60]],0))</f>
        <v>4</v>
      </c>
      <c r="Q115" s="105" cm="1">
        <f t="array" aca="1" ref="Q1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45914.369270833333</v>
      </c>
      <c r="R115" s="105">
        <f ca="1">MAX(Tabel3[[#This Row],[jour]]+$R$3,IF(ROW()-ROW(Tabel3[[#Headers],[debut]])=1,DATE(2025,9,1)+$R$3,OFFSET(Tabel3[[#This Row],[fin]],-1,)))</f>
        <v>45919.481770833328</v>
      </c>
      <c r="S1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45919.510520833326</v>
      </c>
      <c r="T115" s="102">
        <f ca="1">--(Tabel3[[#This Row],[jour]]&lt;&gt;TRUNC(Tabel3[[#This Row],[fin]]))</f>
        <v>1</v>
      </c>
      <c r="U115" s="102">
        <f ca="1">IF(Tabel3[[#This Row],[Type]]="j0",0,--(TRUNC(Tabel3[[#This Row],[debut]])-TRUNC(Tabel3[[#This Row],[fin precedent]])&lt;Tabel3[[#This Row],[delai]]))</f>
        <v>0</v>
      </c>
    </row>
    <row r="116" spans="12:21" ht="18" customHeight="1" x14ac:dyDescent="0.2">
      <c r="L116" s="98" t="s">
        <v>133</v>
      </c>
      <c r="M116" s="98" t="s">
        <v>39</v>
      </c>
      <c r="N116" s="104">
        <v>45918</v>
      </c>
      <c r="O116" s="98">
        <v>46.8</v>
      </c>
      <c r="P116" s="98">
        <f>INDEX($C$1:$I$1,MATCH(Tabel3[[#This Row],[Type]],Devoirs[[#Headers],[J0]:[J60]],0))</f>
        <v>4</v>
      </c>
      <c r="Q116" s="105" cm="1">
        <f t="array" aca="1" ref="Q1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45914.409895833334</v>
      </c>
      <c r="R116" s="105">
        <f ca="1">MAX(Tabel3[[#This Row],[jour]]+$R$3,IF(ROW()-ROW(Tabel3[[#Headers],[debut]])=1,DATE(2025,9,1)+$R$3,OFFSET(Tabel3[[#This Row],[fin]],-1,)))</f>
        <v>45919.510520833326</v>
      </c>
      <c r="S1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45919.543020833327</v>
      </c>
      <c r="T116" s="102">
        <f ca="1">--(Tabel3[[#This Row],[jour]]&lt;&gt;TRUNC(Tabel3[[#This Row],[fin]]))</f>
        <v>1</v>
      </c>
      <c r="U116" s="102">
        <f ca="1">IF(Tabel3[[#This Row],[Type]]="j0",0,--(TRUNC(Tabel3[[#This Row],[debut]])-TRUNC(Tabel3[[#This Row],[fin precedent]])&lt;Tabel3[[#This Row],[delai]]))</f>
        <v>0</v>
      </c>
    </row>
    <row r="117" spans="12:21" ht="18" customHeight="1" x14ac:dyDescent="0.2">
      <c r="L117" s="98" t="s">
        <v>376</v>
      </c>
      <c r="M117" s="98" t="s">
        <v>39</v>
      </c>
      <c r="N117" s="104">
        <v>45918</v>
      </c>
      <c r="O117" s="98">
        <v>49.8</v>
      </c>
      <c r="P117" s="98">
        <f>INDEX($C$1:$I$1,MATCH(Tabel3[[#This Row],[Type]],Devoirs[[#Headers],[J0]:[J60]],0))</f>
        <v>4</v>
      </c>
      <c r="Q117" s="105" cm="1">
        <f t="array" aca="1" ref="Q1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45914.453125</v>
      </c>
      <c r="R117" s="105">
        <f ca="1">MAX(Tabel3[[#This Row],[jour]]+$R$3,IF(ROW()-ROW(Tabel3[[#Headers],[debut]])=1,DATE(2025,9,1)+$R$3,OFFSET(Tabel3[[#This Row],[fin]],-1,)))</f>
        <v>45919.543020833327</v>
      </c>
      <c r="S1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45919.577604166661</v>
      </c>
      <c r="T117" s="102">
        <f ca="1">--(Tabel3[[#This Row],[jour]]&lt;&gt;TRUNC(Tabel3[[#This Row],[fin]]))</f>
        <v>1</v>
      </c>
      <c r="U117" s="102">
        <f ca="1">IF(Tabel3[[#This Row],[Type]]="j0",0,--(TRUNC(Tabel3[[#This Row],[debut]])-TRUNC(Tabel3[[#This Row],[fin precedent]])&lt;Tabel3[[#This Row],[delai]]))</f>
        <v>0</v>
      </c>
    </row>
    <row r="118" spans="12:21" ht="18" customHeight="1" x14ac:dyDescent="0.2">
      <c r="L118" s="98" t="s">
        <v>115</v>
      </c>
      <c r="M118" s="98" t="s">
        <v>39</v>
      </c>
      <c r="N118" s="104">
        <v>45918</v>
      </c>
      <c r="O118" s="98">
        <v>51</v>
      </c>
      <c r="P118" s="98">
        <f>INDEX($C$1:$I$1,MATCH(Tabel3[[#This Row],[Type]],Devoirs[[#Headers],[J0]:[J60]],0))</f>
        <v>4</v>
      </c>
      <c r="Q118" s="105" cm="1">
        <f t="array" aca="1" ref="Q1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45914.497395833336</v>
      </c>
      <c r="R118" s="105">
        <f ca="1">MAX(Tabel3[[#This Row],[jour]]+$R$3,IF(ROW()-ROW(Tabel3[[#Headers],[debut]])=1,DATE(2025,9,1)+$R$3,OFFSET(Tabel3[[#This Row],[fin]],-1,)))</f>
        <v>45919.577604166661</v>
      </c>
      <c r="S1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45919.613020833327</v>
      </c>
      <c r="T118" s="102">
        <f ca="1">--(Tabel3[[#This Row],[jour]]&lt;&gt;TRUNC(Tabel3[[#This Row],[fin]]))</f>
        <v>1</v>
      </c>
      <c r="U118" s="102">
        <f ca="1">IF(Tabel3[[#This Row],[Type]]="j0",0,--(TRUNC(Tabel3[[#This Row],[debut]])-TRUNC(Tabel3[[#This Row],[fin precedent]])&lt;Tabel3[[#This Row],[delai]]))</f>
        <v>0</v>
      </c>
    </row>
    <row r="119" spans="12:21" ht="18" customHeight="1" x14ac:dyDescent="0.2">
      <c r="L119" s="98" t="s">
        <v>113</v>
      </c>
      <c r="M119" s="98" t="s">
        <v>39</v>
      </c>
      <c r="N119" s="104">
        <v>45918</v>
      </c>
      <c r="O119" s="98">
        <v>55.8</v>
      </c>
      <c r="P119" s="98">
        <f>INDEX($C$1:$I$1,MATCH(Tabel3[[#This Row],[Type]],Devoirs[[#Headers],[J0]:[J60]],0))</f>
        <v>4</v>
      </c>
      <c r="Q119" s="105" cm="1">
        <f t="array" aca="1" ref="Q11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45914.545833333337</v>
      </c>
      <c r="R119" s="105">
        <f ca="1">MAX(Tabel3[[#This Row],[jour]]+$R$3,IF(ROW()-ROW(Tabel3[[#Headers],[debut]])=1,DATE(2025,9,1)+$R$3,OFFSET(Tabel3[[#This Row],[fin]],-1,)))</f>
        <v>45919.613020833327</v>
      </c>
      <c r="S1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45919.651770833327</v>
      </c>
      <c r="T119" s="102">
        <f ca="1">--(Tabel3[[#This Row],[jour]]&lt;&gt;TRUNC(Tabel3[[#This Row],[fin]]))</f>
        <v>1</v>
      </c>
      <c r="U119" s="102">
        <f ca="1">IF(Tabel3[[#This Row],[Type]]="j0",0,--(TRUNC(Tabel3[[#This Row],[debut]])-TRUNC(Tabel3[[#This Row],[fin precedent]])&lt;Tabel3[[#This Row],[delai]]))</f>
        <v>0</v>
      </c>
    </row>
    <row r="120" spans="12:21" ht="18" customHeight="1" x14ac:dyDescent="0.2">
      <c r="L120" s="98" t="s">
        <v>130</v>
      </c>
      <c r="M120" s="98" t="s">
        <v>39</v>
      </c>
      <c r="N120" s="104">
        <v>45918</v>
      </c>
      <c r="O120" s="98">
        <v>60.599999999999994</v>
      </c>
      <c r="P120" s="98">
        <f>INDEX($C$1:$I$1,MATCH(Tabel3[[#This Row],[Type]],Devoirs[[#Headers],[J0]:[J60]],0))</f>
        <v>4</v>
      </c>
      <c r="Q120" s="105" cm="1">
        <f t="array" aca="1" ref="Q12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45914.598437500004</v>
      </c>
      <c r="R120" s="105">
        <f ca="1">MAX(Tabel3[[#This Row],[jour]]+$R$3,IF(ROW()-ROW(Tabel3[[#Headers],[debut]])=1,DATE(2025,9,1)+$R$3,OFFSET(Tabel3[[#This Row],[fin]],-1,)))</f>
        <v>45919.651770833327</v>
      </c>
      <c r="S1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45919.69385416666</v>
      </c>
      <c r="T120" s="102">
        <f ca="1">--(Tabel3[[#This Row],[jour]]&lt;&gt;TRUNC(Tabel3[[#This Row],[fin]]))</f>
        <v>1</v>
      </c>
      <c r="U120" s="102">
        <f ca="1">IF(Tabel3[[#This Row],[Type]]="j0",0,--(TRUNC(Tabel3[[#This Row],[debut]])-TRUNC(Tabel3[[#This Row],[fin precedent]])&lt;Tabel3[[#This Row],[delai]]))</f>
        <v>0</v>
      </c>
    </row>
    <row r="121" spans="12:21" ht="18" customHeight="1" x14ac:dyDescent="0.2">
      <c r="L121" s="98" t="s">
        <v>106</v>
      </c>
      <c r="M121" s="98" t="s">
        <v>39</v>
      </c>
      <c r="N121" s="104">
        <v>45918</v>
      </c>
      <c r="O121" s="98">
        <v>63.599999999999994</v>
      </c>
      <c r="P121" s="98">
        <f>INDEX($C$1:$I$1,MATCH(Tabel3[[#This Row],[Type]],Devoirs[[#Headers],[J0]:[J60]],0))</f>
        <v>4</v>
      </c>
      <c r="Q121" s="105" cm="1">
        <f t="array" aca="1" ref="Q12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45914.653645833336</v>
      </c>
      <c r="R121" s="105">
        <f ca="1">MAX(Tabel3[[#This Row],[jour]]+$R$3,IF(ROW()-ROW(Tabel3[[#Headers],[debut]])=1,DATE(2025,9,1)+$R$3,OFFSET(Tabel3[[#This Row],[fin]],-1,)))</f>
        <v>45919.69385416666</v>
      </c>
      <c r="S1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45919.738020833327</v>
      </c>
      <c r="T121" s="102">
        <f ca="1">--(Tabel3[[#This Row],[jour]]&lt;&gt;TRUNC(Tabel3[[#This Row],[fin]]))</f>
        <v>1</v>
      </c>
      <c r="U121" s="102">
        <f ca="1">IF(Tabel3[[#This Row],[Type]]="j0",0,--(TRUNC(Tabel3[[#This Row],[debut]])-TRUNC(Tabel3[[#This Row],[fin precedent]])&lt;Tabel3[[#This Row],[delai]]))</f>
        <v>0</v>
      </c>
    </row>
    <row r="122" spans="12:21" ht="18" customHeight="1" x14ac:dyDescent="0.2">
      <c r="L122" s="98" t="s">
        <v>82</v>
      </c>
      <c r="M122" s="98" t="s">
        <v>1</v>
      </c>
      <c r="N122" s="104">
        <v>45918</v>
      </c>
      <c r="O122" s="98">
        <v>31</v>
      </c>
      <c r="P122" s="98">
        <f>INDEX($C$1:$I$1,MATCH(Tabel3[[#This Row],[Type]],Devoirs[[#Headers],[J0]:[J60]],0))</f>
        <v>0</v>
      </c>
      <c r="Q122" s="105" t="str" cm="1">
        <f t="array" ref="Q12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2" s="105">
        <f ca="1">MAX(Tabel3[[#This Row],[jour]]+$R$3,IF(ROW()-ROW(Tabel3[[#Headers],[debut]])=1,DATE(2025,9,1)+$R$3,OFFSET(Tabel3[[#This Row],[fin]],-1,)))</f>
        <v>45919.738020833327</v>
      </c>
      <c r="S1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45922.342881944438</v>
      </c>
      <c r="T122" s="102">
        <f ca="1">--(Tabel3[[#This Row],[jour]]&lt;&gt;TRUNC(Tabel3[[#This Row],[fin]]))</f>
        <v>1</v>
      </c>
      <c r="U122" s="102">
        <f>IF(Tabel3[[#This Row],[Type]]="j0",0,--(TRUNC(Tabel3[[#This Row],[debut]])-TRUNC(Tabel3[[#This Row],[fin precedent]])&lt;Tabel3[[#This Row],[delai]]))</f>
        <v>0</v>
      </c>
    </row>
    <row r="123" spans="12:21" ht="18" customHeight="1" x14ac:dyDescent="0.2">
      <c r="L123" s="98" t="s">
        <v>142</v>
      </c>
      <c r="M123" s="98" t="s">
        <v>1</v>
      </c>
      <c r="N123" s="104">
        <v>45918</v>
      </c>
      <c r="O123" s="98">
        <v>40</v>
      </c>
      <c r="P123" s="98">
        <f>INDEX($C$1:$I$1,MATCH(Tabel3[[#This Row],[Type]],Devoirs[[#Headers],[J0]:[J60]],0))</f>
        <v>0</v>
      </c>
      <c r="Q123" s="105" t="str" cm="1">
        <f t="array" ref="Q12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3" s="105">
        <f ca="1">MAX(Tabel3[[#This Row],[jour]]+$R$3,IF(ROW()-ROW(Tabel3[[#Headers],[debut]])=1,DATE(2025,9,1)+$R$3,OFFSET(Tabel3[[#This Row],[fin]],-1,)))</f>
        <v>45922.342881944438</v>
      </c>
      <c r="S1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45922.370659722219</v>
      </c>
      <c r="T123" s="102">
        <f ca="1">--(Tabel3[[#This Row],[jour]]&lt;&gt;TRUNC(Tabel3[[#This Row],[fin]]))</f>
        <v>1</v>
      </c>
      <c r="U123" s="102">
        <f>IF(Tabel3[[#This Row],[Type]]="j0",0,--(TRUNC(Tabel3[[#This Row],[debut]])-TRUNC(Tabel3[[#This Row],[fin precedent]])&lt;Tabel3[[#This Row],[delai]]))</f>
        <v>0</v>
      </c>
    </row>
    <row r="124" spans="12:21" ht="18" customHeight="1" x14ac:dyDescent="0.2">
      <c r="L124" s="98" t="s">
        <v>75</v>
      </c>
      <c r="M124" s="98" t="s">
        <v>1</v>
      </c>
      <c r="N124" s="104">
        <v>45918</v>
      </c>
      <c r="O124" s="98">
        <v>60</v>
      </c>
      <c r="P124" s="98">
        <f>INDEX($C$1:$I$1,MATCH(Tabel3[[#This Row],[Type]],Devoirs[[#Headers],[J0]:[J60]],0))</f>
        <v>0</v>
      </c>
      <c r="Q124" s="105" t="str" cm="1">
        <f t="array" ref="Q12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4" s="105">
        <f ca="1">MAX(Tabel3[[#This Row],[jour]]+$R$3,IF(ROW()-ROW(Tabel3[[#Headers],[debut]])=1,DATE(2025,9,1)+$R$3,OFFSET(Tabel3[[#This Row],[fin]],-1,)))</f>
        <v>45922.370659722219</v>
      </c>
      <c r="S1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45922.412326388883</v>
      </c>
      <c r="T124" s="102">
        <f ca="1">--(Tabel3[[#This Row],[jour]]&lt;&gt;TRUNC(Tabel3[[#This Row],[fin]]))</f>
        <v>1</v>
      </c>
      <c r="U124" s="102">
        <f>IF(Tabel3[[#This Row],[Type]]="j0",0,--(TRUNC(Tabel3[[#This Row],[debut]])-TRUNC(Tabel3[[#This Row],[fin precedent]])&lt;Tabel3[[#This Row],[delai]]))</f>
        <v>0</v>
      </c>
    </row>
    <row r="125" spans="12:21" ht="18" customHeight="1" x14ac:dyDescent="0.2">
      <c r="L125" s="98" t="s">
        <v>57</v>
      </c>
      <c r="M125" s="98" t="s">
        <v>1</v>
      </c>
      <c r="N125" s="104">
        <v>45918</v>
      </c>
      <c r="O125" s="98">
        <v>73</v>
      </c>
      <c r="P125" s="98">
        <f>INDEX($C$1:$I$1,MATCH(Tabel3[[#This Row],[Type]],Devoirs[[#Headers],[J0]:[J60]],0))</f>
        <v>0</v>
      </c>
      <c r="Q125" s="105" t="str" cm="1">
        <f t="array" ref="Q125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5" s="105">
        <f ca="1">MAX(Tabel3[[#This Row],[jour]]+$R$3,IF(ROW()-ROW(Tabel3[[#Headers],[debut]])=1,DATE(2025,9,1)+$R$3,OFFSET(Tabel3[[#This Row],[fin]],-1,)))</f>
        <v>45922.412326388883</v>
      </c>
      <c r="S1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45922.463020833326</v>
      </c>
      <c r="T125" s="102">
        <f ca="1">--(Tabel3[[#This Row],[jour]]&lt;&gt;TRUNC(Tabel3[[#This Row],[fin]]))</f>
        <v>1</v>
      </c>
      <c r="U125" s="102">
        <f>IF(Tabel3[[#This Row],[Type]]="j0",0,--(TRUNC(Tabel3[[#This Row],[debut]])-TRUNC(Tabel3[[#This Row],[fin precedent]])&lt;Tabel3[[#This Row],[delai]]))</f>
        <v>0</v>
      </c>
    </row>
    <row r="126" spans="12:21" ht="18" customHeight="1" x14ac:dyDescent="0.2">
      <c r="L126" s="98" t="s">
        <v>72</v>
      </c>
      <c r="M126" s="98" t="s">
        <v>1</v>
      </c>
      <c r="N126" s="104">
        <v>45918</v>
      </c>
      <c r="O126" s="98">
        <v>82</v>
      </c>
      <c r="P126" s="98">
        <f>INDEX($C$1:$I$1,MATCH(Tabel3[[#This Row],[Type]],Devoirs[[#Headers],[J0]:[J60]],0))</f>
        <v>0</v>
      </c>
      <c r="Q126" s="105" t="str" cm="1">
        <f t="array" ref="Q12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6" s="105">
        <f ca="1">MAX(Tabel3[[#This Row],[jour]]+$R$3,IF(ROW()-ROW(Tabel3[[#Headers],[debut]])=1,DATE(2025,9,1)+$R$3,OFFSET(Tabel3[[#This Row],[fin]],-1,)))</f>
        <v>45922.463020833326</v>
      </c>
      <c r="S1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45922.519965277766</v>
      </c>
      <c r="T126" s="102">
        <f ca="1">--(Tabel3[[#This Row],[jour]]&lt;&gt;TRUNC(Tabel3[[#This Row],[fin]]))</f>
        <v>1</v>
      </c>
      <c r="U126" s="102">
        <f>IF(Tabel3[[#This Row],[Type]]="j0",0,--(TRUNC(Tabel3[[#This Row],[debut]])-TRUNC(Tabel3[[#This Row],[fin precedent]])&lt;Tabel3[[#This Row],[delai]]))</f>
        <v>0</v>
      </c>
    </row>
    <row r="127" spans="12:21" ht="18" customHeight="1" x14ac:dyDescent="0.2">
      <c r="L127" s="98" t="s">
        <v>92</v>
      </c>
      <c r="M127" s="98" t="s">
        <v>1</v>
      </c>
      <c r="N127" s="104">
        <v>45918</v>
      </c>
      <c r="O127" s="98">
        <v>99</v>
      </c>
      <c r="P127" s="98">
        <f>INDEX($C$1:$I$1,MATCH(Tabel3[[#This Row],[Type]],Devoirs[[#Headers],[J0]:[J60]],0))</f>
        <v>0</v>
      </c>
      <c r="Q127" s="105" t="str" cm="1">
        <f t="array" ref="Q12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7" s="105">
        <f ca="1">MAX(Tabel3[[#This Row],[jour]]+$R$3,IF(ROW()-ROW(Tabel3[[#Headers],[debut]])=1,DATE(2025,9,1)+$R$3,OFFSET(Tabel3[[#This Row],[fin]],-1,)))</f>
        <v>45922.519965277766</v>
      </c>
      <c r="S1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45922.588715277765</v>
      </c>
      <c r="T127" s="102">
        <f ca="1">--(Tabel3[[#This Row],[jour]]&lt;&gt;TRUNC(Tabel3[[#This Row],[fin]]))</f>
        <v>1</v>
      </c>
      <c r="U127" s="102">
        <f>IF(Tabel3[[#This Row],[Type]]="j0",0,--(TRUNC(Tabel3[[#This Row],[debut]])-TRUNC(Tabel3[[#This Row],[fin precedent]])&lt;Tabel3[[#This Row],[delai]]))</f>
        <v>0</v>
      </c>
    </row>
    <row r="128" spans="12:21" ht="18" customHeight="1" x14ac:dyDescent="0.2">
      <c r="L128" s="98" t="s">
        <v>127</v>
      </c>
      <c r="M128" s="98" t="s">
        <v>1</v>
      </c>
      <c r="N128" s="104">
        <v>45918</v>
      </c>
      <c r="O128" s="98">
        <v>107</v>
      </c>
      <c r="P128" s="98">
        <f>INDEX($C$1:$I$1,MATCH(Tabel3[[#This Row],[Type]],Devoirs[[#Headers],[J0]:[J60]],0))</f>
        <v>0</v>
      </c>
      <c r="Q128" s="105" t="str" cm="1">
        <f t="array" ref="Q12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8" s="105">
        <f ca="1">MAX(Tabel3[[#This Row],[jour]]+$R$3,IF(ROW()-ROW(Tabel3[[#Headers],[debut]])=1,DATE(2025,9,1)+$R$3,OFFSET(Tabel3[[#This Row],[fin]],-1,)))</f>
        <v>45922.588715277765</v>
      </c>
      <c r="S1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45922.663020833323</v>
      </c>
      <c r="T128" s="102">
        <f ca="1">--(Tabel3[[#This Row],[jour]]&lt;&gt;TRUNC(Tabel3[[#This Row],[fin]]))</f>
        <v>1</v>
      </c>
      <c r="U128" s="102">
        <f>IF(Tabel3[[#This Row],[Type]]="j0",0,--(TRUNC(Tabel3[[#This Row],[debut]])-TRUNC(Tabel3[[#This Row],[fin precedent]])&lt;Tabel3[[#This Row],[delai]]))</f>
        <v>0</v>
      </c>
    </row>
    <row r="129" spans="12:21" ht="18" customHeight="1" x14ac:dyDescent="0.2">
      <c r="L129" s="98" t="s">
        <v>86</v>
      </c>
      <c r="M129" s="98" t="s">
        <v>1</v>
      </c>
      <c r="N129" s="104">
        <v>45918</v>
      </c>
      <c r="O129" s="98">
        <v>110</v>
      </c>
      <c r="P129" s="98">
        <f>INDEX($C$1:$I$1,MATCH(Tabel3[[#This Row],[Type]],Devoirs[[#Headers],[J0]:[J60]],0))</f>
        <v>0</v>
      </c>
      <c r="Q129" s="105" t="str" cm="1">
        <f t="array" ref="Q12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29" s="105">
        <f ca="1">MAX(Tabel3[[#This Row],[jour]]+$R$3,IF(ROW()-ROW(Tabel3[[#Headers],[debut]])=1,DATE(2025,9,1)+$R$3,OFFSET(Tabel3[[#This Row],[fin]],-1,)))</f>
        <v>45922.663020833323</v>
      </c>
      <c r="S1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45922.739409722213</v>
      </c>
      <c r="T129" s="102">
        <f ca="1">--(Tabel3[[#This Row],[jour]]&lt;&gt;TRUNC(Tabel3[[#This Row],[fin]]))</f>
        <v>1</v>
      </c>
      <c r="U129" s="102">
        <f>IF(Tabel3[[#This Row],[Type]]="j0",0,--(TRUNC(Tabel3[[#This Row],[debut]])-TRUNC(Tabel3[[#This Row],[fin precedent]])&lt;Tabel3[[#This Row],[delai]]))</f>
        <v>0</v>
      </c>
    </row>
    <row r="130" spans="12:21" ht="18" customHeight="1" x14ac:dyDescent="0.2">
      <c r="L130" s="98" t="s">
        <v>98</v>
      </c>
      <c r="M130" s="98" t="s">
        <v>37</v>
      </c>
      <c r="N130" s="104">
        <v>45919</v>
      </c>
      <c r="O130" s="98">
        <v>81</v>
      </c>
      <c r="P130" s="98">
        <f>INDEX($C$1:$I$1,MATCH(Tabel3[[#This Row],[Type]],Devoirs[[#Headers],[J0]:[J60]],0))</f>
        <v>2</v>
      </c>
      <c r="Q130" s="105" cm="1">
        <f t="array" aca="1" ref="Q1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45917.692083333328</v>
      </c>
      <c r="R130" s="105">
        <f ca="1">MAX(Tabel3[[#This Row],[jour]]+$R$3,IF(ROW()-ROW(Tabel3[[#Headers],[debut]])=1,DATE(2025,9,1)+$R$3,OFFSET(Tabel3[[#This Row],[fin]],-1,)))</f>
        <v>45922.739409722213</v>
      </c>
      <c r="S1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45923.37899305555</v>
      </c>
      <c r="T130" s="102">
        <f ca="1">--(Tabel3[[#This Row],[jour]]&lt;&gt;TRUNC(Tabel3[[#This Row],[fin]]))</f>
        <v>1</v>
      </c>
      <c r="U130" s="102">
        <f ca="1">IF(Tabel3[[#This Row],[Type]]="j0",0,--(TRUNC(Tabel3[[#This Row],[debut]])-TRUNC(Tabel3[[#This Row],[fin precedent]])&lt;Tabel3[[#This Row],[delai]]))</f>
        <v>0</v>
      </c>
    </row>
    <row r="131" spans="12:21" ht="18" customHeight="1" x14ac:dyDescent="0.2">
      <c r="L131" s="98" t="s">
        <v>102</v>
      </c>
      <c r="M131" s="98" t="s">
        <v>37</v>
      </c>
      <c r="N131" s="104">
        <v>45919</v>
      </c>
      <c r="O131" s="98">
        <v>100.8</v>
      </c>
      <c r="P131" s="98">
        <f>INDEX($C$1:$I$1,MATCH(Tabel3[[#This Row],[Type]],Devoirs[[#Headers],[J0]:[J60]],0))</f>
        <v>2</v>
      </c>
      <c r="Q131" s="105" cm="1">
        <f t="array" aca="1" ref="Q13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45918.35319444444</v>
      </c>
      <c r="R131" s="105">
        <f ca="1">MAX(Tabel3[[#This Row],[jour]]+$R$3,IF(ROW()-ROW(Tabel3[[#Headers],[debut]])=1,DATE(2025,9,1)+$R$3,OFFSET(Tabel3[[#This Row],[fin]],-1,)))</f>
        <v>45923.37899305555</v>
      </c>
      <c r="S1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45923.44899305555</v>
      </c>
      <c r="T131" s="102">
        <f ca="1">--(Tabel3[[#This Row],[jour]]&lt;&gt;TRUNC(Tabel3[[#This Row],[fin]]))</f>
        <v>1</v>
      </c>
      <c r="U131" s="102">
        <f ca="1">IF(Tabel3[[#This Row],[Type]]="j0",0,--(TRUNC(Tabel3[[#This Row],[debut]])-TRUNC(Tabel3[[#This Row],[fin precedent]])&lt;Tabel3[[#This Row],[delai]]))</f>
        <v>0</v>
      </c>
    </row>
    <row r="132" spans="12:21" ht="18" customHeight="1" x14ac:dyDescent="0.2">
      <c r="L132" s="98" t="s">
        <v>59</v>
      </c>
      <c r="M132" s="98" t="s">
        <v>37</v>
      </c>
      <c r="N132" s="104">
        <v>45919</v>
      </c>
      <c r="O132" s="98">
        <v>101.7</v>
      </c>
      <c r="P132" s="98">
        <f>INDEX($C$1:$I$1,MATCH(Tabel3[[#This Row],[Type]],Devoirs[[#Headers],[J0]:[J60]],0))</f>
        <v>2</v>
      </c>
      <c r="Q132" s="105" cm="1">
        <f t="array" aca="1" ref="Q13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45918.431666666664</v>
      </c>
      <c r="R132" s="105">
        <f ca="1">MAX(Tabel3[[#This Row],[jour]]+$R$3,IF(ROW()-ROW(Tabel3[[#Headers],[debut]])=1,DATE(2025,9,1)+$R$3,OFFSET(Tabel3[[#This Row],[fin]],-1,)))</f>
        <v>45923.44899305555</v>
      </c>
      <c r="S1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45923.51961805555</v>
      </c>
      <c r="T132" s="102">
        <f ca="1">--(Tabel3[[#This Row],[jour]]&lt;&gt;TRUNC(Tabel3[[#This Row],[fin]]))</f>
        <v>1</v>
      </c>
      <c r="U132" s="102">
        <f ca="1">IF(Tabel3[[#This Row],[Type]]="j0",0,--(TRUNC(Tabel3[[#This Row],[debut]])-TRUNC(Tabel3[[#This Row],[fin precedent]])&lt;Tabel3[[#This Row],[delai]]))</f>
        <v>0</v>
      </c>
    </row>
    <row r="133" spans="12:21" ht="18" customHeight="1" x14ac:dyDescent="0.2">
      <c r="L133" s="98" t="s">
        <v>99</v>
      </c>
      <c r="M133" s="98" t="s">
        <v>37</v>
      </c>
      <c r="N133" s="104">
        <v>45919</v>
      </c>
      <c r="O133" s="98">
        <v>108</v>
      </c>
      <c r="P133" s="98">
        <f>INDEX($C$1:$I$1,MATCH(Tabel3[[#This Row],[Type]],Devoirs[[#Headers],[J0]:[J60]],0))</f>
        <v>2</v>
      </c>
      <c r="Q133" s="105" cm="1">
        <f t="array" aca="1" ref="Q1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45918.514999999999</v>
      </c>
      <c r="R133" s="105">
        <f ca="1">MAX(Tabel3[[#This Row],[jour]]+$R$3,IF(ROW()-ROW(Tabel3[[#Headers],[debut]])=1,DATE(2025,9,1)+$R$3,OFFSET(Tabel3[[#This Row],[fin]],-1,)))</f>
        <v>45923.51961805555</v>
      </c>
      <c r="S1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45923.594618055547</v>
      </c>
      <c r="T133" s="102">
        <f ca="1">--(Tabel3[[#This Row],[jour]]&lt;&gt;TRUNC(Tabel3[[#This Row],[fin]]))</f>
        <v>1</v>
      </c>
      <c r="U133" s="102">
        <f ca="1">IF(Tabel3[[#This Row],[Type]]="j0",0,--(TRUNC(Tabel3[[#This Row],[debut]])-TRUNC(Tabel3[[#This Row],[fin precedent]])&lt;Tabel3[[#This Row],[delai]]))</f>
        <v>0</v>
      </c>
    </row>
    <row r="134" spans="12:21" ht="18" customHeight="1" x14ac:dyDescent="0.2">
      <c r="L134" s="98" t="s">
        <v>128</v>
      </c>
      <c r="M134" s="98" t="s">
        <v>39</v>
      </c>
      <c r="N134" s="104">
        <v>45919</v>
      </c>
      <c r="O134" s="98">
        <v>42</v>
      </c>
      <c r="P134" s="98">
        <f>INDEX($C$1:$I$1,MATCH(Tabel3[[#This Row],[Type]],Devoirs[[#Headers],[J0]:[J60]],0))</f>
        <v>4</v>
      </c>
      <c r="Q134" s="105" cm="1">
        <f t="array" aca="1" ref="Q1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45915.453437500008</v>
      </c>
      <c r="R134" s="105">
        <f ca="1">MAX(Tabel3[[#This Row],[jour]]+$R$3,IF(ROW()-ROW(Tabel3[[#Headers],[debut]])=1,DATE(2025,9,1)+$R$3,OFFSET(Tabel3[[#This Row],[fin]],-1,)))</f>
        <v>45923.594618055547</v>
      </c>
      <c r="S1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45923.623784722215</v>
      </c>
      <c r="T134" s="102">
        <f ca="1">--(Tabel3[[#This Row],[jour]]&lt;&gt;TRUNC(Tabel3[[#This Row],[fin]]))</f>
        <v>1</v>
      </c>
      <c r="U134" s="102">
        <f ca="1">IF(Tabel3[[#This Row],[Type]]="j0",0,--(TRUNC(Tabel3[[#This Row],[debut]])-TRUNC(Tabel3[[#This Row],[fin precedent]])&lt;Tabel3[[#This Row],[delai]]))</f>
        <v>0</v>
      </c>
    </row>
    <row r="135" spans="12:21" ht="18" customHeight="1" x14ac:dyDescent="0.2">
      <c r="L135" s="98" t="s">
        <v>373</v>
      </c>
      <c r="M135" s="98" t="s">
        <v>39</v>
      </c>
      <c r="N135" s="104">
        <v>45919</v>
      </c>
      <c r="O135" s="98">
        <v>64.8</v>
      </c>
      <c r="P135" s="98">
        <f>INDEX($C$1:$I$1,MATCH(Tabel3[[#This Row],[Type]],Devoirs[[#Headers],[J0]:[J60]],0))</f>
        <v>4</v>
      </c>
      <c r="Q135" s="105" cm="1">
        <f t="array" aca="1" ref="Q1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45915.509687500009</v>
      </c>
      <c r="R135" s="105">
        <f ca="1">MAX(Tabel3[[#This Row],[jour]]+$R$3,IF(ROW()-ROW(Tabel3[[#Headers],[debut]])=1,DATE(2025,9,1)+$R$3,OFFSET(Tabel3[[#This Row],[fin]],-1,)))</f>
        <v>45923.623784722215</v>
      </c>
      <c r="S1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45923.668784722213</v>
      </c>
      <c r="T135" s="102">
        <f ca="1">--(Tabel3[[#This Row],[jour]]&lt;&gt;TRUNC(Tabel3[[#This Row],[fin]]))</f>
        <v>1</v>
      </c>
      <c r="U135" s="102">
        <f ca="1">IF(Tabel3[[#This Row],[Type]]="j0",0,--(TRUNC(Tabel3[[#This Row],[debut]])-TRUNC(Tabel3[[#This Row],[fin precedent]])&lt;Tabel3[[#This Row],[delai]]))</f>
        <v>0</v>
      </c>
    </row>
    <row r="136" spans="12:21" ht="18" customHeight="1" x14ac:dyDescent="0.2">
      <c r="L136" s="98" t="s">
        <v>83</v>
      </c>
      <c r="M136" s="98" t="s">
        <v>39</v>
      </c>
      <c r="N136" s="104">
        <v>45919</v>
      </c>
      <c r="O136" s="98">
        <v>66.599999999999994</v>
      </c>
      <c r="P136" s="98">
        <f>INDEX($C$1:$I$1,MATCH(Tabel3[[#This Row],[Type]],Devoirs[[#Headers],[J0]:[J60]],0))</f>
        <v>4</v>
      </c>
      <c r="Q136" s="105" cm="1">
        <f t="array" aca="1" ref="Q1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45915.567500000012</v>
      </c>
      <c r="R136" s="105">
        <f ca="1">MAX(Tabel3[[#This Row],[jour]]+$R$3,IF(ROW()-ROW(Tabel3[[#Headers],[debut]])=1,DATE(2025,9,1)+$R$3,OFFSET(Tabel3[[#This Row],[fin]],-1,)))</f>
        <v>45923.668784722213</v>
      </c>
      <c r="S1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45923.715034722212</v>
      </c>
      <c r="T136" s="102">
        <f ca="1">--(Tabel3[[#This Row],[jour]]&lt;&gt;TRUNC(Tabel3[[#This Row],[fin]]))</f>
        <v>1</v>
      </c>
      <c r="U136" s="102">
        <f ca="1">IF(Tabel3[[#This Row],[Type]]="j0",0,--(TRUNC(Tabel3[[#This Row],[debut]])-TRUNC(Tabel3[[#This Row],[fin precedent]])&lt;Tabel3[[#This Row],[delai]]))</f>
        <v>0</v>
      </c>
    </row>
    <row r="137" spans="12:21" ht="18" customHeight="1" x14ac:dyDescent="0.2">
      <c r="L137" s="98" t="s">
        <v>48</v>
      </c>
      <c r="M137" s="98" t="s">
        <v>1</v>
      </c>
      <c r="N137" s="104">
        <v>45919</v>
      </c>
      <c r="O137" s="98">
        <v>32</v>
      </c>
      <c r="P137" s="98">
        <f>INDEX($C$1:$I$1,MATCH(Tabel3[[#This Row],[Type]],Devoirs[[#Headers],[J0]:[J60]],0))</f>
        <v>0</v>
      </c>
      <c r="Q137" s="105" t="str" cm="1">
        <f t="array" ref="Q13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37" s="105">
        <f ca="1">MAX(Tabel3[[#This Row],[jour]]+$R$3,IF(ROW()-ROW(Tabel3[[#Headers],[debut]])=1,DATE(2025,9,1)+$R$3,OFFSET(Tabel3[[#This Row],[fin]],-1,)))</f>
        <v>45923.715034722212</v>
      </c>
      <c r="S1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45923.737256944434</v>
      </c>
      <c r="T137" s="102">
        <f ca="1">--(Tabel3[[#This Row],[jour]]&lt;&gt;TRUNC(Tabel3[[#This Row],[fin]]))</f>
        <v>1</v>
      </c>
      <c r="U137" s="102">
        <f>IF(Tabel3[[#This Row],[Type]]="j0",0,--(TRUNC(Tabel3[[#This Row],[debut]])-TRUNC(Tabel3[[#This Row],[fin precedent]])&lt;Tabel3[[#This Row],[delai]]))</f>
        <v>0</v>
      </c>
    </row>
    <row r="138" spans="12:21" ht="18" customHeight="1" x14ac:dyDescent="0.2">
      <c r="L138" s="98" t="s">
        <v>58</v>
      </c>
      <c r="M138" s="98" t="s">
        <v>1</v>
      </c>
      <c r="N138" s="104">
        <v>45919</v>
      </c>
      <c r="O138" s="98">
        <v>56</v>
      </c>
      <c r="P138" s="98">
        <f>INDEX($C$1:$I$1,MATCH(Tabel3[[#This Row],[Type]],Devoirs[[#Headers],[J0]:[J60]],0))</f>
        <v>0</v>
      </c>
      <c r="Q138" s="105" t="str" cm="1">
        <f t="array" ref="Q13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38" s="105">
        <f ca="1">MAX(Tabel3[[#This Row],[jour]]+$R$3,IF(ROW()-ROW(Tabel3[[#Headers],[debut]])=1,DATE(2025,9,1)+$R$3,OFFSET(Tabel3[[#This Row],[fin]],-1,)))</f>
        <v>45923.737256944434</v>
      </c>
      <c r="S1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45924.359479166662</v>
      </c>
      <c r="T138" s="102">
        <f ca="1">--(Tabel3[[#This Row],[jour]]&lt;&gt;TRUNC(Tabel3[[#This Row],[fin]]))</f>
        <v>1</v>
      </c>
      <c r="U138" s="102">
        <f>IF(Tabel3[[#This Row],[Type]]="j0",0,--(TRUNC(Tabel3[[#This Row],[debut]])-TRUNC(Tabel3[[#This Row],[fin precedent]])&lt;Tabel3[[#This Row],[delai]]))</f>
        <v>0</v>
      </c>
    </row>
    <row r="139" spans="12:21" ht="18" customHeight="1" x14ac:dyDescent="0.2">
      <c r="L139" s="98" t="s">
        <v>131</v>
      </c>
      <c r="M139" s="98" t="s">
        <v>1</v>
      </c>
      <c r="N139" s="104">
        <v>45919</v>
      </c>
      <c r="O139" s="98">
        <v>56</v>
      </c>
      <c r="P139" s="98">
        <f>INDEX($C$1:$I$1,MATCH(Tabel3[[#This Row],[Type]],Devoirs[[#Headers],[J0]:[J60]],0))</f>
        <v>0</v>
      </c>
      <c r="Q139" s="105" t="str" cm="1">
        <f t="array" ref="Q13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39" s="105">
        <f ca="1">MAX(Tabel3[[#This Row],[jour]]+$R$3,IF(ROW()-ROW(Tabel3[[#Headers],[debut]])=1,DATE(2025,9,1)+$R$3,OFFSET(Tabel3[[#This Row],[fin]],-1,)))</f>
        <v>45924.359479166662</v>
      </c>
      <c r="S1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45924.398368055554</v>
      </c>
      <c r="T139" s="102">
        <f ca="1">--(Tabel3[[#This Row],[jour]]&lt;&gt;TRUNC(Tabel3[[#This Row],[fin]]))</f>
        <v>1</v>
      </c>
      <c r="U139" s="102">
        <f>IF(Tabel3[[#This Row],[Type]]="j0",0,--(TRUNC(Tabel3[[#This Row],[debut]])-TRUNC(Tabel3[[#This Row],[fin precedent]])&lt;Tabel3[[#This Row],[delai]]))</f>
        <v>0</v>
      </c>
    </row>
    <row r="140" spans="12:21" ht="18" customHeight="1" x14ac:dyDescent="0.2">
      <c r="L140" s="98" t="s">
        <v>52</v>
      </c>
      <c r="M140" s="98" t="s">
        <v>1</v>
      </c>
      <c r="N140" s="104">
        <v>45919</v>
      </c>
      <c r="O140" s="98">
        <v>102</v>
      </c>
      <c r="P140" s="98">
        <f>INDEX($C$1:$I$1,MATCH(Tabel3[[#This Row],[Type]],Devoirs[[#Headers],[J0]:[J60]],0))</f>
        <v>0</v>
      </c>
      <c r="Q140" s="105" t="str" cm="1">
        <f t="array" ref="Q14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40" s="105">
        <f ca="1">MAX(Tabel3[[#This Row],[jour]]+$R$3,IF(ROW()-ROW(Tabel3[[#Headers],[debut]])=1,DATE(2025,9,1)+$R$3,OFFSET(Tabel3[[#This Row],[fin]],-1,)))</f>
        <v>45924.398368055554</v>
      </c>
      <c r="S1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45924.469201388885</v>
      </c>
      <c r="T140" s="102">
        <f ca="1">--(Tabel3[[#This Row],[jour]]&lt;&gt;TRUNC(Tabel3[[#This Row],[fin]]))</f>
        <v>1</v>
      </c>
      <c r="U140" s="102">
        <f>IF(Tabel3[[#This Row],[Type]]="j0",0,--(TRUNC(Tabel3[[#This Row],[debut]])-TRUNC(Tabel3[[#This Row],[fin precedent]])&lt;Tabel3[[#This Row],[delai]]))</f>
        <v>0</v>
      </c>
    </row>
    <row r="141" spans="12:21" ht="18" customHeight="1" x14ac:dyDescent="0.2">
      <c r="L141" s="98" t="s">
        <v>375</v>
      </c>
      <c r="M141" s="98" t="s">
        <v>1</v>
      </c>
      <c r="N141" s="104">
        <v>45919</v>
      </c>
      <c r="O141" s="98">
        <v>104</v>
      </c>
      <c r="P141" s="98">
        <f>INDEX($C$1:$I$1,MATCH(Tabel3[[#This Row],[Type]],Devoirs[[#Headers],[J0]:[J60]],0))</f>
        <v>0</v>
      </c>
      <c r="Q141" s="105" t="str" cm="1">
        <f t="array" ref="Q14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41" s="105">
        <f ca="1">MAX(Tabel3[[#This Row],[jour]]+$R$3,IF(ROW()-ROW(Tabel3[[#Headers],[debut]])=1,DATE(2025,9,1)+$R$3,OFFSET(Tabel3[[#This Row],[fin]],-1,)))</f>
        <v>45924.469201388885</v>
      </c>
      <c r="S1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45924.54142361111</v>
      </c>
      <c r="T141" s="102">
        <f ca="1">--(Tabel3[[#This Row],[jour]]&lt;&gt;TRUNC(Tabel3[[#This Row],[fin]]))</f>
        <v>1</v>
      </c>
      <c r="U141" s="102">
        <f>IF(Tabel3[[#This Row],[Type]]="j0",0,--(TRUNC(Tabel3[[#This Row],[debut]])-TRUNC(Tabel3[[#This Row],[fin precedent]])&lt;Tabel3[[#This Row],[delai]]))</f>
        <v>0</v>
      </c>
    </row>
    <row r="142" spans="12:21" ht="18" customHeight="1" x14ac:dyDescent="0.2">
      <c r="L142" s="98" t="s">
        <v>82</v>
      </c>
      <c r="M142" s="98" t="s">
        <v>37</v>
      </c>
      <c r="N142" s="104">
        <v>45920</v>
      </c>
      <c r="O142" s="98">
        <v>27.900000000000002</v>
      </c>
      <c r="P142" s="98">
        <f>INDEX($C$1:$I$1,MATCH(Tabel3[[#This Row],[Type]],Devoirs[[#Headers],[J0]:[J60]],0))</f>
        <v>2</v>
      </c>
      <c r="Q142" s="105" cm="1">
        <f t="array" aca="1" ref="Q1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45922.342881944438</v>
      </c>
      <c r="R142" s="105">
        <f ca="1">MAX(Tabel3[[#This Row],[jour]]+$R$3,IF(ROW()-ROW(Tabel3[[#Headers],[debut]])=1,DATE(2025,9,1)+$R$3,OFFSET(Tabel3[[#This Row],[fin]],-1,)))</f>
        <v>45924.54142361111</v>
      </c>
      <c r="S1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45924.560798611114</v>
      </c>
      <c r="T142" s="102">
        <f ca="1">--(Tabel3[[#This Row],[jour]]&lt;&gt;TRUNC(Tabel3[[#This Row],[fin]]))</f>
        <v>1</v>
      </c>
      <c r="U142" s="102">
        <f ca="1">IF(Tabel3[[#This Row],[Type]]="j0",0,--(TRUNC(Tabel3[[#This Row],[debut]])-TRUNC(Tabel3[[#This Row],[fin precedent]])&lt;Tabel3[[#This Row],[delai]]))</f>
        <v>0</v>
      </c>
    </row>
    <row r="143" spans="12:21" ht="18" customHeight="1" x14ac:dyDescent="0.2">
      <c r="L143" s="98" t="s">
        <v>142</v>
      </c>
      <c r="M143" s="98" t="s">
        <v>37</v>
      </c>
      <c r="N143" s="104">
        <v>45920</v>
      </c>
      <c r="O143" s="98">
        <v>36</v>
      </c>
      <c r="P143" s="98">
        <f>INDEX($C$1:$I$1,MATCH(Tabel3[[#This Row],[Type]],Devoirs[[#Headers],[J0]:[J60]],0))</f>
        <v>2</v>
      </c>
      <c r="Q143" s="105" cm="1">
        <f t="array" aca="1" ref="Q1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45922.370659722219</v>
      </c>
      <c r="R143" s="105">
        <f ca="1">MAX(Tabel3[[#This Row],[jour]]+$R$3,IF(ROW()-ROW(Tabel3[[#Headers],[debut]])=1,DATE(2025,9,1)+$R$3,OFFSET(Tabel3[[#This Row],[fin]],-1,)))</f>
        <v>45924.560798611114</v>
      </c>
      <c r="S1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45924.585798611115</v>
      </c>
      <c r="T143" s="102">
        <f ca="1">--(Tabel3[[#This Row],[jour]]&lt;&gt;TRUNC(Tabel3[[#This Row],[fin]]))</f>
        <v>1</v>
      </c>
      <c r="U143" s="102">
        <f ca="1">IF(Tabel3[[#This Row],[Type]]="j0",0,--(TRUNC(Tabel3[[#This Row],[debut]])-TRUNC(Tabel3[[#This Row],[fin precedent]])&lt;Tabel3[[#This Row],[delai]]))</f>
        <v>0</v>
      </c>
    </row>
    <row r="144" spans="12:21" ht="18" customHeight="1" x14ac:dyDescent="0.2">
      <c r="L144" s="98" t="s">
        <v>75</v>
      </c>
      <c r="M144" s="98" t="s">
        <v>37</v>
      </c>
      <c r="N144" s="104">
        <v>45920</v>
      </c>
      <c r="O144" s="98">
        <v>54</v>
      </c>
      <c r="P144" s="98">
        <f>INDEX($C$1:$I$1,MATCH(Tabel3[[#This Row],[Type]],Devoirs[[#Headers],[J0]:[J60]],0))</f>
        <v>2</v>
      </c>
      <c r="Q144" s="105" cm="1">
        <f t="array" aca="1" ref="Q1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45922.412326388883</v>
      </c>
      <c r="R144" s="105">
        <f ca="1">MAX(Tabel3[[#This Row],[jour]]+$R$3,IF(ROW()-ROW(Tabel3[[#Headers],[debut]])=1,DATE(2025,9,1)+$R$3,OFFSET(Tabel3[[#This Row],[fin]],-1,)))</f>
        <v>45924.585798611115</v>
      </c>
      <c r="S1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45924.623298611114</v>
      </c>
      <c r="T144" s="102">
        <f ca="1">--(Tabel3[[#This Row],[jour]]&lt;&gt;TRUNC(Tabel3[[#This Row],[fin]]))</f>
        <v>1</v>
      </c>
      <c r="U144" s="102">
        <f ca="1">IF(Tabel3[[#This Row],[Type]]="j0",0,--(TRUNC(Tabel3[[#This Row],[debut]])-TRUNC(Tabel3[[#This Row],[fin precedent]])&lt;Tabel3[[#This Row],[delai]]))</f>
        <v>0</v>
      </c>
    </row>
    <row r="145" spans="12:21" ht="18" customHeight="1" x14ac:dyDescent="0.2">
      <c r="L145" s="98" t="s">
        <v>57</v>
      </c>
      <c r="M145" s="98" t="s">
        <v>37</v>
      </c>
      <c r="N145" s="104">
        <v>45920</v>
      </c>
      <c r="O145" s="98">
        <v>65.7</v>
      </c>
      <c r="P145" s="98">
        <f>INDEX($C$1:$I$1,MATCH(Tabel3[[#This Row],[Type]],Devoirs[[#Headers],[J0]:[J60]],0))</f>
        <v>2</v>
      </c>
      <c r="Q145" s="105" cm="1">
        <f t="array" aca="1" ref="Q1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45922.463020833326</v>
      </c>
      <c r="R145" s="105">
        <f ca="1">MAX(Tabel3[[#This Row],[jour]]+$R$3,IF(ROW()-ROW(Tabel3[[#Headers],[debut]])=1,DATE(2025,9,1)+$R$3,OFFSET(Tabel3[[#This Row],[fin]],-1,)))</f>
        <v>45924.623298611114</v>
      </c>
      <c r="S1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45924.668923611112</v>
      </c>
      <c r="T145" s="102">
        <f ca="1">--(Tabel3[[#This Row],[jour]]&lt;&gt;TRUNC(Tabel3[[#This Row],[fin]]))</f>
        <v>1</v>
      </c>
      <c r="U145" s="102">
        <f ca="1">IF(Tabel3[[#This Row],[Type]]="j0",0,--(TRUNC(Tabel3[[#This Row],[debut]])-TRUNC(Tabel3[[#This Row],[fin precedent]])&lt;Tabel3[[#This Row],[delai]]))</f>
        <v>0</v>
      </c>
    </row>
    <row r="146" spans="12:21" ht="18" customHeight="1" x14ac:dyDescent="0.2">
      <c r="L146" s="98" t="s">
        <v>72</v>
      </c>
      <c r="M146" s="98" t="s">
        <v>37</v>
      </c>
      <c r="N146" s="104">
        <v>45920</v>
      </c>
      <c r="O146" s="98">
        <v>73.8</v>
      </c>
      <c r="P146" s="98">
        <f>INDEX($C$1:$I$1,MATCH(Tabel3[[#This Row],[Type]],Devoirs[[#Headers],[J0]:[J60]],0))</f>
        <v>2</v>
      </c>
      <c r="Q146" s="105" cm="1">
        <f t="array" aca="1" ref="Q1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45922.519965277766</v>
      </c>
      <c r="R146" s="105">
        <f ca="1">MAX(Tabel3[[#This Row],[jour]]+$R$3,IF(ROW()-ROW(Tabel3[[#Headers],[debut]])=1,DATE(2025,9,1)+$R$3,OFFSET(Tabel3[[#This Row],[fin]],-1,)))</f>
        <v>45924.668923611112</v>
      </c>
      <c r="S1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45924.720173611109</v>
      </c>
      <c r="T146" s="102">
        <f ca="1">--(Tabel3[[#This Row],[jour]]&lt;&gt;TRUNC(Tabel3[[#This Row],[fin]]))</f>
        <v>1</v>
      </c>
      <c r="U146" s="102">
        <f ca="1">IF(Tabel3[[#This Row],[Type]]="j0",0,--(TRUNC(Tabel3[[#This Row],[debut]])-TRUNC(Tabel3[[#This Row],[fin precedent]])&lt;Tabel3[[#This Row],[delai]]))</f>
        <v>0</v>
      </c>
    </row>
    <row r="147" spans="12:21" ht="18" customHeight="1" x14ac:dyDescent="0.2">
      <c r="L147" s="98" t="s">
        <v>92</v>
      </c>
      <c r="M147" s="98" t="s">
        <v>37</v>
      </c>
      <c r="N147" s="104">
        <v>45920</v>
      </c>
      <c r="O147" s="98">
        <v>89.100000000000009</v>
      </c>
      <c r="P147" s="98">
        <f>INDEX($C$1:$I$1,MATCH(Tabel3[[#This Row],[Type]],Devoirs[[#Headers],[J0]:[J60]],0))</f>
        <v>2</v>
      </c>
      <c r="Q147" s="105" cm="1">
        <f t="array" aca="1" ref="Q1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45922.588715277765</v>
      </c>
      <c r="R147" s="105">
        <f ca="1">MAX(Tabel3[[#This Row],[jour]]+$R$3,IF(ROW()-ROW(Tabel3[[#Headers],[debut]])=1,DATE(2025,9,1)+$R$3,OFFSET(Tabel3[[#This Row],[fin]],-1,)))</f>
        <v>45924.720173611109</v>
      </c>
      <c r="S1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45925.365381944444</v>
      </c>
      <c r="T147" s="102">
        <f ca="1">--(Tabel3[[#This Row],[jour]]&lt;&gt;TRUNC(Tabel3[[#This Row],[fin]]))</f>
        <v>1</v>
      </c>
      <c r="U147" s="102">
        <f ca="1">IF(Tabel3[[#This Row],[Type]]="j0",0,--(TRUNC(Tabel3[[#This Row],[debut]])-TRUNC(Tabel3[[#This Row],[fin precedent]])&lt;Tabel3[[#This Row],[delai]]))</f>
        <v>0</v>
      </c>
    </row>
    <row r="148" spans="12:21" ht="18" customHeight="1" x14ac:dyDescent="0.2">
      <c r="L148" s="98" t="s">
        <v>127</v>
      </c>
      <c r="M148" s="98" t="s">
        <v>37</v>
      </c>
      <c r="N148" s="104">
        <v>45920</v>
      </c>
      <c r="O148" s="98">
        <v>96.3</v>
      </c>
      <c r="P148" s="98">
        <f>INDEX($C$1:$I$1,MATCH(Tabel3[[#This Row],[Type]],Devoirs[[#Headers],[J0]:[J60]],0))</f>
        <v>2</v>
      </c>
      <c r="Q148" s="105" cm="1">
        <f t="array" aca="1" ref="Q1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45922.663020833323</v>
      </c>
      <c r="R148" s="105">
        <f ca="1">MAX(Tabel3[[#This Row],[jour]]+$R$3,IF(ROW()-ROW(Tabel3[[#Headers],[debut]])=1,DATE(2025,9,1)+$R$3,OFFSET(Tabel3[[#This Row],[fin]],-1,)))</f>
        <v>45925.365381944444</v>
      </c>
      <c r="S1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45925.432256944441</v>
      </c>
      <c r="T148" s="102">
        <f ca="1">--(Tabel3[[#This Row],[jour]]&lt;&gt;TRUNC(Tabel3[[#This Row],[fin]]))</f>
        <v>1</v>
      </c>
      <c r="U148" s="102">
        <f ca="1">IF(Tabel3[[#This Row],[Type]]="j0",0,--(TRUNC(Tabel3[[#This Row],[debut]])-TRUNC(Tabel3[[#This Row],[fin precedent]])&lt;Tabel3[[#This Row],[delai]]))</f>
        <v>0</v>
      </c>
    </row>
    <row r="149" spans="12:21" ht="18" customHeight="1" x14ac:dyDescent="0.2">
      <c r="L149" s="98" t="s">
        <v>86</v>
      </c>
      <c r="M149" s="98" t="s">
        <v>37</v>
      </c>
      <c r="N149" s="104">
        <v>45920</v>
      </c>
      <c r="O149" s="98">
        <v>99</v>
      </c>
      <c r="P149" s="98">
        <f>INDEX($C$1:$I$1,MATCH(Tabel3[[#This Row],[Type]],Devoirs[[#Headers],[J0]:[J60]],0))</f>
        <v>2</v>
      </c>
      <c r="Q149" s="105" cm="1">
        <f t="array" aca="1" ref="Q1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45922.739409722213</v>
      </c>
      <c r="R149" s="105">
        <f ca="1">MAX(Tabel3[[#This Row],[jour]]+$R$3,IF(ROW()-ROW(Tabel3[[#Headers],[debut]])=1,DATE(2025,9,1)+$R$3,OFFSET(Tabel3[[#This Row],[fin]],-1,)))</f>
        <v>45925.432256944441</v>
      </c>
      <c r="S1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45925.50100694444</v>
      </c>
      <c r="T149" s="102">
        <f ca="1">--(Tabel3[[#This Row],[jour]]&lt;&gt;TRUNC(Tabel3[[#This Row],[fin]]))</f>
        <v>1</v>
      </c>
      <c r="U149" s="102">
        <f ca="1">IF(Tabel3[[#This Row],[Type]]="j0",0,--(TRUNC(Tabel3[[#This Row],[debut]])-TRUNC(Tabel3[[#This Row],[fin precedent]])&lt;Tabel3[[#This Row],[delai]]))</f>
        <v>0</v>
      </c>
    </row>
    <row r="150" spans="12:21" ht="18" customHeight="1" x14ac:dyDescent="0.2">
      <c r="L150" s="98" t="s">
        <v>141</v>
      </c>
      <c r="M150" s="98" t="s">
        <v>40</v>
      </c>
      <c r="N150" s="104">
        <v>45920</v>
      </c>
      <c r="O150" s="98">
        <v>28.35</v>
      </c>
      <c r="P150" s="98">
        <f>INDEX($C$1:$I$1,MATCH(Tabel3[[#This Row],[Type]],Devoirs[[#Headers],[J0]:[J60]],0))</f>
        <v>5</v>
      </c>
      <c r="Q150" s="105" cm="1">
        <f t="array" aca="1" ref="Q1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45915.593750000015</v>
      </c>
      <c r="R150" s="105">
        <f ca="1">MAX(Tabel3[[#This Row],[jour]]+$R$3,IF(ROW()-ROW(Tabel3[[#Headers],[debut]])=1,DATE(2025,9,1)+$R$3,OFFSET(Tabel3[[#This Row],[fin]],-1,)))</f>
        <v>45925.50100694444</v>
      </c>
      <c r="S1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45925.520694444436</v>
      </c>
      <c r="T150" s="102">
        <f ca="1">--(Tabel3[[#This Row],[jour]]&lt;&gt;TRUNC(Tabel3[[#This Row],[fin]]))</f>
        <v>1</v>
      </c>
      <c r="U150" s="102">
        <f ca="1">IF(Tabel3[[#This Row],[Type]]="j0",0,--(TRUNC(Tabel3[[#This Row],[debut]])-TRUNC(Tabel3[[#This Row],[fin precedent]])&lt;Tabel3[[#This Row],[delai]]))</f>
        <v>0</v>
      </c>
    </row>
    <row r="151" spans="12:21" ht="18" customHeight="1" x14ac:dyDescent="0.2">
      <c r="L151" s="98" t="s">
        <v>44</v>
      </c>
      <c r="M151" s="98" t="s">
        <v>38</v>
      </c>
      <c r="N151" s="104">
        <v>45921</v>
      </c>
      <c r="O151" s="98">
        <v>72</v>
      </c>
      <c r="P151" s="98">
        <f>INDEX($C$1:$I$1,MATCH(Tabel3[[#This Row],[Type]],Devoirs[[#Headers],[J0]:[J60]],0))</f>
        <v>4</v>
      </c>
      <c r="Q151" s="105" cm="1">
        <f t="array" aca="1" ref="Q1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45917.454270833332</v>
      </c>
      <c r="R151" s="105">
        <f ca="1">MAX(Tabel3[[#This Row],[jour]]+$R$3,IF(ROW()-ROW(Tabel3[[#Headers],[debut]])=1,DATE(2025,9,1)+$R$3,OFFSET(Tabel3[[#This Row],[fin]],-1,)))</f>
        <v>45925.520694444436</v>
      </c>
      <c r="S1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45925.570694444439</v>
      </c>
      <c r="T151" s="102">
        <f ca="1">--(Tabel3[[#This Row],[jour]]&lt;&gt;TRUNC(Tabel3[[#This Row],[fin]]))</f>
        <v>1</v>
      </c>
      <c r="U151" s="102">
        <f ca="1">IF(Tabel3[[#This Row],[Type]]="j0",0,--(TRUNC(Tabel3[[#This Row],[debut]])-TRUNC(Tabel3[[#This Row],[fin precedent]])&lt;Tabel3[[#This Row],[delai]]))</f>
        <v>0</v>
      </c>
    </row>
    <row r="152" spans="12:21" ht="18" customHeight="1" x14ac:dyDescent="0.2">
      <c r="L152" s="98" t="s">
        <v>108</v>
      </c>
      <c r="M152" s="98" t="s">
        <v>38</v>
      </c>
      <c r="N152" s="104">
        <v>45921</v>
      </c>
      <c r="O152" s="98">
        <v>84.75</v>
      </c>
      <c r="P152" s="98">
        <f>INDEX($C$1:$I$1,MATCH(Tabel3[[#This Row],[Type]],Devoirs[[#Headers],[J0]:[J60]],0))</f>
        <v>4</v>
      </c>
      <c r="Q152" s="105" cm="1">
        <f t="array" aca="1" ref="Q1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45917.524895833332</v>
      </c>
      <c r="R152" s="105">
        <f ca="1">MAX(Tabel3[[#This Row],[jour]]+$R$3,IF(ROW()-ROW(Tabel3[[#Headers],[debut]])=1,DATE(2025,9,1)+$R$3,OFFSET(Tabel3[[#This Row],[fin]],-1,)))</f>
        <v>45925.570694444439</v>
      </c>
      <c r="S1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45925.629548611105</v>
      </c>
      <c r="T152" s="102">
        <f ca="1">--(Tabel3[[#This Row],[jour]]&lt;&gt;TRUNC(Tabel3[[#This Row],[fin]]))</f>
        <v>1</v>
      </c>
      <c r="U152" s="102">
        <f ca="1">IF(Tabel3[[#This Row],[Type]]="j0",0,--(TRUNC(Tabel3[[#This Row],[debut]])-TRUNC(Tabel3[[#This Row],[fin precedent]])&lt;Tabel3[[#This Row],[delai]]))</f>
        <v>0</v>
      </c>
    </row>
    <row r="153" spans="12:21" ht="18" customHeight="1" x14ac:dyDescent="0.2">
      <c r="L153" s="98" t="s">
        <v>48</v>
      </c>
      <c r="M153" s="98" t="s">
        <v>37</v>
      </c>
      <c r="N153" s="104">
        <v>45921</v>
      </c>
      <c r="O153" s="98">
        <v>28.8</v>
      </c>
      <c r="P153" s="98">
        <f>INDEX($C$1:$I$1,MATCH(Tabel3[[#This Row],[Type]],Devoirs[[#Headers],[J0]:[J60]],0))</f>
        <v>2</v>
      </c>
      <c r="Q153" s="105" cm="1">
        <f t="array" aca="1" ref="Q1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45923.737256944434</v>
      </c>
      <c r="R153" s="105">
        <f ca="1">MAX(Tabel3[[#This Row],[jour]]+$R$3,IF(ROW()-ROW(Tabel3[[#Headers],[debut]])=1,DATE(2025,9,1)+$R$3,OFFSET(Tabel3[[#This Row],[fin]],-1,)))</f>
        <v>45925.629548611105</v>
      </c>
      <c r="S1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45925.649548611102</v>
      </c>
      <c r="T153" s="102">
        <f ca="1">--(Tabel3[[#This Row],[jour]]&lt;&gt;TRUNC(Tabel3[[#This Row],[fin]]))</f>
        <v>1</v>
      </c>
      <c r="U153" s="102">
        <f ca="1">IF(Tabel3[[#This Row],[Type]]="j0",0,--(TRUNC(Tabel3[[#This Row],[debut]])-TRUNC(Tabel3[[#This Row],[fin precedent]])&lt;Tabel3[[#This Row],[delai]]))</f>
        <v>0</v>
      </c>
    </row>
    <row r="154" spans="12:21" ht="18" customHeight="1" x14ac:dyDescent="0.2">
      <c r="L154" s="98" t="s">
        <v>58</v>
      </c>
      <c r="M154" s="98" t="s">
        <v>37</v>
      </c>
      <c r="N154" s="104">
        <v>45921</v>
      </c>
      <c r="O154" s="98">
        <v>50.4</v>
      </c>
      <c r="P154" s="98">
        <f>INDEX($C$1:$I$1,MATCH(Tabel3[[#This Row],[Type]],Devoirs[[#Headers],[J0]:[J60]],0))</f>
        <v>2</v>
      </c>
      <c r="Q154" s="105" cm="1">
        <f t="array" aca="1" ref="Q1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45924.359479166662</v>
      </c>
      <c r="R154" s="105">
        <f ca="1">MAX(Tabel3[[#This Row],[jour]]+$R$3,IF(ROW()-ROW(Tabel3[[#Headers],[debut]])=1,DATE(2025,9,1)+$R$3,OFFSET(Tabel3[[#This Row],[fin]],-1,)))</f>
        <v>45925.649548611102</v>
      </c>
      <c r="S1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45925.684548611105</v>
      </c>
      <c r="T154" s="102">
        <f ca="1">--(Tabel3[[#This Row],[jour]]&lt;&gt;TRUNC(Tabel3[[#This Row],[fin]]))</f>
        <v>1</v>
      </c>
      <c r="U154" s="102">
        <f ca="1">IF(Tabel3[[#This Row],[Type]]="j0",0,--(TRUNC(Tabel3[[#This Row],[debut]])-TRUNC(Tabel3[[#This Row],[fin precedent]])&lt;Tabel3[[#This Row],[delai]]))</f>
        <v>1</v>
      </c>
    </row>
    <row r="155" spans="12:21" ht="18" customHeight="1" x14ac:dyDescent="0.2">
      <c r="L155" s="98" t="s">
        <v>131</v>
      </c>
      <c r="M155" s="98" t="s">
        <v>37</v>
      </c>
      <c r="N155" s="104">
        <v>45921</v>
      </c>
      <c r="O155" s="98">
        <v>50.4</v>
      </c>
      <c r="P155" s="98">
        <f>INDEX($C$1:$I$1,MATCH(Tabel3[[#This Row],[Type]],Devoirs[[#Headers],[J0]:[J60]],0))</f>
        <v>2</v>
      </c>
      <c r="Q155" s="105" cm="1">
        <f t="array" aca="1" ref="Q1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45924.398368055554</v>
      </c>
      <c r="R155" s="105">
        <f ca="1">MAX(Tabel3[[#This Row],[jour]]+$R$3,IF(ROW()-ROW(Tabel3[[#Headers],[debut]])=1,DATE(2025,9,1)+$R$3,OFFSET(Tabel3[[#This Row],[fin]],-1,)))</f>
        <v>45925.684548611105</v>
      </c>
      <c r="S1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45925.719548611109</v>
      </c>
      <c r="T155" s="102">
        <f ca="1">--(Tabel3[[#This Row],[jour]]&lt;&gt;TRUNC(Tabel3[[#This Row],[fin]]))</f>
        <v>1</v>
      </c>
      <c r="U155" s="102">
        <f ca="1">IF(Tabel3[[#This Row],[Type]]="j0",0,--(TRUNC(Tabel3[[#This Row],[debut]])-TRUNC(Tabel3[[#This Row],[fin precedent]])&lt;Tabel3[[#This Row],[delai]]))</f>
        <v>1</v>
      </c>
    </row>
    <row r="156" spans="12:21" ht="18" customHeight="1" x14ac:dyDescent="0.2">
      <c r="L156" s="98" t="s">
        <v>52</v>
      </c>
      <c r="M156" s="98" t="s">
        <v>37</v>
      </c>
      <c r="N156" s="104">
        <v>45921</v>
      </c>
      <c r="O156" s="98">
        <v>91.8</v>
      </c>
      <c r="P156" s="98">
        <f>INDEX($C$1:$I$1,MATCH(Tabel3[[#This Row],[Type]],Devoirs[[#Headers],[J0]:[J60]],0))</f>
        <v>2</v>
      </c>
      <c r="Q156" s="105" cm="1">
        <f t="array" aca="1" ref="Q1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45924.469201388885</v>
      </c>
      <c r="R156" s="105">
        <f ca="1">MAX(Tabel3[[#This Row],[jour]]+$R$3,IF(ROW()-ROW(Tabel3[[#Headers],[debut]])=1,DATE(2025,9,1)+$R$3,OFFSET(Tabel3[[#This Row],[fin]],-1,)))</f>
        <v>45925.719548611109</v>
      </c>
      <c r="S1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45926.366631944446</v>
      </c>
      <c r="T156" s="102">
        <f ca="1">--(Tabel3[[#This Row],[jour]]&lt;&gt;TRUNC(Tabel3[[#This Row],[fin]]))</f>
        <v>1</v>
      </c>
      <c r="U156" s="102">
        <f ca="1">IF(Tabel3[[#This Row],[Type]]="j0",0,--(TRUNC(Tabel3[[#This Row],[debut]])-TRUNC(Tabel3[[#This Row],[fin precedent]])&lt;Tabel3[[#This Row],[delai]]))</f>
        <v>1</v>
      </c>
    </row>
    <row r="157" spans="12:21" ht="18" customHeight="1" x14ac:dyDescent="0.2">
      <c r="L157" s="98" t="s">
        <v>375</v>
      </c>
      <c r="M157" s="98" t="s">
        <v>37</v>
      </c>
      <c r="N157" s="104">
        <v>45921</v>
      </c>
      <c r="O157" s="98">
        <v>93.600000000000009</v>
      </c>
      <c r="P157" s="98">
        <f>INDEX($C$1:$I$1,MATCH(Tabel3[[#This Row],[Type]],Devoirs[[#Headers],[J0]:[J60]],0))</f>
        <v>2</v>
      </c>
      <c r="Q157" s="105" cm="1">
        <f t="array" aca="1" ref="Q1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45924.54142361111</v>
      </c>
      <c r="R157" s="105">
        <f ca="1">MAX(Tabel3[[#This Row],[jour]]+$R$3,IF(ROW()-ROW(Tabel3[[#Headers],[debut]])=1,DATE(2025,9,1)+$R$3,OFFSET(Tabel3[[#This Row],[fin]],-1,)))</f>
        <v>45926.366631944446</v>
      </c>
      <c r="S1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45926.431631944448</v>
      </c>
      <c r="T157" s="102">
        <f ca="1">--(Tabel3[[#This Row],[jour]]&lt;&gt;TRUNC(Tabel3[[#This Row],[fin]]))</f>
        <v>1</v>
      </c>
      <c r="U157" s="102">
        <f ca="1">IF(Tabel3[[#This Row],[Type]]="j0",0,--(TRUNC(Tabel3[[#This Row],[debut]])-TRUNC(Tabel3[[#This Row],[fin precedent]])&lt;Tabel3[[#This Row],[delai]]))</f>
        <v>0</v>
      </c>
    </row>
    <row r="158" spans="12:21" ht="18" customHeight="1" x14ac:dyDescent="0.2">
      <c r="L158" s="98" t="s">
        <v>374</v>
      </c>
      <c r="M158" s="98" t="s">
        <v>39</v>
      </c>
      <c r="N158" s="104">
        <v>45921</v>
      </c>
      <c r="O158" s="98">
        <v>32.4</v>
      </c>
      <c r="P158" s="98">
        <f>INDEX($C$1:$I$1,MATCH(Tabel3[[#This Row],[Type]],Devoirs[[#Headers],[J0]:[J60]],0))</f>
        <v>4</v>
      </c>
      <c r="Q158" s="105" cm="1">
        <f t="array" aca="1" ref="Q1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45917.361458333333</v>
      </c>
      <c r="R158" s="105">
        <f ca="1">MAX(Tabel3[[#This Row],[jour]]+$R$3,IF(ROW()-ROW(Tabel3[[#Headers],[debut]])=1,DATE(2025,9,1)+$R$3,OFFSET(Tabel3[[#This Row],[fin]],-1,)))</f>
        <v>45926.431631944448</v>
      </c>
      <c r="S1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45926.454131944447</v>
      </c>
      <c r="T158" s="102">
        <f ca="1">--(Tabel3[[#This Row],[jour]]&lt;&gt;TRUNC(Tabel3[[#This Row],[fin]]))</f>
        <v>1</v>
      </c>
      <c r="U158" s="102">
        <f ca="1">IF(Tabel3[[#This Row],[Type]]="j0",0,--(TRUNC(Tabel3[[#This Row],[debut]])-TRUNC(Tabel3[[#This Row],[fin precedent]])&lt;Tabel3[[#This Row],[delai]]))</f>
        <v>0</v>
      </c>
    </row>
    <row r="159" spans="12:21" ht="18" customHeight="1" x14ac:dyDescent="0.2">
      <c r="L159" s="98" t="s">
        <v>61</v>
      </c>
      <c r="M159" s="98" t="s">
        <v>39</v>
      </c>
      <c r="N159" s="104">
        <v>45921</v>
      </c>
      <c r="O159" s="98">
        <v>37.799999999999997</v>
      </c>
      <c r="P159" s="98">
        <f>INDEX($C$1:$I$1,MATCH(Tabel3[[#This Row],[Type]],Devoirs[[#Headers],[J0]:[J60]],0))</f>
        <v>4</v>
      </c>
      <c r="Q159" s="105" cm="1">
        <f t="array" aca="1" ref="Q1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45917.394270833334</v>
      </c>
      <c r="R159" s="105">
        <f ca="1">MAX(Tabel3[[#This Row],[jour]]+$R$3,IF(ROW()-ROW(Tabel3[[#Headers],[debut]])=1,DATE(2025,9,1)+$R$3,OFFSET(Tabel3[[#This Row],[fin]],-1,)))</f>
        <v>45926.454131944447</v>
      </c>
      <c r="S1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45926.48038194445</v>
      </c>
      <c r="T159" s="102">
        <f ca="1">--(Tabel3[[#This Row],[jour]]&lt;&gt;TRUNC(Tabel3[[#This Row],[fin]]))</f>
        <v>1</v>
      </c>
      <c r="U159" s="102">
        <f ca="1">IF(Tabel3[[#This Row],[Type]]="j0",0,--(TRUNC(Tabel3[[#This Row],[debut]])-TRUNC(Tabel3[[#This Row],[fin precedent]])&lt;Tabel3[[#This Row],[delai]]))</f>
        <v>0</v>
      </c>
    </row>
    <row r="160" spans="12:21" ht="18" customHeight="1" x14ac:dyDescent="0.2">
      <c r="L160" s="98" t="s">
        <v>137</v>
      </c>
      <c r="M160" s="98" t="s">
        <v>38</v>
      </c>
      <c r="N160" s="104">
        <v>45922</v>
      </c>
      <c r="O160" s="98">
        <v>27</v>
      </c>
      <c r="P160" s="98">
        <f>INDEX($C$1:$I$1,MATCH(Tabel3[[#This Row],[Type]],Devoirs[[#Headers],[J0]:[J60]],0))</f>
        <v>4</v>
      </c>
      <c r="Q160" s="105" cm="1">
        <f t="array" aca="1" ref="Q1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45918.6875</v>
      </c>
      <c r="R160" s="105">
        <f ca="1">MAX(Tabel3[[#This Row],[jour]]+$R$3,IF(ROW()-ROW(Tabel3[[#Headers],[debut]])=1,DATE(2025,9,1)+$R$3,OFFSET(Tabel3[[#This Row],[fin]],-1,)))</f>
        <v>45926.48038194445</v>
      </c>
      <c r="S1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45926.499131944453</v>
      </c>
      <c r="T160" s="102">
        <f ca="1">--(Tabel3[[#This Row],[jour]]&lt;&gt;TRUNC(Tabel3[[#This Row],[fin]]))</f>
        <v>1</v>
      </c>
      <c r="U160" s="102">
        <f ca="1">IF(Tabel3[[#This Row],[Type]]="j0",0,--(TRUNC(Tabel3[[#This Row],[debut]])-TRUNC(Tabel3[[#This Row],[fin precedent]])&lt;Tabel3[[#This Row],[delai]]))</f>
        <v>0</v>
      </c>
    </row>
    <row r="161" spans="12:21" ht="18" customHeight="1" x14ac:dyDescent="0.2">
      <c r="L161" s="98" t="s">
        <v>105</v>
      </c>
      <c r="M161" s="98" t="s">
        <v>38</v>
      </c>
      <c r="N161" s="104">
        <v>45922</v>
      </c>
      <c r="O161" s="98">
        <v>33.75</v>
      </c>
      <c r="P161" s="98">
        <f>INDEX($C$1:$I$1,MATCH(Tabel3[[#This Row],[Type]],Devoirs[[#Headers],[J0]:[J60]],0))</f>
        <v>4</v>
      </c>
      <c r="Q161" s="105" cm="1">
        <f t="array" aca="1" ref="Q1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45918.715624999997</v>
      </c>
      <c r="R161" s="105">
        <f ca="1">MAX(Tabel3[[#This Row],[jour]]+$R$3,IF(ROW()-ROW(Tabel3[[#Headers],[debut]])=1,DATE(2025,9,1)+$R$3,OFFSET(Tabel3[[#This Row],[fin]],-1,)))</f>
        <v>45926.499131944453</v>
      </c>
      <c r="S1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45926.522569444453</v>
      </c>
      <c r="T161" s="102">
        <f ca="1">--(Tabel3[[#This Row],[jour]]&lt;&gt;TRUNC(Tabel3[[#This Row],[fin]]))</f>
        <v>1</v>
      </c>
      <c r="U161" s="102">
        <f ca="1">IF(Tabel3[[#This Row],[Type]]="j0",0,--(TRUNC(Tabel3[[#This Row],[debut]])-TRUNC(Tabel3[[#This Row],[fin precedent]])&lt;Tabel3[[#This Row],[delai]]))</f>
        <v>0</v>
      </c>
    </row>
    <row r="162" spans="12:21" ht="18" customHeight="1" x14ac:dyDescent="0.2">
      <c r="L162" s="98" t="s">
        <v>69</v>
      </c>
      <c r="M162" s="98" t="s">
        <v>38</v>
      </c>
      <c r="N162" s="104">
        <v>45922</v>
      </c>
      <c r="O162" s="98">
        <v>36</v>
      </c>
      <c r="P162" s="98">
        <f>INDEX($C$1:$I$1,MATCH(Tabel3[[#This Row],[Type]],Devoirs[[#Headers],[J0]:[J60]],0))</f>
        <v>4</v>
      </c>
      <c r="Q162" s="105" cm="1">
        <f t="array" aca="1" ref="Q1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45918.745624999996</v>
      </c>
      <c r="R162" s="105">
        <f ca="1">MAX(Tabel3[[#This Row],[jour]]+$R$3,IF(ROW()-ROW(Tabel3[[#Headers],[debut]])=1,DATE(2025,9,1)+$R$3,OFFSET(Tabel3[[#This Row],[fin]],-1,)))</f>
        <v>45926.522569444453</v>
      </c>
      <c r="S1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45926.547569444454</v>
      </c>
      <c r="T162" s="102">
        <f ca="1">--(Tabel3[[#This Row],[jour]]&lt;&gt;TRUNC(Tabel3[[#This Row],[fin]]))</f>
        <v>1</v>
      </c>
      <c r="U162" s="102">
        <f ca="1">IF(Tabel3[[#This Row],[Type]]="j0",0,--(TRUNC(Tabel3[[#This Row],[debut]])-TRUNC(Tabel3[[#This Row],[fin precedent]])&lt;Tabel3[[#This Row],[delai]]))</f>
        <v>0</v>
      </c>
    </row>
    <row r="163" spans="12:21" ht="18" customHeight="1" x14ac:dyDescent="0.2">
      <c r="L163" s="98" t="s">
        <v>80</v>
      </c>
      <c r="M163" s="98" t="s">
        <v>38</v>
      </c>
      <c r="N163" s="104">
        <v>45922</v>
      </c>
      <c r="O163" s="98">
        <v>36.75</v>
      </c>
      <c r="P163" s="98">
        <f>INDEX($C$1:$I$1,MATCH(Tabel3[[#This Row],[Type]],Devoirs[[#Headers],[J0]:[J60]],0))</f>
        <v>4</v>
      </c>
      <c r="Q163" s="105" cm="1">
        <f t="array" aca="1" ref="Q1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45919.359583333331</v>
      </c>
      <c r="R163" s="105">
        <f ca="1">MAX(Tabel3[[#This Row],[jour]]+$R$3,IF(ROW()-ROW(Tabel3[[#Headers],[debut]])=1,DATE(2025,9,1)+$R$3,OFFSET(Tabel3[[#This Row],[fin]],-1,)))</f>
        <v>45926.547569444454</v>
      </c>
      <c r="S1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45926.573090277787</v>
      </c>
      <c r="T163" s="102">
        <f ca="1">--(Tabel3[[#This Row],[jour]]&lt;&gt;TRUNC(Tabel3[[#This Row],[fin]]))</f>
        <v>1</v>
      </c>
      <c r="U163" s="102">
        <f ca="1">IF(Tabel3[[#This Row],[Type]]="j0",0,--(TRUNC(Tabel3[[#This Row],[debut]])-TRUNC(Tabel3[[#This Row],[fin precedent]])&lt;Tabel3[[#This Row],[delai]]))</f>
        <v>0</v>
      </c>
    </row>
    <row r="164" spans="12:21" ht="18" customHeight="1" x14ac:dyDescent="0.2">
      <c r="L164" s="98" t="s">
        <v>117</v>
      </c>
      <c r="M164" s="98" t="s">
        <v>38</v>
      </c>
      <c r="N164" s="104">
        <v>45922</v>
      </c>
      <c r="O164" s="98">
        <v>45</v>
      </c>
      <c r="P164" s="98">
        <f>INDEX($C$1:$I$1,MATCH(Tabel3[[#This Row],[Type]],Devoirs[[#Headers],[J0]:[J60]],0))</f>
        <v>4</v>
      </c>
      <c r="Q164" s="105" cm="1">
        <f t="array" aca="1" ref="Q1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45919.39708333333</v>
      </c>
      <c r="R164" s="105">
        <f ca="1">MAX(Tabel3[[#This Row],[jour]]+$R$3,IF(ROW()-ROW(Tabel3[[#Headers],[debut]])=1,DATE(2025,9,1)+$R$3,OFFSET(Tabel3[[#This Row],[fin]],-1,)))</f>
        <v>45926.573090277787</v>
      </c>
      <c r="S1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45926.604340277787</v>
      </c>
      <c r="T164" s="102">
        <f ca="1">--(Tabel3[[#This Row],[jour]]&lt;&gt;TRUNC(Tabel3[[#This Row],[fin]]))</f>
        <v>1</v>
      </c>
      <c r="U164" s="102">
        <f ca="1">IF(Tabel3[[#This Row],[Type]]="j0",0,--(TRUNC(Tabel3[[#This Row],[debut]])-TRUNC(Tabel3[[#This Row],[fin precedent]])&lt;Tabel3[[#This Row],[delai]]))</f>
        <v>0</v>
      </c>
    </row>
    <row r="165" spans="12:21" ht="18" customHeight="1" x14ac:dyDescent="0.2">
      <c r="L165" s="98" t="s">
        <v>118</v>
      </c>
      <c r="M165" s="98" t="s">
        <v>39</v>
      </c>
      <c r="N165" s="104">
        <v>45922</v>
      </c>
      <c r="O165" s="98">
        <v>27</v>
      </c>
      <c r="P165" s="98">
        <f>INDEX($C$1:$I$1,MATCH(Tabel3[[#This Row],[Type]],Devoirs[[#Headers],[J0]:[J60]],0))</f>
        <v>4</v>
      </c>
      <c r="Q165" s="105" cm="1">
        <f t="array" aca="1" ref="Q1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45918.538437499999</v>
      </c>
      <c r="R165" s="105">
        <f ca="1">MAX(Tabel3[[#This Row],[jour]]+$R$3,IF(ROW()-ROW(Tabel3[[#Headers],[debut]])=1,DATE(2025,9,1)+$R$3,OFFSET(Tabel3[[#This Row],[fin]],-1,)))</f>
        <v>45926.604340277787</v>
      </c>
      <c r="S1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45926.62309027779</v>
      </c>
      <c r="T165" s="102">
        <f ca="1">--(Tabel3[[#This Row],[jour]]&lt;&gt;TRUNC(Tabel3[[#This Row],[fin]]))</f>
        <v>1</v>
      </c>
      <c r="U165" s="102">
        <f ca="1">IF(Tabel3[[#This Row],[Type]]="j0",0,--(TRUNC(Tabel3[[#This Row],[debut]])-TRUNC(Tabel3[[#This Row],[fin precedent]])&lt;Tabel3[[#This Row],[delai]]))</f>
        <v>0</v>
      </c>
    </row>
    <row r="166" spans="12:21" ht="18" customHeight="1" x14ac:dyDescent="0.2">
      <c r="L166" s="98" t="s">
        <v>96</v>
      </c>
      <c r="M166" s="98" t="s">
        <v>39</v>
      </c>
      <c r="N166" s="104">
        <v>45922</v>
      </c>
      <c r="O166" s="98">
        <v>38.4</v>
      </c>
      <c r="P166" s="98">
        <f>INDEX($C$1:$I$1,MATCH(Tabel3[[#This Row],[Type]],Devoirs[[#Headers],[J0]:[J60]],0))</f>
        <v>4</v>
      </c>
      <c r="Q166" s="105" cm="1">
        <f t="array" aca="1" ref="Q1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45918.571770833332</v>
      </c>
      <c r="R166" s="105">
        <f ca="1">MAX(Tabel3[[#This Row],[jour]]+$R$3,IF(ROW()-ROW(Tabel3[[#Headers],[debut]])=1,DATE(2025,9,1)+$R$3,OFFSET(Tabel3[[#This Row],[fin]],-1,)))</f>
        <v>45926.62309027779</v>
      </c>
      <c r="S1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45926.649756944455</v>
      </c>
      <c r="T166" s="102">
        <f ca="1">--(Tabel3[[#This Row],[jour]]&lt;&gt;TRUNC(Tabel3[[#This Row],[fin]]))</f>
        <v>1</v>
      </c>
      <c r="U166" s="102">
        <f ca="1">IF(Tabel3[[#This Row],[Type]]="j0",0,--(TRUNC(Tabel3[[#This Row],[debut]])-TRUNC(Tabel3[[#This Row],[fin precedent]])&lt;Tabel3[[#This Row],[delai]]))</f>
        <v>0</v>
      </c>
    </row>
    <row r="167" spans="12:21" ht="18" customHeight="1" x14ac:dyDescent="0.2">
      <c r="L167" s="98" t="s">
        <v>78</v>
      </c>
      <c r="M167" s="98" t="s">
        <v>39</v>
      </c>
      <c r="N167" s="104">
        <v>45922</v>
      </c>
      <c r="O167" s="98">
        <v>52.199999999999996</v>
      </c>
      <c r="P167" s="98">
        <f>INDEX($C$1:$I$1,MATCH(Tabel3[[#This Row],[Type]],Devoirs[[#Headers],[J0]:[J60]],0))</f>
        <v>4</v>
      </c>
      <c r="Q167" s="105" cm="1">
        <f t="array" aca="1" ref="Q1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45918.617083333331</v>
      </c>
      <c r="R167" s="105">
        <f ca="1">MAX(Tabel3[[#This Row],[jour]]+$R$3,IF(ROW()-ROW(Tabel3[[#Headers],[debut]])=1,DATE(2025,9,1)+$R$3,OFFSET(Tabel3[[#This Row],[fin]],-1,)))</f>
        <v>45926.649756944455</v>
      </c>
      <c r="S1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45926.686006944452</v>
      </c>
      <c r="T167" s="102">
        <f ca="1">--(Tabel3[[#This Row],[jour]]&lt;&gt;TRUNC(Tabel3[[#This Row],[fin]]))</f>
        <v>1</v>
      </c>
      <c r="U167" s="102">
        <f ca="1">IF(Tabel3[[#This Row],[Type]]="j0",0,--(TRUNC(Tabel3[[#This Row],[debut]])-TRUNC(Tabel3[[#This Row],[fin precedent]])&lt;Tabel3[[#This Row],[delai]]))</f>
        <v>0</v>
      </c>
    </row>
    <row r="168" spans="12:21" ht="18" customHeight="1" x14ac:dyDescent="0.2">
      <c r="L168" s="98" t="s">
        <v>66</v>
      </c>
      <c r="M168" s="98" t="s">
        <v>39</v>
      </c>
      <c r="N168" s="104">
        <v>45922</v>
      </c>
      <c r="O168" s="98">
        <v>55.199999999999996</v>
      </c>
      <c r="P168" s="98">
        <f>INDEX($C$1:$I$1,MATCH(Tabel3[[#This Row],[Type]],Devoirs[[#Headers],[J0]:[J60]],0))</f>
        <v>4</v>
      </c>
      <c r="Q168" s="105" cm="1">
        <f t="array" aca="1" ref="Q1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45918.665000000001</v>
      </c>
      <c r="R168" s="105">
        <f ca="1">MAX(Tabel3[[#This Row],[jour]]+$R$3,IF(ROW()-ROW(Tabel3[[#Headers],[debut]])=1,DATE(2025,9,1)+$R$3,OFFSET(Tabel3[[#This Row],[fin]],-1,)))</f>
        <v>45926.686006944452</v>
      </c>
      <c r="S1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45926.724340277782</v>
      </c>
      <c r="T168" s="102">
        <f ca="1">--(Tabel3[[#This Row],[jour]]&lt;&gt;TRUNC(Tabel3[[#This Row],[fin]]))</f>
        <v>1</v>
      </c>
      <c r="U168" s="102">
        <f ca="1">IF(Tabel3[[#This Row],[Type]]="j0",0,--(TRUNC(Tabel3[[#This Row],[debut]])-TRUNC(Tabel3[[#This Row],[fin precedent]])&lt;Tabel3[[#This Row],[delai]]))</f>
        <v>0</v>
      </c>
    </row>
    <row r="169" spans="12:21" ht="18" customHeight="1" x14ac:dyDescent="0.2">
      <c r="L169" s="98" t="s">
        <v>67</v>
      </c>
      <c r="M169" s="98" t="s">
        <v>1</v>
      </c>
      <c r="N169" s="104">
        <v>45922</v>
      </c>
      <c r="O169" s="98">
        <v>33</v>
      </c>
      <c r="P169" s="98">
        <f>INDEX($C$1:$I$1,MATCH(Tabel3[[#This Row],[Type]],Devoirs[[#Headers],[J0]:[J60]],0))</f>
        <v>0</v>
      </c>
      <c r="Q169" s="105" t="str" cm="1">
        <f t="array" ref="Q16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69" s="105">
        <f ca="1">MAX(Tabel3[[#This Row],[jour]]+$R$3,IF(ROW()-ROW(Tabel3[[#Headers],[debut]])=1,DATE(2025,9,1)+$R$3,OFFSET(Tabel3[[#This Row],[fin]],-1,)))</f>
        <v>45926.724340277782</v>
      </c>
      <c r="S1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45926.747256944451</v>
      </c>
      <c r="T169" s="102">
        <f ca="1">--(Tabel3[[#This Row],[jour]]&lt;&gt;TRUNC(Tabel3[[#This Row],[fin]]))</f>
        <v>1</v>
      </c>
      <c r="U169" s="102">
        <f>IF(Tabel3[[#This Row],[Type]]="j0",0,--(TRUNC(Tabel3[[#This Row],[debut]])-TRUNC(Tabel3[[#This Row],[fin precedent]])&lt;Tabel3[[#This Row],[delai]]))</f>
        <v>0</v>
      </c>
    </row>
    <row r="170" spans="12:21" ht="18" customHeight="1" x14ac:dyDescent="0.2">
      <c r="L170" s="98" t="s">
        <v>116</v>
      </c>
      <c r="M170" s="98" t="s">
        <v>1</v>
      </c>
      <c r="N170" s="104">
        <v>45922</v>
      </c>
      <c r="O170" s="98">
        <v>110</v>
      </c>
      <c r="P170" s="98">
        <f>INDEX($C$1:$I$1,MATCH(Tabel3[[#This Row],[Type]],Devoirs[[#Headers],[J0]:[J60]],0))</f>
        <v>0</v>
      </c>
      <c r="Q170" s="105" t="str" cm="1">
        <f t="array" ref="Q17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70" s="105">
        <f ca="1">MAX(Tabel3[[#This Row],[jour]]+$R$3,IF(ROW()-ROW(Tabel3[[#Headers],[debut]])=1,DATE(2025,9,1)+$R$3,OFFSET(Tabel3[[#This Row],[fin]],-1,)))</f>
        <v>45926.747256944451</v>
      </c>
      <c r="S1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45929.406979166677</v>
      </c>
      <c r="T170" s="102">
        <f ca="1">--(Tabel3[[#This Row],[jour]]&lt;&gt;TRUNC(Tabel3[[#This Row],[fin]]))</f>
        <v>1</v>
      </c>
      <c r="U170" s="102">
        <f>IF(Tabel3[[#This Row],[Type]]="j0",0,--(TRUNC(Tabel3[[#This Row],[debut]])-TRUNC(Tabel3[[#This Row],[fin precedent]])&lt;Tabel3[[#This Row],[delai]]))</f>
        <v>0</v>
      </c>
    </row>
    <row r="171" spans="12:21" ht="18" customHeight="1" x14ac:dyDescent="0.2">
      <c r="L171" s="98" t="s">
        <v>109</v>
      </c>
      <c r="M171" s="98" t="s">
        <v>1</v>
      </c>
      <c r="N171" s="104">
        <v>45922</v>
      </c>
      <c r="O171" s="98">
        <v>112</v>
      </c>
      <c r="P171" s="98">
        <f>INDEX($C$1:$I$1,MATCH(Tabel3[[#This Row],[Type]],Devoirs[[#Headers],[J0]:[J60]],0))</f>
        <v>0</v>
      </c>
      <c r="Q171" s="105" t="str" cm="1">
        <f t="array" ref="Q17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71" s="105">
        <f ca="1">MAX(Tabel3[[#This Row],[jour]]+$R$3,IF(ROW()-ROW(Tabel3[[#Headers],[debut]])=1,DATE(2025,9,1)+$R$3,OFFSET(Tabel3[[#This Row],[fin]],-1,)))</f>
        <v>45929.406979166677</v>
      </c>
      <c r="S1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45929.484756944454</v>
      </c>
      <c r="T171" s="102">
        <f ca="1">--(Tabel3[[#This Row],[jour]]&lt;&gt;TRUNC(Tabel3[[#This Row],[fin]]))</f>
        <v>1</v>
      </c>
      <c r="U171" s="102">
        <f>IF(Tabel3[[#This Row],[Type]]="j0",0,--(TRUNC(Tabel3[[#This Row],[debut]])-TRUNC(Tabel3[[#This Row],[fin precedent]])&lt;Tabel3[[#This Row],[delai]]))</f>
        <v>0</v>
      </c>
    </row>
    <row r="172" spans="12:21" ht="18" customHeight="1" x14ac:dyDescent="0.2">
      <c r="L172" s="98" t="s">
        <v>98</v>
      </c>
      <c r="M172" s="98" t="s">
        <v>38</v>
      </c>
      <c r="N172" s="104">
        <v>45923</v>
      </c>
      <c r="O172" s="98">
        <v>67.5</v>
      </c>
      <c r="P172" s="98">
        <f>INDEX($C$1:$I$1,MATCH(Tabel3[[#This Row],[Type]],Devoirs[[#Headers],[J0]:[J60]],0))</f>
        <v>4</v>
      </c>
      <c r="Q172" s="105" cm="1">
        <f t="array" aca="1" ref="Q17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45923.37899305555</v>
      </c>
      <c r="R172" s="105">
        <f ca="1">MAX(Tabel3[[#This Row],[jour]]+$R$3,IF(ROW()-ROW(Tabel3[[#Headers],[debut]])=1,DATE(2025,9,1)+$R$3,OFFSET(Tabel3[[#This Row],[fin]],-1,)))</f>
        <v>45929.484756944454</v>
      </c>
      <c r="S1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45929.531631944454</v>
      </c>
      <c r="T172" s="102">
        <f ca="1">--(Tabel3[[#This Row],[jour]]&lt;&gt;TRUNC(Tabel3[[#This Row],[fin]]))</f>
        <v>1</v>
      </c>
      <c r="U172" s="102">
        <f ca="1">IF(Tabel3[[#This Row],[Type]]="j0",0,--(TRUNC(Tabel3[[#This Row],[debut]])-TRUNC(Tabel3[[#This Row],[fin precedent]])&lt;Tabel3[[#This Row],[delai]]))</f>
        <v>0</v>
      </c>
    </row>
    <row r="173" spans="12:21" ht="18" customHeight="1" x14ac:dyDescent="0.2">
      <c r="L173" s="98" t="s">
        <v>102</v>
      </c>
      <c r="M173" s="98" t="s">
        <v>38</v>
      </c>
      <c r="N173" s="104">
        <v>45923</v>
      </c>
      <c r="O173" s="98">
        <v>84</v>
      </c>
      <c r="P173" s="98">
        <f>INDEX($C$1:$I$1,MATCH(Tabel3[[#This Row],[Type]],Devoirs[[#Headers],[J0]:[J60]],0))</f>
        <v>4</v>
      </c>
      <c r="Q173" s="105" cm="1">
        <f t="array" aca="1" ref="Q1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45923.44899305555</v>
      </c>
      <c r="R173" s="105">
        <f ca="1">MAX(Tabel3[[#This Row],[jour]]+$R$3,IF(ROW()-ROW(Tabel3[[#Headers],[debut]])=1,DATE(2025,9,1)+$R$3,OFFSET(Tabel3[[#This Row],[fin]],-1,)))</f>
        <v>45929.531631944454</v>
      </c>
      <c r="S1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45929.589965277788</v>
      </c>
      <c r="T173" s="102">
        <f ca="1">--(Tabel3[[#This Row],[jour]]&lt;&gt;TRUNC(Tabel3[[#This Row],[fin]]))</f>
        <v>1</v>
      </c>
      <c r="U173" s="102">
        <f ca="1">IF(Tabel3[[#This Row],[Type]]="j0",0,--(TRUNC(Tabel3[[#This Row],[debut]])-TRUNC(Tabel3[[#This Row],[fin precedent]])&lt;Tabel3[[#This Row],[delai]]))</f>
        <v>0</v>
      </c>
    </row>
    <row r="174" spans="12:21" ht="18" customHeight="1" x14ac:dyDescent="0.2">
      <c r="L174" s="98" t="s">
        <v>59</v>
      </c>
      <c r="M174" s="98" t="s">
        <v>38</v>
      </c>
      <c r="N174" s="104">
        <v>45923</v>
      </c>
      <c r="O174" s="98">
        <v>84.75</v>
      </c>
      <c r="P174" s="98">
        <f>INDEX($C$1:$I$1,MATCH(Tabel3[[#This Row],[Type]],Devoirs[[#Headers],[J0]:[J60]],0))</f>
        <v>4</v>
      </c>
      <c r="Q174" s="105" cm="1">
        <f t="array" aca="1" ref="Q1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45923.51961805555</v>
      </c>
      <c r="R174" s="105">
        <f ca="1">MAX(Tabel3[[#This Row],[jour]]+$R$3,IF(ROW()-ROW(Tabel3[[#Headers],[debut]])=1,DATE(2025,9,1)+$R$3,OFFSET(Tabel3[[#This Row],[fin]],-1,)))</f>
        <v>45929.589965277788</v>
      </c>
      <c r="S1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45929.648819444454</v>
      </c>
      <c r="T174" s="102">
        <f ca="1">--(Tabel3[[#This Row],[jour]]&lt;&gt;TRUNC(Tabel3[[#This Row],[fin]]))</f>
        <v>1</v>
      </c>
      <c r="U174" s="102">
        <f ca="1">IF(Tabel3[[#This Row],[Type]]="j0",0,--(TRUNC(Tabel3[[#This Row],[debut]])-TRUNC(Tabel3[[#This Row],[fin precedent]])&lt;Tabel3[[#This Row],[delai]]))</f>
        <v>0</v>
      </c>
    </row>
    <row r="175" spans="12:21" ht="18" customHeight="1" x14ac:dyDescent="0.2">
      <c r="L175" s="98" t="s">
        <v>99</v>
      </c>
      <c r="M175" s="98" t="s">
        <v>38</v>
      </c>
      <c r="N175" s="104">
        <v>45923</v>
      </c>
      <c r="O175" s="98">
        <v>90</v>
      </c>
      <c r="P175" s="98">
        <f>INDEX($C$1:$I$1,MATCH(Tabel3[[#This Row],[Type]],Devoirs[[#Headers],[J0]:[J60]],0))</f>
        <v>4</v>
      </c>
      <c r="Q175" s="105" cm="1">
        <f t="array" aca="1" ref="Q1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45923.594618055547</v>
      </c>
      <c r="R175" s="105">
        <f ca="1">MAX(Tabel3[[#This Row],[jour]]+$R$3,IF(ROW()-ROW(Tabel3[[#Headers],[debut]])=1,DATE(2025,9,1)+$R$3,OFFSET(Tabel3[[#This Row],[fin]],-1,)))</f>
        <v>45929.648819444454</v>
      </c>
      <c r="S1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45929.711319444454</v>
      </c>
      <c r="T175" s="102">
        <f ca="1">--(Tabel3[[#This Row],[jour]]&lt;&gt;TRUNC(Tabel3[[#This Row],[fin]]))</f>
        <v>1</v>
      </c>
      <c r="U175" s="102">
        <f ca="1">IF(Tabel3[[#This Row],[Type]]="j0",0,--(TRUNC(Tabel3[[#This Row],[debut]])-TRUNC(Tabel3[[#This Row],[fin precedent]])&lt;Tabel3[[#This Row],[delai]]))</f>
        <v>0</v>
      </c>
    </row>
    <row r="176" spans="12:21" ht="18" customHeight="1" x14ac:dyDescent="0.2">
      <c r="L176" s="98" t="s">
        <v>140</v>
      </c>
      <c r="M176" s="98" t="s">
        <v>40</v>
      </c>
      <c r="N176" s="104">
        <v>45923</v>
      </c>
      <c r="O176" s="98">
        <v>31.05</v>
      </c>
      <c r="P176" s="98">
        <f>INDEX($C$1:$I$1,MATCH(Tabel3[[#This Row],[Type]],Devoirs[[#Headers],[J0]:[J60]],0))</f>
        <v>5</v>
      </c>
      <c r="Q176" s="105" cm="1">
        <f t="array" aca="1" ref="Q1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45919.510520833326</v>
      </c>
      <c r="R176" s="105">
        <f ca="1">MAX(Tabel3[[#This Row],[jour]]+$R$3,IF(ROW()-ROW(Tabel3[[#Headers],[debut]])=1,DATE(2025,9,1)+$R$3,OFFSET(Tabel3[[#This Row],[fin]],-1,)))</f>
        <v>45929.711319444454</v>
      </c>
      <c r="S1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45929.732881944452</v>
      </c>
      <c r="T176" s="102">
        <f ca="1">--(Tabel3[[#This Row],[jour]]&lt;&gt;TRUNC(Tabel3[[#This Row],[fin]]))</f>
        <v>1</v>
      </c>
      <c r="U176" s="102">
        <f ca="1">IF(Tabel3[[#This Row],[Type]]="j0",0,--(TRUNC(Tabel3[[#This Row],[debut]])-TRUNC(Tabel3[[#This Row],[fin precedent]])&lt;Tabel3[[#This Row],[delai]]))</f>
        <v>0</v>
      </c>
    </row>
    <row r="177" spans="12:21" ht="18" customHeight="1" x14ac:dyDescent="0.2">
      <c r="L177" s="98" t="s">
        <v>133</v>
      </c>
      <c r="M177" s="98" t="s">
        <v>40</v>
      </c>
      <c r="N177" s="104">
        <v>45923</v>
      </c>
      <c r="O177" s="98">
        <v>35.1</v>
      </c>
      <c r="P177" s="98">
        <f>INDEX($C$1:$I$1,MATCH(Tabel3[[#This Row],[Type]],Devoirs[[#Headers],[J0]:[J60]],0))</f>
        <v>5</v>
      </c>
      <c r="Q177" s="105" cm="1">
        <f t="array" aca="1" ref="Q17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45919.543020833327</v>
      </c>
      <c r="R177" s="105">
        <f ca="1">MAX(Tabel3[[#This Row],[jour]]+$R$3,IF(ROW()-ROW(Tabel3[[#Headers],[debut]])=1,DATE(2025,9,1)+$R$3,OFFSET(Tabel3[[#This Row],[fin]],-1,)))</f>
        <v>45929.732881944452</v>
      </c>
      <c r="S1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45930.340590277789</v>
      </c>
      <c r="T177" s="102">
        <f ca="1">--(Tabel3[[#This Row],[jour]]&lt;&gt;TRUNC(Tabel3[[#This Row],[fin]]))</f>
        <v>1</v>
      </c>
      <c r="U177" s="102">
        <f ca="1">IF(Tabel3[[#This Row],[Type]]="j0",0,--(TRUNC(Tabel3[[#This Row],[debut]])-TRUNC(Tabel3[[#This Row],[fin precedent]])&lt;Tabel3[[#This Row],[delai]]))</f>
        <v>0</v>
      </c>
    </row>
    <row r="178" spans="12:21" ht="18" customHeight="1" x14ac:dyDescent="0.2">
      <c r="L178" s="98" t="s">
        <v>376</v>
      </c>
      <c r="M178" s="98" t="s">
        <v>40</v>
      </c>
      <c r="N178" s="104">
        <v>45923</v>
      </c>
      <c r="O178" s="98">
        <v>37.35</v>
      </c>
      <c r="P178" s="98">
        <f>INDEX($C$1:$I$1,MATCH(Tabel3[[#This Row],[Type]],Devoirs[[#Headers],[J0]:[J60]],0))</f>
        <v>5</v>
      </c>
      <c r="Q178" s="105" cm="1">
        <f t="array" aca="1" ref="Q17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45919.577604166661</v>
      </c>
      <c r="R178" s="105">
        <f ca="1">MAX(Tabel3[[#This Row],[jour]]+$R$3,IF(ROW()-ROW(Tabel3[[#Headers],[debut]])=1,DATE(2025,9,1)+$R$3,OFFSET(Tabel3[[#This Row],[fin]],-1,)))</f>
        <v>45930.340590277789</v>
      </c>
      <c r="S1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45930.366527777791</v>
      </c>
      <c r="T178" s="102">
        <f ca="1">--(Tabel3[[#This Row],[jour]]&lt;&gt;TRUNC(Tabel3[[#This Row],[fin]]))</f>
        <v>1</v>
      </c>
      <c r="U178" s="102">
        <f ca="1">IF(Tabel3[[#This Row],[Type]]="j0",0,--(TRUNC(Tabel3[[#This Row],[debut]])-TRUNC(Tabel3[[#This Row],[fin precedent]])&lt;Tabel3[[#This Row],[delai]]))</f>
        <v>0</v>
      </c>
    </row>
    <row r="179" spans="12:21" ht="18" customHeight="1" x14ac:dyDescent="0.2">
      <c r="L179" s="98" t="s">
        <v>115</v>
      </c>
      <c r="M179" s="98" t="s">
        <v>40</v>
      </c>
      <c r="N179" s="104">
        <v>45923</v>
      </c>
      <c r="O179" s="98">
        <v>38.25</v>
      </c>
      <c r="P179" s="98">
        <f>INDEX($C$1:$I$1,MATCH(Tabel3[[#This Row],[Type]],Devoirs[[#Headers],[J0]:[J60]],0))</f>
        <v>5</v>
      </c>
      <c r="Q179" s="105" cm="1">
        <f t="array" aca="1" ref="Q17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45919.613020833327</v>
      </c>
      <c r="R179" s="105">
        <f ca="1">MAX(Tabel3[[#This Row],[jour]]+$R$3,IF(ROW()-ROW(Tabel3[[#Headers],[debut]])=1,DATE(2025,9,1)+$R$3,OFFSET(Tabel3[[#This Row],[fin]],-1,)))</f>
        <v>45930.366527777791</v>
      </c>
      <c r="S1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45930.393090277794</v>
      </c>
      <c r="T179" s="102">
        <f ca="1">--(Tabel3[[#This Row],[jour]]&lt;&gt;TRUNC(Tabel3[[#This Row],[fin]]))</f>
        <v>1</v>
      </c>
      <c r="U179" s="102">
        <f ca="1">IF(Tabel3[[#This Row],[Type]]="j0",0,--(TRUNC(Tabel3[[#This Row],[debut]])-TRUNC(Tabel3[[#This Row],[fin precedent]])&lt;Tabel3[[#This Row],[delai]]))</f>
        <v>0</v>
      </c>
    </row>
    <row r="180" spans="12:21" ht="18" customHeight="1" x14ac:dyDescent="0.2">
      <c r="L180" s="98" t="s">
        <v>113</v>
      </c>
      <c r="M180" s="98" t="s">
        <v>40</v>
      </c>
      <c r="N180" s="104">
        <v>45923</v>
      </c>
      <c r="O180" s="98">
        <v>41.85</v>
      </c>
      <c r="P180" s="98">
        <f>INDEX($C$1:$I$1,MATCH(Tabel3[[#This Row],[Type]],Devoirs[[#Headers],[J0]:[J60]],0))</f>
        <v>5</v>
      </c>
      <c r="Q180" s="105" cm="1">
        <f t="array" aca="1" ref="Q18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45919.651770833327</v>
      </c>
      <c r="R180" s="105">
        <f ca="1">MAX(Tabel3[[#This Row],[jour]]+$R$3,IF(ROW()-ROW(Tabel3[[#Headers],[debut]])=1,DATE(2025,9,1)+$R$3,OFFSET(Tabel3[[#This Row],[fin]],-1,)))</f>
        <v>45930.393090277794</v>
      </c>
      <c r="S1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45930.422152777792</v>
      </c>
      <c r="T180" s="102">
        <f ca="1">--(Tabel3[[#This Row],[jour]]&lt;&gt;TRUNC(Tabel3[[#This Row],[fin]]))</f>
        <v>1</v>
      </c>
      <c r="U180" s="102">
        <f ca="1">IF(Tabel3[[#This Row],[Type]]="j0",0,--(TRUNC(Tabel3[[#This Row],[debut]])-TRUNC(Tabel3[[#This Row],[fin precedent]])&lt;Tabel3[[#This Row],[delai]]))</f>
        <v>0</v>
      </c>
    </row>
    <row r="181" spans="12:21" ht="18" customHeight="1" x14ac:dyDescent="0.2">
      <c r="L181" s="98" t="s">
        <v>130</v>
      </c>
      <c r="M181" s="98" t="s">
        <v>40</v>
      </c>
      <c r="N181" s="104">
        <v>45923</v>
      </c>
      <c r="O181" s="98">
        <v>45.45</v>
      </c>
      <c r="P181" s="98">
        <f>INDEX($C$1:$I$1,MATCH(Tabel3[[#This Row],[Type]],Devoirs[[#Headers],[J0]:[J60]],0))</f>
        <v>5</v>
      </c>
      <c r="Q181" s="105" cm="1">
        <f t="array" aca="1" ref="Q18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45919.69385416666</v>
      </c>
      <c r="R181" s="105">
        <f ca="1">MAX(Tabel3[[#This Row],[jour]]+$R$3,IF(ROW()-ROW(Tabel3[[#Headers],[debut]])=1,DATE(2025,9,1)+$R$3,OFFSET(Tabel3[[#This Row],[fin]],-1,)))</f>
        <v>45930.422152777792</v>
      </c>
      <c r="S1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45930.453715277792</v>
      </c>
      <c r="T181" s="102">
        <f ca="1">--(Tabel3[[#This Row],[jour]]&lt;&gt;TRUNC(Tabel3[[#This Row],[fin]]))</f>
        <v>1</v>
      </c>
      <c r="U181" s="102">
        <f ca="1">IF(Tabel3[[#This Row],[Type]]="j0",0,--(TRUNC(Tabel3[[#This Row],[debut]])-TRUNC(Tabel3[[#This Row],[fin precedent]])&lt;Tabel3[[#This Row],[delai]]))</f>
        <v>0</v>
      </c>
    </row>
    <row r="182" spans="12:21" ht="18" customHeight="1" x14ac:dyDescent="0.2">
      <c r="L182" s="98" t="s">
        <v>106</v>
      </c>
      <c r="M182" s="98" t="s">
        <v>40</v>
      </c>
      <c r="N182" s="104">
        <v>45923</v>
      </c>
      <c r="O182" s="98">
        <v>47.7</v>
      </c>
      <c r="P182" s="98">
        <f>INDEX($C$1:$I$1,MATCH(Tabel3[[#This Row],[Type]],Devoirs[[#Headers],[J0]:[J60]],0))</f>
        <v>5</v>
      </c>
      <c r="Q182" s="105" cm="1">
        <f t="array" aca="1" ref="Q18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45919.738020833327</v>
      </c>
      <c r="R182" s="105">
        <f ca="1">MAX(Tabel3[[#This Row],[jour]]+$R$3,IF(ROW()-ROW(Tabel3[[#Headers],[debut]])=1,DATE(2025,9,1)+$R$3,OFFSET(Tabel3[[#This Row],[fin]],-1,)))</f>
        <v>45930.453715277792</v>
      </c>
      <c r="S1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45930.486840277794</v>
      </c>
      <c r="T182" s="102">
        <f ca="1">--(Tabel3[[#This Row],[jour]]&lt;&gt;TRUNC(Tabel3[[#This Row],[fin]]))</f>
        <v>1</v>
      </c>
      <c r="U182" s="102">
        <f ca="1">IF(Tabel3[[#This Row],[Type]]="j0",0,--(TRUNC(Tabel3[[#This Row],[debut]])-TRUNC(Tabel3[[#This Row],[fin precedent]])&lt;Tabel3[[#This Row],[delai]]))</f>
        <v>0</v>
      </c>
    </row>
    <row r="183" spans="12:21" ht="18" customHeight="1" x14ac:dyDescent="0.2">
      <c r="L183" s="98" t="s">
        <v>136</v>
      </c>
      <c r="M183" s="98" t="s">
        <v>1</v>
      </c>
      <c r="N183" s="104">
        <v>45923</v>
      </c>
      <c r="O183" s="98">
        <v>58</v>
      </c>
      <c r="P183" s="98">
        <f>INDEX($C$1:$I$1,MATCH(Tabel3[[#This Row],[Type]],Devoirs[[#Headers],[J0]:[J60]],0))</f>
        <v>0</v>
      </c>
      <c r="Q183" s="105" t="str" cm="1">
        <f t="array" ref="Q18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83" s="105">
        <f ca="1">MAX(Tabel3[[#This Row],[jour]]+$R$3,IF(ROW()-ROW(Tabel3[[#Headers],[debut]])=1,DATE(2025,9,1)+$R$3,OFFSET(Tabel3[[#This Row],[fin]],-1,)))</f>
        <v>45930.486840277794</v>
      </c>
      <c r="S1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45930.527118055572</v>
      </c>
      <c r="T183" s="102">
        <f ca="1">--(Tabel3[[#This Row],[jour]]&lt;&gt;TRUNC(Tabel3[[#This Row],[fin]]))</f>
        <v>1</v>
      </c>
      <c r="U183" s="102">
        <f>IF(Tabel3[[#This Row],[Type]]="j0",0,--(TRUNC(Tabel3[[#This Row],[debut]])-TRUNC(Tabel3[[#This Row],[fin precedent]])&lt;Tabel3[[#This Row],[delai]]))</f>
        <v>0</v>
      </c>
    </row>
    <row r="184" spans="12:21" ht="18" customHeight="1" x14ac:dyDescent="0.2">
      <c r="L184" s="98" t="s">
        <v>93</v>
      </c>
      <c r="M184" s="98" t="s">
        <v>1</v>
      </c>
      <c r="N184" s="104">
        <v>45923</v>
      </c>
      <c r="O184" s="98">
        <v>78</v>
      </c>
      <c r="P184" s="98">
        <f>INDEX($C$1:$I$1,MATCH(Tabel3[[#This Row],[Type]],Devoirs[[#Headers],[J0]:[J60]],0))</f>
        <v>0</v>
      </c>
      <c r="Q184" s="105" t="str" cm="1">
        <f t="array" ref="Q18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84" s="105">
        <f ca="1">MAX(Tabel3[[#This Row],[jour]]+$R$3,IF(ROW()-ROW(Tabel3[[#Headers],[debut]])=1,DATE(2025,9,1)+$R$3,OFFSET(Tabel3[[#This Row],[fin]],-1,)))</f>
        <v>45930.527118055572</v>
      </c>
      <c r="S1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45930.581284722241</v>
      </c>
      <c r="T184" s="102">
        <f ca="1">--(Tabel3[[#This Row],[jour]]&lt;&gt;TRUNC(Tabel3[[#This Row],[fin]]))</f>
        <v>1</v>
      </c>
      <c r="U184" s="102">
        <f>IF(Tabel3[[#This Row],[Type]]="j0",0,--(TRUNC(Tabel3[[#This Row],[debut]])-TRUNC(Tabel3[[#This Row],[fin precedent]])&lt;Tabel3[[#This Row],[delai]]))</f>
        <v>0</v>
      </c>
    </row>
    <row r="185" spans="12:21" ht="18" customHeight="1" x14ac:dyDescent="0.2">
      <c r="L185" s="98" t="s">
        <v>45</v>
      </c>
      <c r="M185" s="98" t="s">
        <v>1</v>
      </c>
      <c r="N185" s="104">
        <v>45923</v>
      </c>
      <c r="O185" s="98">
        <v>82</v>
      </c>
      <c r="P185" s="98">
        <f>INDEX($C$1:$I$1,MATCH(Tabel3[[#This Row],[Type]],Devoirs[[#Headers],[J0]:[J60]],0))</f>
        <v>0</v>
      </c>
      <c r="Q185" s="105" t="str" cm="1">
        <f t="array" ref="Q185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85" s="105">
        <f ca="1">MAX(Tabel3[[#This Row],[jour]]+$R$3,IF(ROW()-ROW(Tabel3[[#Headers],[debut]])=1,DATE(2025,9,1)+$R$3,OFFSET(Tabel3[[#This Row],[fin]],-1,)))</f>
        <v>45930.581284722241</v>
      </c>
      <c r="S1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45930.638229166681</v>
      </c>
      <c r="T185" s="102">
        <f ca="1">--(Tabel3[[#This Row],[jour]]&lt;&gt;TRUNC(Tabel3[[#This Row],[fin]]))</f>
        <v>1</v>
      </c>
      <c r="U185" s="102">
        <f>IF(Tabel3[[#This Row],[Type]]="j0",0,--(TRUNC(Tabel3[[#This Row],[debut]])-TRUNC(Tabel3[[#This Row],[fin precedent]])&lt;Tabel3[[#This Row],[delai]]))</f>
        <v>0</v>
      </c>
    </row>
    <row r="186" spans="12:21" ht="18" customHeight="1" x14ac:dyDescent="0.2">
      <c r="L186" s="98" t="s">
        <v>134</v>
      </c>
      <c r="M186" s="98" t="s">
        <v>1</v>
      </c>
      <c r="N186" s="104">
        <v>45923</v>
      </c>
      <c r="O186" s="98">
        <v>102</v>
      </c>
      <c r="P186" s="98">
        <f>INDEX($C$1:$I$1,MATCH(Tabel3[[#This Row],[Type]],Devoirs[[#Headers],[J0]:[J60]],0))</f>
        <v>0</v>
      </c>
      <c r="Q186" s="105" t="str" cm="1">
        <f t="array" ref="Q18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186" s="105">
        <f ca="1">MAX(Tabel3[[#This Row],[jour]]+$R$3,IF(ROW()-ROW(Tabel3[[#Headers],[debut]])=1,DATE(2025,9,1)+$R$3,OFFSET(Tabel3[[#This Row],[fin]],-1,)))</f>
        <v>45930.638229166681</v>
      </c>
      <c r="S1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45930.709062500013</v>
      </c>
      <c r="T186" s="102">
        <f ca="1">--(Tabel3[[#This Row],[jour]]&lt;&gt;TRUNC(Tabel3[[#This Row],[fin]]))</f>
        <v>1</v>
      </c>
      <c r="U186" s="102">
        <f>IF(Tabel3[[#This Row],[Type]]="j0",0,--(TRUNC(Tabel3[[#This Row],[debut]])-TRUNC(Tabel3[[#This Row],[fin precedent]])&lt;Tabel3[[#This Row],[delai]]))</f>
        <v>0</v>
      </c>
    </row>
    <row r="187" spans="12:21" ht="18" customHeight="1" x14ac:dyDescent="0.2">
      <c r="L187" s="98" t="s">
        <v>82</v>
      </c>
      <c r="M187" s="98" t="s">
        <v>38</v>
      </c>
      <c r="N187" s="104">
        <v>45924</v>
      </c>
      <c r="O187" s="98">
        <v>23.25</v>
      </c>
      <c r="P187" s="98">
        <f>INDEX($C$1:$I$1,MATCH(Tabel3[[#This Row],[Type]],Devoirs[[#Headers],[J0]:[J60]],0))</f>
        <v>4</v>
      </c>
      <c r="Q187" s="105" cm="1">
        <f t="array" aca="1" ref="Q18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45924.560798611114</v>
      </c>
      <c r="R187" s="105">
        <f ca="1">MAX(Tabel3[[#This Row],[jour]]+$R$3,IF(ROW()-ROW(Tabel3[[#Headers],[debut]])=1,DATE(2025,9,1)+$R$3,OFFSET(Tabel3[[#This Row],[fin]],-1,)))</f>
        <v>45930.709062500013</v>
      </c>
      <c r="S1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45930.725208333344</v>
      </c>
      <c r="T187" s="102">
        <f ca="1">--(Tabel3[[#This Row],[jour]]&lt;&gt;TRUNC(Tabel3[[#This Row],[fin]]))</f>
        <v>1</v>
      </c>
      <c r="U187" s="102">
        <f ca="1">IF(Tabel3[[#This Row],[Type]]="j0",0,--(TRUNC(Tabel3[[#This Row],[debut]])-TRUNC(Tabel3[[#This Row],[fin precedent]])&lt;Tabel3[[#This Row],[delai]]))</f>
        <v>0</v>
      </c>
    </row>
    <row r="188" spans="12:21" ht="18" customHeight="1" x14ac:dyDescent="0.2">
      <c r="L188" s="98" t="s">
        <v>142</v>
      </c>
      <c r="M188" s="98" t="s">
        <v>38</v>
      </c>
      <c r="N188" s="104">
        <v>45924</v>
      </c>
      <c r="O188" s="98">
        <v>30</v>
      </c>
      <c r="P188" s="98">
        <f>INDEX($C$1:$I$1,MATCH(Tabel3[[#This Row],[Type]],Devoirs[[#Headers],[J0]:[J60]],0))</f>
        <v>4</v>
      </c>
      <c r="Q188" s="105" cm="1">
        <f t="array" aca="1" ref="Q18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45924.585798611115</v>
      </c>
      <c r="R188" s="105">
        <f ca="1">MAX(Tabel3[[#This Row],[jour]]+$R$3,IF(ROW()-ROW(Tabel3[[#Headers],[debut]])=1,DATE(2025,9,1)+$R$3,OFFSET(Tabel3[[#This Row],[fin]],-1,)))</f>
        <v>45930.725208333344</v>
      </c>
      <c r="S1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45930.74604166668</v>
      </c>
      <c r="T188" s="102">
        <f ca="1">--(Tabel3[[#This Row],[jour]]&lt;&gt;TRUNC(Tabel3[[#This Row],[fin]]))</f>
        <v>1</v>
      </c>
      <c r="U188" s="102">
        <f ca="1">IF(Tabel3[[#This Row],[Type]]="j0",0,--(TRUNC(Tabel3[[#This Row],[debut]])-TRUNC(Tabel3[[#This Row],[fin precedent]])&lt;Tabel3[[#This Row],[delai]]))</f>
        <v>0</v>
      </c>
    </row>
    <row r="189" spans="12:21" ht="18" customHeight="1" x14ac:dyDescent="0.2">
      <c r="L189" s="98" t="s">
        <v>75</v>
      </c>
      <c r="M189" s="98" t="s">
        <v>38</v>
      </c>
      <c r="N189" s="104">
        <v>45924</v>
      </c>
      <c r="O189" s="98">
        <v>45</v>
      </c>
      <c r="P189" s="98">
        <f>INDEX($C$1:$I$1,MATCH(Tabel3[[#This Row],[Type]],Devoirs[[#Headers],[J0]:[J60]],0))</f>
        <v>4</v>
      </c>
      <c r="Q189" s="105" cm="1">
        <f t="array" aca="1" ref="Q18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45924.623298611114</v>
      </c>
      <c r="R189" s="105">
        <f ca="1">MAX(Tabel3[[#This Row],[jour]]+$R$3,IF(ROW()-ROW(Tabel3[[#Headers],[debut]])=1,DATE(2025,9,1)+$R$3,OFFSET(Tabel3[[#This Row],[fin]],-1,)))</f>
        <v>45930.74604166668</v>
      </c>
      <c r="S1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45931.360625000016</v>
      </c>
      <c r="T189" s="102">
        <f ca="1">--(Tabel3[[#This Row],[jour]]&lt;&gt;TRUNC(Tabel3[[#This Row],[fin]]))</f>
        <v>1</v>
      </c>
      <c r="U189" s="102">
        <f ca="1">IF(Tabel3[[#This Row],[Type]]="j0",0,--(TRUNC(Tabel3[[#This Row],[debut]])-TRUNC(Tabel3[[#This Row],[fin precedent]])&lt;Tabel3[[#This Row],[delai]]))</f>
        <v>0</v>
      </c>
    </row>
    <row r="190" spans="12:21" ht="18" customHeight="1" x14ac:dyDescent="0.2">
      <c r="L190" s="98" t="s">
        <v>57</v>
      </c>
      <c r="M190" s="98" t="s">
        <v>38</v>
      </c>
      <c r="N190" s="104">
        <v>45924</v>
      </c>
      <c r="O190" s="98">
        <v>54.75</v>
      </c>
      <c r="P190" s="98">
        <f>INDEX($C$1:$I$1,MATCH(Tabel3[[#This Row],[Type]],Devoirs[[#Headers],[J0]:[J60]],0))</f>
        <v>4</v>
      </c>
      <c r="Q190" s="105" cm="1">
        <f t="array" aca="1" ref="Q19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45924.668923611112</v>
      </c>
      <c r="R190" s="105">
        <f ca="1">MAX(Tabel3[[#This Row],[jour]]+$R$3,IF(ROW()-ROW(Tabel3[[#Headers],[debut]])=1,DATE(2025,9,1)+$R$3,OFFSET(Tabel3[[#This Row],[fin]],-1,)))</f>
        <v>45931.360625000016</v>
      </c>
      <c r="S1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45931.398645833346</v>
      </c>
      <c r="T190" s="102">
        <f ca="1">--(Tabel3[[#This Row],[jour]]&lt;&gt;TRUNC(Tabel3[[#This Row],[fin]]))</f>
        <v>1</v>
      </c>
      <c r="U190" s="102">
        <f ca="1">IF(Tabel3[[#This Row],[Type]]="j0",0,--(TRUNC(Tabel3[[#This Row],[debut]])-TRUNC(Tabel3[[#This Row],[fin precedent]])&lt;Tabel3[[#This Row],[delai]]))</f>
        <v>0</v>
      </c>
    </row>
    <row r="191" spans="12:21" ht="18" customHeight="1" x14ac:dyDescent="0.2">
      <c r="L191" s="98" t="s">
        <v>72</v>
      </c>
      <c r="M191" s="98" t="s">
        <v>38</v>
      </c>
      <c r="N191" s="104">
        <v>45924</v>
      </c>
      <c r="O191" s="98">
        <v>61.5</v>
      </c>
      <c r="P191" s="98">
        <f>INDEX($C$1:$I$1,MATCH(Tabel3[[#This Row],[Type]],Devoirs[[#Headers],[J0]:[J60]],0))</f>
        <v>4</v>
      </c>
      <c r="Q191" s="105" cm="1">
        <f t="array" aca="1" ref="Q1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45924.720173611109</v>
      </c>
      <c r="R191" s="105">
        <f ca="1">MAX(Tabel3[[#This Row],[jour]]+$R$3,IF(ROW()-ROW(Tabel3[[#Headers],[debut]])=1,DATE(2025,9,1)+$R$3,OFFSET(Tabel3[[#This Row],[fin]],-1,)))</f>
        <v>45931.398645833346</v>
      </c>
      <c r="S1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45931.44135416668</v>
      </c>
      <c r="T191" s="102">
        <f ca="1">--(Tabel3[[#This Row],[jour]]&lt;&gt;TRUNC(Tabel3[[#This Row],[fin]]))</f>
        <v>1</v>
      </c>
      <c r="U191" s="102">
        <f ca="1">IF(Tabel3[[#This Row],[Type]]="j0",0,--(TRUNC(Tabel3[[#This Row],[debut]])-TRUNC(Tabel3[[#This Row],[fin precedent]])&lt;Tabel3[[#This Row],[delai]]))</f>
        <v>0</v>
      </c>
    </row>
    <row r="192" spans="12:21" ht="18" customHeight="1" x14ac:dyDescent="0.2">
      <c r="L192" s="98" t="s">
        <v>92</v>
      </c>
      <c r="M192" s="98" t="s">
        <v>38</v>
      </c>
      <c r="N192" s="104">
        <v>45924</v>
      </c>
      <c r="O192" s="98">
        <v>74.25</v>
      </c>
      <c r="P192" s="98">
        <f>INDEX($C$1:$I$1,MATCH(Tabel3[[#This Row],[Type]],Devoirs[[#Headers],[J0]:[J60]],0))</f>
        <v>4</v>
      </c>
      <c r="Q192" s="105" cm="1">
        <f t="array" aca="1" ref="Q1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45925.365381944444</v>
      </c>
      <c r="R192" s="105">
        <f ca="1">MAX(Tabel3[[#This Row],[jour]]+$R$3,IF(ROW()-ROW(Tabel3[[#Headers],[debut]])=1,DATE(2025,9,1)+$R$3,OFFSET(Tabel3[[#This Row],[fin]],-1,)))</f>
        <v>45931.44135416668</v>
      </c>
      <c r="S1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45931.492916666677</v>
      </c>
      <c r="T192" s="102">
        <f ca="1">--(Tabel3[[#This Row],[jour]]&lt;&gt;TRUNC(Tabel3[[#This Row],[fin]]))</f>
        <v>1</v>
      </c>
      <c r="U192" s="102">
        <f ca="1">IF(Tabel3[[#This Row],[Type]]="j0",0,--(TRUNC(Tabel3[[#This Row],[debut]])-TRUNC(Tabel3[[#This Row],[fin precedent]])&lt;Tabel3[[#This Row],[delai]]))</f>
        <v>0</v>
      </c>
    </row>
    <row r="193" spans="12:21" ht="18" customHeight="1" x14ac:dyDescent="0.2">
      <c r="L193" s="98" t="s">
        <v>127</v>
      </c>
      <c r="M193" s="98" t="s">
        <v>38</v>
      </c>
      <c r="N193" s="104">
        <v>45924</v>
      </c>
      <c r="O193" s="98">
        <v>80.25</v>
      </c>
      <c r="P193" s="98">
        <f>INDEX($C$1:$I$1,MATCH(Tabel3[[#This Row],[Type]],Devoirs[[#Headers],[J0]:[J60]],0))</f>
        <v>4</v>
      </c>
      <c r="Q193" s="105" cm="1">
        <f t="array" aca="1" ref="Q1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45925.432256944441</v>
      </c>
      <c r="R193" s="105">
        <f ca="1">MAX(Tabel3[[#This Row],[jour]]+$R$3,IF(ROW()-ROW(Tabel3[[#Headers],[debut]])=1,DATE(2025,9,1)+$R$3,OFFSET(Tabel3[[#This Row],[fin]],-1,)))</f>
        <v>45931.492916666677</v>
      </c>
      <c r="S1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45931.548645833347</v>
      </c>
      <c r="T193" s="102">
        <f ca="1">--(Tabel3[[#This Row],[jour]]&lt;&gt;TRUNC(Tabel3[[#This Row],[fin]]))</f>
        <v>1</v>
      </c>
      <c r="U193" s="102">
        <f ca="1">IF(Tabel3[[#This Row],[Type]]="j0",0,--(TRUNC(Tabel3[[#This Row],[debut]])-TRUNC(Tabel3[[#This Row],[fin precedent]])&lt;Tabel3[[#This Row],[delai]]))</f>
        <v>0</v>
      </c>
    </row>
    <row r="194" spans="12:21" ht="18" customHeight="1" x14ac:dyDescent="0.2">
      <c r="L194" s="98" t="s">
        <v>86</v>
      </c>
      <c r="M194" s="98" t="s">
        <v>38</v>
      </c>
      <c r="N194" s="104">
        <v>45924</v>
      </c>
      <c r="O194" s="98">
        <v>82.5</v>
      </c>
      <c r="P194" s="98">
        <f>INDEX($C$1:$I$1,MATCH(Tabel3[[#This Row],[Type]],Devoirs[[#Headers],[J0]:[J60]],0))</f>
        <v>4</v>
      </c>
      <c r="Q194" s="105" cm="1">
        <f t="array" aca="1" ref="Q1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45925.50100694444</v>
      </c>
      <c r="R194" s="105">
        <f ca="1">MAX(Tabel3[[#This Row],[jour]]+$R$3,IF(ROW()-ROW(Tabel3[[#Headers],[debut]])=1,DATE(2025,9,1)+$R$3,OFFSET(Tabel3[[#This Row],[fin]],-1,)))</f>
        <v>45931.548645833347</v>
      </c>
      <c r="S1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45931.605937500011</v>
      </c>
      <c r="T194" s="102">
        <f ca="1">--(Tabel3[[#This Row],[jour]]&lt;&gt;TRUNC(Tabel3[[#This Row],[fin]]))</f>
        <v>1</v>
      </c>
      <c r="U194" s="102">
        <f ca="1">IF(Tabel3[[#This Row],[Type]]="j0",0,--(TRUNC(Tabel3[[#This Row],[debut]])-TRUNC(Tabel3[[#This Row],[fin precedent]])&lt;Tabel3[[#This Row],[delai]]))</f>
        <v>0</v>
      </c>
    </row>
    <row r="195" spans="12:21" ht="18" customHeight="1" x14ac:dyDescent="0.2">
      <c r="L195" s="98" t="s">
        <v>67</v>
      </c>
      <c r="M195" s="98" t="s">
        <v>37</v>
      </c>
      <c r="N195" s="104">
        <v>45924</v>
      </c>
      <c r="O195" s="98">
        <v>29.7</v>
      </c>
      <c r="P195" s="98">
        <f>INDEX($C$1:$I$1,MATCH(Tabel3[[#This Row],[Type]],Devoirs[[#Headers],[J0]:[J60]],0))</f>
        <v>2</v>
      </c>
      <c r="Q195" s="105" cm="1">
        <f t="array" aca="1" ref="Q1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45926.747256944451</v>
      </c>
      <c r="R195" s="105">
        <f ca="1">MAX(Tabel3[[#This Row],[jour]]+$R$3,IF(ROW()-ROW(Tabel3[[#Headers],[debut]])=1,DATE(2025,9,1)+$R$3,OFFSET(Tabel3[[#This Row],[fin]],-1,)))</f>
        <v>45931.605937500011</v>
      </c>
      <c r="S1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45931.626562500009</v>
      </c>
      <c r="T195" s="102">
        <f ca="1">--(Tabel3[[#This Row],[jour]]&lt;&gt;TRUNC(Tabel3[[#This Row],[fin]]))</f>
        <v>1</v>
      </c>
      <c r="U195" s="102">
        <f ca="1">IF(Tabel3[[#This Row],[Type]]="j0",0,--(TRUNC(Tabel3[[#This Row],[debut]])-TRUNC(Tabel3[[#This Row],[fin precedent]])&lt;Tabel3[[#This Row],[delai]]))</f>
        <v>0</v>
      </c>
    </row>
    <row r="196" spans="12:21" ht="18" customHeight="1" x14ac:dyDescent="0.2">
      <c r="L196" s="98" t="s">
        <v>116</v>
      </c>
      <c r="M196" s="98" t="s">
        <v>37</v>
      </c>
      <c r="N196" s="104">
        <v>45924</v>
      </c>
      <c r="O196" s="98">
        <v>99</v>
      </c>
      <c r="P196" s="98">
        <f>INDEX($C$1:$I$1,MATCH(Tabel3[[#This Row],[Type]],Devoirs[[#Headers],[J0]:[J60]],0))</f>
        <v>2</v>
      </c>
      <c r="Q196" s="105" cm="1">
        <f t="array" aca="1" ref="Q1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45929.406979166677</v>
      </c>
      <c r="R196" s="105">
        <f ca="1">MAX(Tabel3[[#This Row],[jour]]+$R$3,IF(ROW()-ROW(Tabel3[[#Headers],[debut]])=1,DATE(2025,9,1)+$R$3,OFFSET(Tabel3[[#This Row],[fin]],-1,)))</f>
        <v>45931.626562500009</v>
      </c>
      <c r="S1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45931.695312500007</v>
      </c>
      <c r="T196" s="102">
        <f ca="1">--(Tabel3[[#This Row],[jour]]&lt;&gt;TRUNC(Tabel3[[#This Row],[fin]]))</f>
        <v>1</v>
      </c>
      <c r="U196" s="102">
        <f ca="1">IF(Tabel3[[#This Row],[Type]]="j0",0,--(TRUNC(Tabel3[[#This Row],[debut]])-TRUNC(Tabel3[[#This Row],[fin precedent]])&lt;Tabel3[[#This Row],[delai]]))</f>
        <v>0</v>
      </c>
    </row>
    <row r="197" spans="12:21" ht="18" customHeight="1" x14ac:dyDescent="0.2">
      <c r="L197" s="98" t="s">
        <v>109</v>
      </c>
      <c r="M197" s="98" t="s">
        <v>37</v>
      </c>
      <c r="N197" s="104">
        <v>45924</v>
      </c>
      <c r="O197" s="98">
        <v>100.8</v>
      </c>
      <c r="P197" s="98">
        <f>INDEX($C$1:$I$1,MATCH(Tabel3[[#This Row],[Type]],Devoirs[[#Headers],[J0]:[J60]],0))</f>
        <v>2</v>
      </c>
      <c r="Q197" s="105" cm="1">
        <f t="array" aca="1" ref="Q19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45929.484756944454</v>
      </c>
      <c r="R197" s="105">
        <f ca="1">MAX(Tabel3[[#This Row],[jour]]+$R$3,IF(ROW()-ROW(Tabel3[[#Headers],[debut]])=1,DATE(2025,9,1)+$R$3,OFFSET(Tabel3[[#This Row],[fin]],-1,)))</f>
        <v>45931.695312500007</v>
      </c>
      <c r="S1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45932.348645833343</v>
      </c>
      <c r="T197" s="102">
        <f ca="1">--(Tabel3[[#This Row],[jour]]&lt;&gt;TRUNC(Tabel3[[#This Row],[fin]]))</f>
        <v>1</v>
      </c>
      <c r="U197" s="102">
        <f ca="1">IF(Tabel3[[#This Row],[Type]]="j0",0,--(TRUNC(Tabel3[[#This Row],[debut]])-TRUNC(Tabel3[[#This Row],[fin precedent]])&lt;Tabel3[[#This Row],[delai]]))</f>
        <v>0</v>
      </c>
    </row>
    <row r="198" spans="12:21" ht="18" customHeight="1" x14ac:dyDescent="0.2">
      <c r="L198" s="98" t="s">
        <v>128</v>
      </c>
      <c r="M198" s="98" t="s">
        <v>40</v>
      </c>
      <c r="N198" s="104">
        <v>45924</v>
      </c>
      <c r="O198" s="98">
        <v>31.5</v>
      </c>
      <c r="P198" s="98">
        <f>INDEX($C$1:$I$1,MATCH(Tabel3[[#This Row],[Type]],Devoirs[[#Headers],[J0]:[J60]],0))</f>
        <v>5</v>
      </c>
      <c r="Q198" s="105" cm="1">
        <f t="array" aca="1" ref="Q19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45923.623784722215</v>
      </c>
      <c r="R198" s="105">
        <f ca="1">MAX(Tabel3[[#This Row],[jour]]+$R$3,IF(ROW()-ROW(Tabel3[[#Headers],[debut]])=1,DATE(2025,9,1)+$R$3,OFFSET(Tabel3[[#This Row],[fin]],-1,)))</f>
        <v>45932.348645833343</v>
      </c>
      <c r="S1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45932.370520833341</v>
      </c>
      <c r="T198" s="102">
        <f ca="1">--(Tabel3[[#This Row],[jour]]&lt;&gt;TRUNC(Tabel3[[#This Row],[fin]]))</f>
        <v>1</v>
      </c>
      <c r="U198" s="102">
        <f ca="1">IF(Tabel3[[#This Row],[Type]]="j0",0,--(TRUNC(Tabel3[[#This Row],[debut]])-TRUNC(Tabel3[[#This Row],[fin precedent]])&lt;Tabel3[[#This Row],[delai]]))</f>
        <v>0</v>
      </c>
    </row>
    <row r="199" spans="12:21" ht="18" customHeight="1" x14ac:dyDescent="0.2">
      <c r="L199" s="98" t="s">
        <v>373</v>
      </c>
      <c r="M199" s="98" t="s">
        <v>40</v>
      </c>
      <c r="N199" s="104">
        <v>45924</v>
      </c>
      <c r="O199" s="98">
        <v>48.6</v>
      </c>
      <c r="P199" s="98">
        <f>INDEX($C$1:$I$1,MATCH(Tabel3[[#This Row],[Type]],Devoirs[[#Headers],[J0]:[J60]],0))</f>
        <v>5</v>
      </c>
      <c r="Q199" s="105" cm="1">
        <f t="array" aca="1" ref="Q19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45923.668784722213</v>
      </c>
      <c r="R199" s="105">
        <f ca="1">MAX(Tabel3[[#This Row],[jour]]+$R$3,IF(ROW()-ROW(Tabel3[[#Headers],[debut]])=1,DATE(2025,9,1)+$R$3,OFFSET(Tabel3[[#This Row],[fin]],-1,)))</f>
        <v>45932.370520833341</v>
      </c>
      <c r="S1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45932.404270833344</v>
      </c>
      <c r="T199" s="102">
        <f ca="1">--(Tabel3[[#This Row],[jour]]&lt;&gt;TRUNC(Tabel3[[#This Row],[fin]]))</f>
        <v>1</v>
      </c>
      <c r="U199" s="102">
        <f ca="1">IF(Tabel3[[#This Row],[Type]]="j0",0,--(TRUNC(Tabel3[[#This Row],[debut]])-TRUNC(Tabel3[[#This Row],[fin precedent]])&lt;Tabel3[[#This Row],[delai]]))</f>
        <v>0</v>
      </c>
    </row>
    <row r="200" spans="12:21" ht="18" customHeight="1" x14ac:dyDescent="0.2">
      <c r="L200" s="98" t="s">
        <v>83</v>
      </c>
      <c r="M200" s="98" t="s">
        <v>40</v>
      </c>
      <c r="N200" s="104">
        <v>45924</v>
      </c>
      <c r="O200" s="98">
        <v>49.95</v>
      </c>
      <c r="P200" s="98">
        <f>INDEX($C$1:$I$1,MATCH(Tabel3[[#This Row],[Type]],Devoirs[[#Headers],[J0]:[J60]],0))</f>
        <v>5</v>
      </c>
      <c r="Q200" s="105" cm="1">
        <f t="array" aca="1" ref="Q20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45923.715034722212</v>
      </c>
      <c r="R200" s="105">
        <f ca="1">MAX(Tabel3[[#This Row],[jour]]+$R$3,IF(ROW()-ROW(Tabel3[[#Headers],[debut]])=1,DATE(2025,9,1)+$R$3,OFFSET(Tabel3[[#This Row],[fin]],-1,)))</f>
        <v>45932.404270833344</v>
      </c>
      <c r="S2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45932.438958333347</v>
      </c>
      <c r="T200" s="102">
        <f ca="1">--(Tabel3[[#This Row],[jour]]&lt;&gt;TRUNC(Tabel3[[#This Row],[fin]]))</f>
        <v>1</v>
      </c>
      <c r="U200" s="102">
        <f ca="1">IF(Tabel3[[#This Row],[Type]]="j0",0,--(TRUNC(Tabel3[[#This Row],[debut]])-TRUNC(Tabel3[[#This Row],[fin precedent]])&lt;Tabel3[[#This Row],[delai]]))</f>
        <v>0</v>
      </c>
    </row>
    <row r="201" spans="12:21" ht="18" customHeight="1" x14ac:dyDescent="0.2">
      <c r="L201" s="98" t="s">
        <v>84</v>
      </c>
      <c r="M201" s="98" t="s">
        <v>1</v>
      </c>
      <c r="N201" s="104">
        <v>45924</v>
      </c>
      <c r="O201" s="98">
        <v>40</v>
      </c>
      <c r="P201" s="98">
        <f>INDEX($C$1:$I$1,MATCH(Tabel3[[#This Row],[Type]],Devoirs[[#Headers],[J0]:[J60]],0))</f>
        <v>0</v>
      </c>
      <c r="Q201" s="105" t="str" cm="1">
        <f t="array" ref="Q20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1" s="105">
        <f ca="1">MAX(Tabel3[[#This Row],[jour]]+$R$3,IF(ROW()-ROW(Tabel3[[#Headers],[debut]])=1,DATE(2025,9,1)+$R$3,OFFSET(Tabel3[[#This Row],[fin]],-1,)))</f>
        <v>45932.438958333347</v>
      </c>
      <c r="S2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45932.466736111128</v>
      </c>
      <c r="T201" s="102">
        <f ca="1">--(Tabel3[[#This Row],[jour]]&lt;&gt;TRUNC(Tabel3[[#This Row],[fin]]))</f>
        <v>1</v>
      </c>
      <c r="U201" s="102">
        <f>IF(Tabel3[[#This Row],[Type]]="j0",0,--(TRUNC(Tabel3[[#This Row],[debut]])-TRUNC(Tabel3[[#This Row],[fin precedent]])&lt;Tabel3[[#This Row],[delai]]))</f>
        <v>0</v>
      </c>
    </row>
    <row r="202" spans="12:21" ht="18" customHeight="1" x14ac:dyDescent="0.2">
      <c r="L202" s="98" t="s">
        <v>68</v>
      </c>
      <c r="M202" s="98" t="s">
        <v>1</v>
      </c>
      <c r="N202" s="104">
        <v>45924</v>
      </c>
      <c r="O202" s="98">
        <v>60</v>
      </c>
      <c r="P202" s="98">
        <f>INDEX($C$1:$I$1,MATCH(Tabel3[[#This Row],[Type]],Devoirs[[#Headers],[J0]:[J60]],0))</f>
        <v>0</v>
      </c>
      <c r="Q202" s="105" t="str" cm="1">
        <f t="array" ref="Q20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2" s="105">
        <f ca="1">MAX(Tabel3[[#This Row],[jour]]+$R$3,IF(ROW()-ROW(Tabel3[[#Headers],[debut]])=1,DATE(2025,9,1)+$R$3,OFFSET(Tabel3[[#This Row],[fin]],-1,)))</f>
        <v>45932.466736111128</v>
      </c>
      <c r="S2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45932.508402777792</v>
      </c>
      <c r="T202" s="102">
        <f ca="1">--(Tabel3[[#This Row],[jour]]&lt;&gt;TRUNC(Tabel3[[#This Row],[fin]]))</f>
        <v>1</v>
      </c>
      <c r="U202" s="102">
        <f>IF(Tabel3[[#This Row],[Type]]="j0",0,--(TRUNC(Tabel3[[#This Row],[debut]])-TRUNC(Tabel3[[#This Row],[fin precedent]])&lt;Tabel3[[#This Row],[delai]]))</f>
        <v>0</v>
      </c>
    </row>
    <row r="203" spans="12:21" ht="18" customHeight="1" x14ac:dyDescent="0.2">
      <c r="L203" s="98" t="s">
        <v>121</v>
      </c>
      <c r="M203" s="98" t="s">
        <v>1</v>
      </c>
      <c r="N203" s="104">
        <v>45924</v>
      </c>
      <c r="O203" s="98">
        <v>69</v>
      </c>
      <c r="P203" s="98">
        <f>INDEX($C$1:$I$1,MATCH(Tabel3[[#This Row],[Type]],Devoirs[[#Headers],[J0]:[J60]],0))</f>
        <v>0</v>
      </c>
      <c r="Q203" s="105" t="str" cm="1">
        <f t="array" ref="Q20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3" s="105">
        <f ca="1">MAX(Tabel3[[#This Row],[jour]]+$R$3,IF(ROW()-ROW(Tabel3[[#Headers],[debut]])=1,DATE(2025,9,1)+$R$3,OFFSET(Tabel3[[#This Row],[fin]],-1,)))</f>
        <v>45932.508402777792</v>
      </c>
      <c r="S2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45932.556319444462</v>
      </c>
      <c r="T203" s="102">
        <f ca="1">--(Tabel3[[#This Row],[jour]]&lt;&gt;TRUNC(Tabel3[[#This Row],[fin]]))</f>
        <v>1</v>
      </c>
      <c r="U203" s="102">
        <f>IF(Tabel3[[#This Row],[Type]]="j0",0,--(TRUNC(Tabel3[[#This Row],[debut]])-TRUNC(Tabel3[[#This Row],[fin precedent]])&lt;Tabel3[[#This Row],[delai]]))</f>
        <v>0</v>
      </c>
    </row>
    <row r="204" spans="12:21" ht="18" customHeight="1" x14ac:dyDescent="0.2">
      <c r="L204" s="98" t="s">
        <v>112</v>
      </c>
      <c r="M204" s="98" t="s">
        <v>1</v>
      </c>
      <c r="N204" s="104">
        <v>45924</v>
      </c>
      <c r="O204" s="98">
        <v>98</v>
      </c>
      <c r="P204" s="98">
        <f>INDEX($C$1:$I$1,MATCH(Tabel3[[#This Row],[Type]],Devoirs[[#Headers],[J0]:[J60]],0))</f>
        <v>0</v>
      </c>
      <c r="Q204" s="105" t="str" cm="1">
        <f t="array" ref="Q20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4" s="105">
        <f ca="1">MAX(Tabel3[[#This Row],[jour]]+$R$3,IF(ROW()-ROW(Tabel3[[#Headers],[debut]])=1,DATE(2025,9,1)+$R$3,OFFSET(Tabel3[[#This Row],[fin]],-1,)))</f>
        <v>45932.556319444462</v>
      </c>
      <c r="S2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45932.624375000021</v>
      </c>
      <c r="T204" s="102">
        <f ca="1">--(Tabel3[[#This Row],[jour]]&lt;&gt;TRUNC(Tabel3[[#This Row],[fin]]))</f>
        <v>1</v>
      </c>
      <c r="U204" s="102">
        <f>IF(Tabel3[[#This Row],[Type]]="j0",0,--(TRUNC(Tabel3[[#This Row],[debut]])-TRUNC(Tabel3[[#This Row],[fin precedent]])&lt;Tabel3[[#This Row],[delai]]))</f>
        <v>0</v>
      </c>
    </row>
    <row r="205" spans="12:21" ht="18" customHeight="1" x14ac:dyDescent="0.2">
      <c r="L205" s="98" t="s">
        <v>100</v>
      </c>
      <c r="M205" s="98" t="s">
        <v>1</v>
      </c>
      <c r="N205" s="104">
        <v>45924</v>
      </c>
      <c r="O205" s="98">
        <v>100</v>
      </c>
      <c r="P205" s="98">
        <f>INDEX($C$1:$I$1,MATCH(Tabel3[[#This Row],[Type]],Devoirs[[#Headers],[J0]:[J60]],0))</f>
        <v>0</v>
      </c>
      <c r="Q205" s="105" t="str" cm="1">
        <f t="array" ref="Q205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5" s="105">
        <f ca="1">MAX(Tabel3[[#This Row],[jour]]+$R$3,IF(ROW()-ROW(Tabel3[[#Headers],[debut]])=1,DATE(2025,9,1)+$R$3,OFFSET(Tabel3[[#This Row],[fin]],-1,)))</f>
        <v>45932.624375000021</v>
      </c>
      <c r="S2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45932.693819444466</v>
      </c>
      <c r="T205" s="102">
        <f ca="1">--(Tabel3[[#This Row],[jour]]&lt;&gt;TRUNC(Tabel3[[#This Row],[fin]]))</f>
        <v>1</v>
      </c>
      <c r="U205" s="102">
        <f>IF(Tabel3[[#This Row],[Type]]="j0",0,--(TRUNC(Tabel3[[#This Row],[debut]])-TRUNC(Tabel3[[#This Row],[fin precedent]])&lt;Tabel3[[#This Row],[delai]]))</f>
        <v>0</v>
      </c>
    </row>
    <row r="206" spans="12:21" ht="18" customHeight="1" x14ac:dyDescent="0.2">
      <c r="L206" s="98" t="s">
        <v>101</v>
      </c>
      <c r="M206" s="98" t="s">
        <v>1</v>
      </c>
      <c r="N206" s="104">
        <v>45924</v>
      </c>
      <c r="O206" s="98">
        <v>100</v>
      </c>
      <c r="P206" s="98">
        <f>INDEX($C$1:$I$1,MATCH(Tabel3[[#This Row],[Type]],Devoirs[[#Headers],[J0]:[J60]],0))</f>
        <v>0</v>
      </c>
      <c r="Q206" s="105" t="str" cm="1">
        <f t="array" ref="Q20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6" s="105">
        <f ca="1">MAX(Tabel3[[#This Row],[jour]]+$R$3,IF(ROW()-ROW(Tabel3[[#Headers],[debut]])=1,DATE(2025,9,1)+$R$3,OFFSET(Tabel3[[#This Row],[fin]],-1,)))</f>
        <v>45932.693819444466</v>
      </c>
      <c r="S2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45933.346597222248</v>
      </c>
      <c r="T206" s="102">
        <f ca="1">--(Tabel3[[#This Row],[jour]]&lt;&gt;TRUNC(Tabel3[[#This Row],[fin]]))</f>
        <v>1</v>
      </c>
      <c r="U206" s="102">
        <f>IF(Tabel3[[#This Row],[Type]]="j0",0,--(TRUNC(Tabel3[[#This Row],[debut]])-TRUNC(Tabel3[[#This Row],[fin precedent]])&lt;Tabel3[[#This Row],[delai]]))</f>
        <v>0</v>
      </c>
    </row>
    <row r="207" spans="12:21" ht="18" customHeight="1" x14ac:dyDescent="0.2">
      <c r="L207" s="98" t="s">
        <v>110</v>
      </c>
      <c r="M207" s="98" t="s">
        <v>1</v>
      </c>
      <c r="N207" s="104">
        <v>45924</v>
      </c>
      <c r="O207" s="98">
        <v>100</v>
      </c>
      <c r="P207" s="98">
        <f>INDEX($C$1:$I$1,MATCH(Tabel3[[#This Row],[Type]],Devoirs[[#Headers],[J0]:[J60]],0))</f>
        <v>0</v>
      </c>
      <c r="Q207" s="105" t="str" cm="1">
        <f t="array" ref="Q20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07" s="105">
        <f ca="1">MAX(Tabel3[[#This Row],[jour]]+$R$3,IF(ROW()-ROW(Tabel3[[#Headers],[debut]])=1,DATE(2025,9,1)+$R$3,OFFSET(Tabel3[[#This Row],[fin]],-1,)))</f>
        <v>45933.346597222248</v>
      </c>
      <c r="S2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45933.416041666693</v>
      </c>
      <c r="T207" s="102">
        <f ca="1">--(Tabel3[[#This Row],[jour]]&lt;&gt;TRUNC(Tabel3[[#This Row],[fin]]))</f>
        <v>1</v>
      </c>
      <c r="U207" s="102">
        <f>IF(Tabel3[[#This Row],[Type]]="j0",0,--(TRUNC(Tabel3[[#This Row],[debut]])-TRUNC(Tabel3[[#This Row],[fin precedent]])&lt;Tabel3[[#This Row],[delai]]))</f>
        <v>0</v>
      </c>
    </row>
    <row r="208" spans="12:21" ht="18" customHeight="1" x14ac:dyDescent="0.2">
      <c r="L208" s="98" t="s">
        <v>48</v>
      </c>
      <c r="M208" s="98" t="s">
        <v>38</v>
      </c>
      <c r="N208" s="104">
        <v>45925</v>
      </c>
      <c r="O208" s="98">
        <v>24</v>
      </c>
      <c r="P208" s="98">
        <f>INDEX($C$1:$I$1,MATCH(Tabel3[[#This Row],[Type]],Devoirs[[#Headers],[J0]:[J60]],0))</f>
        <v>4</v>
      </c>
      <c r="Q208" s="105" cm="1">
        <f t="array" aca="1" ref="Q2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45925.649548611102</v>
      </c>
      <c r="R208" s="105">
        <f ca="1">MAX(Tabel3[[#This Row],[jour]]+$R$3,IF(ROW()-ROW(Tabel3[[#Headers],[debut]])=1,DATE(2025,9,1)+$R$3,OFFSET(Tabel3[[#This Row],[fin]],-1,)))</f>
        <v>45933.416041666693</v>
      </c>
      <c r="S2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45933.432708333363</v>
      </c>
      <c r="T208" s="102">
        <f ca="1">--(Tabel3[[#This Row],[jour]]&lt;&gt;TRUNC(Tabel3[[#This Row],[fin]]))</f>
        <v>1</v>
      </c>
      <c r="U208" s="102">
        <f ca="1">IF(Tabel3[[#This Row],[Type]]="j0",0,--(TRUNC(Tabel3[[#This Row],[debut]])-TRUNC(Tabel3[[#This Row],[fin precedent]])&lt;Tabel3[[#This Row],[delai]]))</f>
        <v>0</v>
      </c>
    </row>
    <row r="209" spans="12:21" ht="18" customHeight="1" x14ac:dyDescent="0.2">
      <c r="L209" s="98" t="s">
        <v>58</v>
      </c>
      <c r="M209" s="98" t="s">
        <v>38</v>
      </c>
      <c r="N209" s="104">
        <v>45925</v>
      </c>
      <c r="O209" s="98">
        <v>42</v>
      </c>
      <c r="P209" s="98">
        <f>INDEX($C$1:$I$1,MATCH(Tabel3[[#This Row],[Type]],Devoirs[[#Headers],[J0]:[J60]],0))</f>
        <v>4</v>
      </c>
      <c r="Q209" s="105" cm="1">
        <f t="array" aca="1" ref="Q2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45925.684548611105</v>
      </c>
      <c r="R209" s="105">
        <f ca="1">MAX(Tabel3[[#This Row],[jour]]+$R$3,IF(ROW()-ROW(Tabel3[[#Headers],[debut]])=1,DATE(2025,9,1)+$R$3,OFFSET(Tabel3[[#This Row],[fin]],-1,)))</f>
        <v>45933.432708333363</v>
      </c>
      <c r="S2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45933.46187500003</v>
      </c>
      <c r="T209" s="102">
        <f ca="1">--(Tabel3[[#This Row],[jour]]&lt;&gt;TRUNC(Tabel3[[#This Row],[fin]]))</f>
        <v>1</v>
      </c>
      <c r="U209" s="102">
        <f ca="1">IF(Tabel3[[#This Row],[Type]]="j0",0,--(TRUNC(Tabel3[[#This Row],[debut]])-TRUNC(Tabel3[[#This Row],[fin precedent]])&lt;Tabel3[[#This Row],[delai]]))</f>
        <v>0</v>
      </c>
    </row>
    <row r="210" spans="12:21" ht="18" customHeight="1" x14ac:dyDescent="0.2">
      <c r="L210" s="98" t="s">
        <v>131</v>
      </c>
      <c r="M210" s="98" t="s">
        <v>38</v>
      </c>
      <c r="N210" s="104">
        <v>45925</v>
      </c>
      <c r="O210" s="98">
        <v>42</v>
      </c>
      <c r="P210" s="98">
        <f>INDEX($C$1:$I$1,MATCH(Tabel3[[#This Row],[Type]],Devoirs[[#Headers],[J0]:[J60]],0))</f>
        <v>4</v>
      </c>
      <c r="Q210" s="105" cm="1">
        <f t="array" aca="1" ref="Q2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45925.719548611109</v>
      </c>
      <c r="R210" s="105">
        <f ca="1">MAX(Tabel3[[#This Row],[jour]]+$R$3,IF(ROW()-ROW(Tabel3[[#Headers],[debut]])=1,DATE(2025,9,1)+$R$3,OFFSET(Tabel3[[#This Row],[fin]],-1,)))</f>
        <v>45933.46187500003</v>
      </c>
      <c r="S2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45933.491041666697</v>
      </c>
      <c r="T210" s="102">
        <f ca="1">--(Tabel3[[#This Row],[jour]]&lt;&gt;TRUNC(Tabel3[[#This Row],[fin]]))</f>
        <v>1</v>
      </c>
      <c r="U210" s="102">
        <f ca="1">IF(Tabel3[[#This Row],[Type]]="j0",0,--(TRUNC(Tabel3[[#This Row],[debut]])-TRUNC(Tabel3[[#This Row],[fin precedent]])&lt;Tabel3[[#This Row],[delai]]))</f>
        <v>0</v>
      </c>
    </row>
    <row r="211" spans="12:21" ht="18" customHeight="1" x14ac:dyDescent="0.2">
      <c r="L211" s="98" t="s">
        <v>52</v>
      </c>
      <c r="M211" s="98" t="s">
        <v>38</v>
      </c>
      <c r="N211" s="104">
        <v>45925</v>
      </c>
      <c r="O211" s="98">
        <v>76.5</v>
      </c>
      <c r="P211" s="98">
        <f>INDEX($C$1:$I$1,MATCH(Tabel3[[#This Row],[Type]],Devoirs[[#Headers],[J0]:[J60]],0))</f>
        <v>4</v>
      </c>
      <c r="Q211" s="105" cm="1">
        <f t="array" aca="1" ref="Q2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45926.366631944446</v>
      </c>
      <c r="R211" s="105">
        <f ca="1">MAX(Tabel3[[#This Row],[jour]]+$R$3,IF(ROW()-ROW(Tabel3[[#Headers],[debut]])=1,DATE(2025,9,1)+$R$3,OFFSET(Tabel3[[#This Row],[fin]],-1,)))</f>
        <v>45933.491041666697</v>
      </c>
      <c r="S2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45933.544166666696</v>
      </c>
      <c r="T211" s="102">
        <f ca="1">--(Tabel3[[#This Row],[jour]]&lt;&gt;TRUNC(Tabel3[[#This Row],[fin]]))</f>
        <v>1</v>
      </c>
      <c r="U211" s="102">
        <f ca="1">IF(Tabel3[[#This Row],[Type]]="j0",0,--(TRUNC(Tabel3[[#This Row],[debut]])-TRUNC(Tabel3[[#This Row],[fin precedent]])&lt;Tabel3[[#This Row],[delai]]))</f>
        <v>0</v>
      </c>
    </row>
    <row r="212" spans="12:21" ht="18" customHeight="1" x14ac:dyDescent="0.2">
      <c r="L212" s="98" t="s">
        <v>375</v>
      </c>
      <c r="M212" s="98" t="s">
        <v>38</v>
      </c>
      <c r="N212" s="104">
        <v>45925</v>
      </c>
      <c r="O212" s="98">
        <v>78</v>
      </c>
      <c r="P212" s="98">
        <f>INDEX($C$1:$I$1,MATCH(Tabel3[[#This Row],[Type]],Devoirs[[#Headers],[J0]:[J60]],0))</f>
        <v>4</v>
      </c>
      <c r="Q212" s="105" cm="1">
        <f t="array" aca="1" ref="Q2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45926.431631944448</v>
      </c>
      <c r="R212" s="105">
        <f ca="1">MAX(Tabel3[[#This Row],[jour]]+$R$3,IF(ROW()-ROW(Tabel3[[#Headers],[debut]])=1,DATE(2025,9,1)+$R$3,OFFSET(Tabel3[[#This Row],[fin]],-1,)))</f>
        <v>45933.544166666696</v>
      </c>
      <c r="S2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45933.598333333364</v>
      </c>
      <c r="T212" s="102">
        <f ca="1">--(Tabel3[[#This Row],[jour]]&lt;&gt;TRUNC(Tabel3[[#This Row],[fin]]))</f>
        <v>1</v>
      </c>
      <c r="U212" s="102">
        <f ca="1">IF(Tabel3[[#This Row],[Type]]="j0",0,--(TRUNC(Tabel3[[#This Row],[debut]])-TRUNC(Tabel3[[#This Row],[fin precedent]])&lt;Tabel3[[#This Row],[delai]]))</f>
        <v>0</v>
      </c>
    </row>
    <row r="213" spans="12:21" ht="18" customHeight="1" x14ac:dyDescent="0.2">
      <c r="L213" s="98" t="s">
        <v>136</v>
      </c>
      <c r="M213" s="98" t="s">
        <v>37</v>
      </c>
      <c r="N213" s="104">
        <v>45925</v>
      </c>
      <c r="O213" s="98">
        <v>52.2</v>
      </c>
      <c r="P213" s="98">
        <f>INDEX($C$1:$I$1,MATCH(Tabel3[[#This Row],[Type]],Devoirs[[#Headers],[J0]:[J60]],0))</f>
        <v>2</v>
      </c>
      <c r="Q213" s="105" cm="1">
        <f t="array" aca="1" ref="Q2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45930.527118055572</v>
      </c>
      <c r="R213" s="105">
        <f ca="1">MAX(Tabel3[[#This Row],[jour]]+$R$3,IF(ROW()-ROW(Tabel3[[#Headers],[debut]])=1,DATE(2025,9,1)+$R$3,OFFSET(Tabel3[[#This Row],[fin]],-1,)))</f>
        <v>45933.598333333364</v>
      </c>
      <c r="S2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45933.634583333362</v>
      </c>
      <c r="T213" s="102">
        <f ca="1">--(Tabel3[[#This Row],[jour]]&lt;&gt;TRUNC(Tabel3[[#This Row],[fin]]))</f>
        <v>1</v>
      </c>
      <c r="U213" s="102">
        <f ca="1">IF(Tabel3[[#This Row],[Type]]="j0",0,--(TRUNC(Tabel3[[#This Row],[debut]])-TRUNC(Tabel3[[#This Row],[fin precedent]])&lt;Tabel3[[#This Row],[delai]]))</f>
        <v>0</v>
      </c>
    </row>
    <row r="214" spans="12:21" ht="18" customHeight="1" x14ac:dyDescent="0.2">
      <c r="L214" s="98" t="s">
        <v>93</v>
      </c>
      <c r="M214" s="98" t="s">
        <v>37</v>
      </c>
      <c r="N214" s="104">
        <v>45925</v>
      </c>
      <c r="O214" s="98">
        <v>70.2</v>
      </c>
      <c r="P214" s="98">
        <f>INDEX($C$1:$I$1,MATCH(Tabel3[[#This Row],[Type]],Devoirs[[#Headers],[J0]:[J60]],0))</f>
        <v>2</v>
      </c>
      <c r="Q214" s="105" cm="1">
        <f t="array" aca="1" ref="Q2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45930.581284722241</v>
      </c>
      <c r="R214" s="105">
        <f ca="1">MAX(Tabel3[[#This Row],[jour]]+$R$3,IF(ROW()-ROW(Tabel3[[#Headers],[debut]])=1,DATE(2025,9,1)+$R$3,OFFSET(Tabel3[[#This Row],[fin]],-1,)))</f>
        <v>45933.634583333362</v>
      </c>
      <c r="S2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45933.683333333363</v>
      </c>
      <c r="T214" s="102">
        <f ca="1">--(Tabel3[[#This Row],[jour]]&lt;&gt;TRUNC(Tabel3[[#This Row],[fin]]))</f>
        <v>1</v>
      </c>
      <c r="U214" s="102">
        <f ca="1">IF(Tabel3[[#This Row],[Type]]="j0",0,--(TRUNC(Tabel3[[#This Row],[debut]])-TRUNC(Tabel3[[#This Row],[fin precedent]])&lt;Tabel3[[#This Row],[delai]]))</f>
        <v>0</v>
      </c>
    </row>
    <row r="215" spans="12:21" ht="18" customHeight="1" x14ac:dyDescent="0.2">
      <c r="L215" s="98" t="s">
        <v>45</v>
      </c>
      <c r="M215" s="98" t="s">
        <v>37</v>
      </c>
      <c r="N215" s="104">
        <v>45925</v>
      </c>
      <c r="O215" s="98">
        <v>73.8</v>
      </c>
      <c r="P215" s="98">
        <f>INDEX($C$1:$I$1,MATCH(Tabel3[[#This Row],[Type]],Devoirs[[#Headers],[J0]:[J60]],0))</f>
        <v>2</v>
      </c>
      <c r="Q215" s="105" cm="1">
        <f t="array" aca="1" ref="Q2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45930.638229166681</v>
      </c>
      <c r="R215" s="105">
        <f ca="1">MAX(Tabel3[[#This Row],[jour]]+$R$3,IF(ROW()-ROW(Tabel3[[#Headers],[debut]])=1,DATE(2025,9,1)+$R$3,OFFSET(Tabel3[[#This Row],[fin]],-1,)))</f>
        <v>45933.683333333363</v>
      </c>
      <c r="S2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45933.73458333336</v>
      </c>
      <c r="T215" s="102">
        <f ca="1">--(Tabel3[[#This Row],[jour]]&lt;&gt;TRUNC(Tabel3[[#This Row],[fin]]))</f>
        <v>1</v>
      </c>
      <c r="U215" s="102">
        <f ca="1">IF(Tabel3[[#This Row],[Type]]="j0",0,--(TRUNC(Tabel3[[#This Row],[debut]])-TRUNC(Tabel3[[#This Row],[fin precedent]])&lt;Tabel3[[#This Row],[delai]]))</f>
        <v>0</v>
      </c>
    </row>
    <row r="216" spans="12:21" ht="18" customHeight="1" x14ac:dyDescent="0.2">
      <c r="L216" s="98" t="s">
        <v>134</v>
      </c>
      <c r="M216" s="98" t="s">
        <v>37</v>
      </c>
      <c r="N216" s="104">
        <v>45925</v>
      </c>
      <c r="O216" s="98">
        <v>91.8</v>
      </c>
      <c r="P216" s="98">
        <f>INDEX($C$1:$I$1,MATCH(Tabel3[[#This Row],[Type]],Devoirs[[#Headers],[J0]:[J60]],0))</f>
        <v>2</v>
      </c>
      <c r="Q216" s="105" cm="1">
        <f t="array" aca="1" ref="Q2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45930.709062500013</v>
      </c>
      <c r="R216" s="105">
        <f ca="1">MAX(Tabel3[[#This Row],[jour]]+$R$3,IF(ROW()-ROW(Tabel3[[#Headers],[debut]])=1,DATE(2025,9,1)+$R$3,OFFSET(Tabel3[[#This Row],[fin]],-1,)))</f>
        <v>45933.73458333336</v>
      </c>
      <c r="S2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45936.381666666697</v>
      </c>
      <c r="T216" s="102">
        <f ca="1">--(Tabel3[[#This Row],[jour]]&lt;&gt;TRUNC(Tabel3[[#This Row],[fin]]))</f>
        <v>1</v>
      </c>
      <c r="U216" s="102">
        <f ca="1">IF(Tabel3[[#This Row],[Type]]="j0",0,--(TRUNC(Tabel3[[#This Row],[debut]])-TRUNC(Tabel3[[#This Row],[fin precedent]])&lt;Tabel3[[#This Row],[delai]]))</f>
        <v>0</v>
      </c>
    </row>
    <row r="217" spans="12:21" ht="18" customHeight="1" x14ac:dyDescent="0.2">
      <c r="L217" s="98" t="s">
        <v>44</v>
      </c>
      <c r="M217" s="98" t="s">
        <v>39</v>
      </c>
      <c r="N217" s="104">
        <v>45925</v>
      </c>
      <c r="O217" s="98">
        <v>57.599999999999994</v>
      </c>
      <c r="P217" s="98">
        <f>INDEX($C$1:$I$1,MATCH(Tabel3[[#This Row],[Type]],Devoirs[[#Headers],[J0]:[J60]],0))</f>
        <v>4</v>
      </c>
      <c r="Q217" s="105" cm="1">
        <f t="array" aca="1" ref="Q2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45925.570694444439</v>
      </c>
      <c r="R217" s="105">
        <f ca="1">MAX(Tabel3[[#This Row],[jour]]+$R$3,IF(ROW()-ROW(Tabel3[[#Headers],[debut]])=1,DATE(2025,9,1)+$R$3,OFFSET(Tabel3[[#This Row],[fin]],-1,)))</f>
        <v>45936.381666666697</v>
      </c>
      <c r="S2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45936.421666666698</v>
      </c>
      <c r="T217" s="102">
        <f ca="1">--(Tabel3[[#This Row],[jour]]&lt;&gt;TRUNC(Tabel3[[#This Row],[fin]]))</f>
        <v>1</v>
      </c>
      <c r="U217" s="102">
        <f ca="1">IF(Tabel3[[#This Row],[Type]]="j0",0,--(TRUNC(Tabel3[[#This Row],[debut]])-TRUNC(Tabel3[[#This Row],[fin precedent]])&lt;Tabel3[[#This Row],[delai]]))</f>
        <v>0</v>
      </c>
    </row>
    <row r="218" spans="12:21" ht="18" customHeight="1" x14ac:dyDescent="0.2">
      <c r="L218" s="98" t="s">
        <v>108</v>
      </c>
      <c r="M218" s="98" t="s">
        <v>39</v>
      </c>
      <c r="N218" s="104">
        <v>45925</v>
      </c>
      <c r="O218" s="98">
        <v>67.8</v>
      </c>
      <c r="P218" s="98">
        <f>INDEX($C$1:$I$1,MATCH(Tabel3[[#This Row],[Type]],Devoirs[[#Headers],[J0]:[J60]],0))</f>
        <v>4</v>
      </c>
      <c r="Q218" s="105" cm="1">
        <f t="array" aca="1" ref="Q2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45925.629548611105</v>
      </c>
      <c r="R218" s="105">
        <f ca="1">MAX(Tabel3[[#This Row],[jour]]+$R$3,IF(ROW()-ROW(Tabel3[[#Headers],[debut]])=1,DATE(2025,9,1)+$R$3,OFFSET(Tabel3[[#This Row],[fin]],-1,)))</f>
        <v>45936.421666666698</v>
      </c>
      <c r="S2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45936.468750000029</v>
      </c>
      <c r="T218" s="102">
        <f ca="1">--(Tabel3[[#This Row],[jour]]&lt;&gt;TRUNC(Tabel3[[#This Row],[fin]]))</f>
        <v>1</v>
      </c>
      <c r="U218" s="102">
        <f ca="1">IF(Tabel3[[#This Row],[Type]]="j0",0,--(TRUNC(Tabel3[[#This Row],[debut]])-TRUNC(Tabel3[[#This Row],[fin precedent]])&lt;Tabel3[[#This Row],[delai]]))</f>
        <v>0</v>
      </c>
    </row>
    <row r="219" spans="12:21" ht="18" customHeight="1" x14ac:dyDescent="0.2">
      <c r="L219" s="98" t="s">
        <v>119</v>
      </c>
      <c r="M219" s="98" t="s">
        <v>1</v>
      </c>
      <c r="N219" s="104">
        <v>45925</v>
      </c>
      <c r="O219" s="98">
        <v>34</v>
      </c>
      <c r="P219" s="98">
        <f>INDEX($C$1:$I$1,MATCH(Tabel3[[#This Row],[Type]],Devoirs[[#Headers],[J0]:[J60]],0))</f>
        <v>0</v>
      </c>
      <c r="Q219" s="105" t="str" cm="1">
        <f t="array" ref="Q21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19" s="105">
        <f ca="1">MAX(Tabel3[[#This Row],[jour]]+$R$3,IF(ROW()-ROW(Tabel3[[#Headers],[debut]])=1,DATE(2025,9,1)+$R$3,OFFSET(Tabel3[[#This Row],[fin]],-1,)))</f>
        <v>45936.468750000029</v>
      </c>
      <c r="S2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45936.492361111137</v>
      </c>
      <c r="T219" s="102">
        <f ca="1">--(Tabel3[[#This Row],[jour]]&lt;&gt;TRUNC(Tabel3[[#This Row],[fin]]))</f>
        <v>1</v>
      </c>
      <c r="U219" s="102">
        <f>IF(Tabel3[[#This Row],[Type]]="j0",0,--(TRUNC(Tabel3[[#This Row],[debut]])-TRUNC(Tabel3[[#This Row],[fin precedent]])&lt;Tabel3[[#This Row],[delai]]))</f>
        <v>0</v>
      </c>
    </row>
    <row r="220" spans="12:21" ht="18" customHeight="1" x14ac:dyDescent="0.2">
      <c r="L220" s="98" t="s">
        <v>87</v>
      </c>
      <c r="M220" s="98" t="s">
        <v>1</v>
      </c>
      <c r="N220" s="104">
        <v>45925</v>
      </c>
      <c r="O220" s="98">
        <v>36</v>
      </c>
      <c r="P220" s="98">
        <f>INDEX($C$1:$I$1,MATCH(Tabel3[[#This Row],[Type]],Devoirs[[#Headers],[J0]:[J60]],0))</f>
        <v>0</v>
      </c>
      <c r="Q220" s="105" t="str" cm="1">
        <f t="array" ref="Q22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20" s="105">
        <f ca="1">MAX(Tabel3[[#This Row],[jour]]+$R$3,IF(ROW()-ROW(Tabel3[[#Headers],[debut]])=1,DATE(2025,9,1)+$R$3,OFFSET(Tabel3[[#This Row],[fin]],-1,)))</f>
        <v>45936.492361111137</v>
      </c>
      <c r="S2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45936.517361111139</v>
      </c>
      <c r="T220" s="102">
        <f ca="1">--(Tabel3[[#This Row],[jour]]&lt;&gt;TRUNC(Tabel3[[#This Row],[fin]]))</f>
        <v>1</v>
      </c>
      <c r="U220" s="102">
        <f>IF(Tabel3[[#This Row],[Type]]="j0",0,--(TRUNC(Tabel3[[#This Row],[debut]])-TRUNC(Tabel3[[#This Row],[fin precedent]])&lt;Tabel3[[#This Row],[delai]]))</f>
        <v>0</v>
      </c>
    </row>
    <row r="221" spans="12:21" ht="18" customHeight="1" x14ac:dyDescent="0.2">
      <c r="L221" s="98" t="s">
        <v>94</v>
      </c>
      <c r="M221" s="98" t="s">
        <v>1</v>
      </c>
      <c r="N221" s="104">
        <v>45925</v>
      </c>
      <c r="O221" s="98">
        <v>70</v>
      </c>
      <c r="P221" s="98">
        <f>INDEX($C$1:$I$1,MATCH(Tabel3[[#This Row],[Type]],Devoirs[[#Headers],[J0]:[J60]],0))</f>
        <v>0</v>
      </c>
      <c r="Q221" s="105" t="str" cm="1">
        <f t="array" ref="Q22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21" s="105">
        <f ca="1">MAX(Tabel3[[#This Row],[jour]]+$R$3,IF(ROW()-ROW(Tabel3[[#Headers],[debut]])=1,DATE(2025,9,1)+$R$3,OFFSET(Tabel3[[#This Row],[fin]],-1,)))</f>
        <v>45936.517361111139</v>
      </c>
      <c r="S2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45936.565972222248</v>
      </c>
      <c r="T221" s="102">
        <f ca="1">--(Tabel3[[#This Row],[jour]]&lt;&gt;TRUNC(Tabel3[[#This Row],[fin]]))</f>
        <v>1</v>
      </c>
      <c r="U221" s="102">
        <f>IF(Tabel3[[#This Row],[Type]]="j0",0,--(TRUNC(Tabel3[[#This Row],[debut]])-TRUNC(Tabel3[[#This Row],[fin precedent]])&lt;Tabel3[[#This Row],[delai]]))</f>
        <v>0</v>
      </c>
    </row>
    <row r="222" spans="12:21" ht="18" customHeight="1" x14ac:dyDescent="0.2">
      <c r="L222" s="98" t="s">
        <v>46</v>
      </c>
      <c r="M222" s="98" t="s">
        <v>1</v>
      </c>
      <c r="N222" s="104">
        <v>45925</v>
      </c>
      <c r="O222" s="98">
        <v>76</v>
      </c>
      <c r="P222" s="98">
        <f>INDEX($C$1:$I$1,MATCH(Tabel3[[#This Row],[Type]],Devoirs[[#Headers],[J0]:[J60]],0))</f>
        <v>0</v>
      </c>
      <c r="Q222" s="105" t="str" cm="1">
        <f t="array" ref="Q22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22" s="105">
        <f ca="1">MAX(Tabel3[[#This Row],[jour]]+$R$3,IF(ROW()-ROW(Tabel3[[#Headers],[debut]])=1,DATE(2025,9,1)+$R$3,OFFSET(Tabel3[[#This Row],[fin]],-1,)))</f>
        <v>45936.565972222248</v>
      </c>
      <c r="S2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45936.618750000023</v>
      </c>
      <c r="T222" s="102">
        <f ca="1">--(Tabel3[[#This Row],[jour]]&lt;&gt;TRUNC(Tabel3[[#This Row],[fin]]))</f>
        <v>1</v>
      </c>
      <c r="U222" s="102">
        <f>IF(Tabel3[[#This Row],[Type]]="j0",0,--(TRUNC(Tabel3[[#This Row],[debut]])-TRUNC(Tabel3[[#This Row],[fin precedent]])&lt;Tabel3[[#This Row],[delai]]))</f>
        <v>0</v>
      </c>
    </row>
    <row r="223" spans="12:21" ht="18" customHeight="1" x14ac:dyDescent="0.2">
      <c r="L223" s="98" t="s">
        <v>129</v>
      </c>
      <c r="M223" s="98" t="s">
        <v>1</v>
      </c>
      <c r="N223" s="104">
        <v>45925</v>
      </c>
      <c r="O223" s="98">
        <v>88</v>
      </c>
      <c r="P223" s="98">
        <f>INDEX($C$1:$I$1,MATCH(Tabel3[[#This Row],[Type]],Devoirs[[#Headers],[J0]:[J60]],0))</f>
        <v>0</v>
      </c>
      <c r="Q223" s="105" t="str" cm="1">
        <f t="array" ref="Q22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23" s="105">
        <f ca="1">MAX(Tabel3[[#This Row],[jour]]+$R$3,IF(ROW()-ROW(Tabel3[[#Headers],[debut]])=1,DATE(2025,9,1)+$R$3,OFFSET(Tabel3[[#This Row],[fin]],-1,)))</f>
        <v>45936.618750000023</v>
      </c>
      <c r="S2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45936.679861111137</v>
      </c>
      <c r="T223" s="102">
        <f ca="1">--(Tabel3[[#This Row],[jour]]&lt;&gt;TRUNC(Tabel3[[#This Row],[fin]]))</f>
        <v>1</v>
      </c>
      <c r="U223" s="102">
        <f>IF(Tabel3[[#This Row],[Type]]="j0",0,--(TRUNC(Tabel3[[#This Row],[debut]])-TRUNC(Tabel3[[#This Row],[fin precedent]])&lt;Tabel3[[#This Row],[delai]]))</f>
        <v>0</v>
      </c>
    </row>
    <row r="224" spans="12:21" ht="18" customHeight="1" x14ac:dyDescent="0.2">
      <c r="L224" s="98" t="s">
        <v>84</v>
      </c>
      <c r="M224" s="98" t="s">
        <v>37</v>
      </c>
      <c r="N224" s="104">
        <v>45926</v>
      </c>
      <c r="O224" s="98">
        <v>36</v>
      </c>
      <c r="P224" s="98">
        <f>INDEX($C$1:$I$1,MATCH(Tabel3[[#This Row],[Type]],Devoirs[[#Headers],[J0]:[J60]],0))</f>
        <v>2</v>
      </c>
      <c r="Q224" s="105" cm="1">
        <f t="array" aca="1" ref="Q2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45932.466736111128</v>
      </c>
      <c r="R224" s="105">
        <f ca="1">MAX(Tabel3[[#This Row],[jour]]+$R$3,IF(ROW()-ROW(Tabel3[[#Headers],[debut]])=1,DATE(2025,9,1)+$R$3,OFFSET(Tabel3[[#This Row],[fin]],-1,)))</f>
        <v>45936.679861111137</v>
      </c>
      <c r="S2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45936.704861111139</v>
      </c>
      <c r="T224" s="102">
        <f ca="1">--(Tabel3[[#This Row],[jour]]&lt;&gt;TRUNC(Tabel3[[#This Row],[fin]]))</f>
        <v>1</v>
      </c>
      <c r="U224" s="102">
        <f ca="1">IF(Tabel3[[#This Row],[Type]]="j0",0,--(TRUNC(Tabel3[[#This Row],[debut]])-TRUNC(Tabel3[[#This Row],[fin precedent]])&lt;Tabel3[[#This Row],[delai]]))</f>
        <v>0</v>
      </c>
    </row>
    <row r="225" spans="12:21" ht="18" customHeight="1" x14ac:dyDescent="0.2">
      <c r="L225" s="98" t="s">
        <v>68</v>
      </c>
      <c r="M225" s="98" t="s">
        <v>37</v>
      </c>
      <c r="N225" s="104">
        <v>45926</v>
      </c>
      <c r="O225" s="98">
        <v>54</v>
      </c>
      <c r="P225" s="98">
        <f>INDEX($C$1:$I$1,MATCH(Tabel3[[#This Row],[Type]],Devoirs[[#Headers],[J0]:[J60]],0))</f>
        <v>2</v>
      </c>
      <c r="Q225" s="105" cm="1">
        <f t="array" aca="1" ref="Q2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45932.508402777792</v>
      </c>
      <c r="R225" s="105">
        <f ca="1">MAX(Tabel3[[#This Row],[jour]]+$R$3,IF(ROW()-ROW(Tabel3[[#Headers],[debut]])=1,DATE(2025,9,1)+$R$3,OFFSET(Tabel3[[#This Row],[fin]],-1,)))</f>
        <v>45936.704861111139</v>
      </c>
      <c r="S2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45936.742361111137</v>
      </c>
      <c r="T225" s="102">
        <f ca="1">--(Tabel3[[#This Row],[jour]]&lt;&gt;TRUNC(Tabel3[[#This Row],[fin]]))</f>
        <v>1</v>
      </c>
      <c r="U225" s="102">
        <f ca="1">IF(Tabel3[[#This Row],[Type]]="j0",0,--(TRUNC(Tabel3[[#This Row],[debut]])-TRUNC(Tabel3[[#This Row],[fin precedent]])&lt;Tabel3[[#This Row],[delai]]))</f>
        <v>0</v>
      </c>
    </row>
    <row r="226" spans="12:21" ht="18" customHeight="1" x14ac:dyDescent="0.2">
      <c r="L226" s="98" t="s">
        <v>121</v>
      </c>
      <c r="M226" s="98" t="s">
        <v>37</v>
      </c>
      <c r="N226" s="104">
        <v>45926</v>
      </c>
      <c r="O226" s="98">
        <v>62.1</v>
      </c>
      <c r="P226" s="98">
        <f>INDEX($C$1:$I$1,MATCH(Tabel3[[#This Row],[Type]],Devoirs[[#Headers],[J0]:[J60]],0))</f>
        <v>2</v>
      </c>
      <c r="Q226" s="105" cm="1">
        <f t="array" aca="1" ref="Q2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45932.556319444462</v>
      </c>
      <c r="R226" s="105">
        <f ca="1">MAX(Tabel3[[#This Row],[jour]]+$R$3,IF(ROW()-ROW(Tabel3[[#Headers],[debut]])=1,DATE(2025,9,1)+$R$3,OFFSET(Tabel3[[#This Row],[fin]],-1,)))</f>
        <v>45936.742361111137</v>
      </c>
      <c r="S2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45937.368819444469</v>
      </c>
      <c r="T226" s="102">
        <f ca="1">--(Tabel3[[#This Row],[jour]]&lt;&gt;TRUNC(Tabel3[[#This Row],[fin]]))</f>
        <v>1</v>
      </c>
      <c r="U226" s="102">
        <f ca="1">IF(Tabel3[[#This Row],[Type]]="j0",0,--(TRUNC(Tabel3[[#This Row],[debut]])-TRUNC(Tabel3[[#This Row],[fin precedent]])&lt;Tabel3[[#This Row],[delai]]))</f>
        <v>0</v>
      </c>
    </row>
    <row r="227" spans="12:21" ht="18" customHeight="1" x14ac:dyDescent="0.2">
      <c r="L227" s="98" t="s">
        <v>112</v>
      </c>
      <c r="M227" s="98" t="s">
        <v>37</v>
      </c>
      <c r="N227" s="104">
        <v>45926</v>
      </c>
      <c r="O227" s="98">
        <v>88.2</v>
      </c>
      <c r="P227" s="98">
        <f>INDEX($C$1:$I$1,MATCH(Tabel3[[#This Row],[Type]],Devoirs[[#Headers],[J0]:[J60]],0))</f>
        <v>2</v>
      </c>
      <c r="Q227" s="105" cm="1">
        <f t="array" aca="1" ref="Q2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45932.624375000021</v>
      </c>
      <c r="R227" s="105">
        <f ca="1">MAX(Tabel3[[#This Row],[jour]]+$R$3,IF(ROW()-ROW(Tabel3[[#Headers],[debut]])=1,DATE(2025,9,1)+$R$3,OFFSET(Tabel3[[#This Row],[fin]],-1,)))</f>
        <v>45937.368819444469</v>
      </c>
      <c r="S2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45937.430069444468</v>
      </c>
      <c r="T227" s="102">
        <f ca="1">--(Tabel3[[#This Row],[jour]]&lt;&gt;TRUNC(Tabel3[[#This Row],[fin]]))</f>
        <v>1</v>
      </c>
      <c r="U227" s="102">
        <f ca="1">IF(Tabel3[[#This Row],[Type]]="j0",0,--(TRUNC(Tabel3[[#This Row],[debut]])-TRUNC(Tabel3[[#This Row],[fin precedent]])&lt;Tabel3[[#This Row],[delai]]))</f>
        <v>0</v>
      </c>
    </row>
    <row r="228" spans="12:21" ht="18" customHeight="1" x14ac:dyDescent="0.2">
      <c r="L228" s="98" t="s">
        <v>100</v>
      </c>
      <c r="M228" s="98" t="s">
        <v>37</v>
      </c>
      <c r="N228" s="104">
        <v>45926</v>
      </c>
      <c r="O228" s="98">
        <v>90</v>
      </c>
      <c r="P228" s="98">
        <f>INDEX($C$1:$I$1,MATCH(Tabel3[[#This Row],[Type]],Devoirs[[#Headers],[J0]:[J60]],0))</f>
        <v>2</v>
      </c>
      <c r="Q228" s="105" cm="1">
        <f t="array" aca="1" ref="Q22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45932.693819444466</v>
      </c>
      <c r="R228" s="105">
        <f ca="1">MAX(Tabel3[[#This Row],[jour]]+$R$3,IF(ROW()-ROW(Tabel3[[#Headers],[debut]])=1,DATE(2025,9,1)+$R$3,OFFSET(Tabel3[[#This Row],[fin]],-1,)))</f>
        <v>45937.430069444468</v>
      </c>
      <c r="S2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45937.492569444468</v>
      </c>
      <c r="T228" s="102">
        <f ca="1">--(Tabel3[[#This Row],[jour]]&lt;&gt;TRUNC(Tabel3[[#This Row],[fin]]))</f>
        <v>1</v>
      </c>
      <c r="U228" s="102">
        <f ca="1">IF(Tabel3[[#This Row],[Type]]="j0",0,--(TRUNC(Tabel3[[#This Row],[debut]])-TRUNC(Tabel3[[#This Row],[fin precedent]])&lt;Tabel3[[#This Row],[delai]]))</f>
        <v>0</v>
      </c>
    </row>
    <row r="229" spans="12:21" ht="18" customHeight="1" x14ac:dyDescent="0.2">
      <c r="L229" s="98" t="s">
        <v>101</v>
      </c>
      <c r="M229" s="98" t="s">
        <v>37</v>
      </c>
      <c r="N229" s="104">
        <v>45926</v>
      </c>
      <c r="O229" s="98">
        <v>90</v>
      </c>
      <c r="P229" s="98">
        <f>INDEX($C$1:$I$1,MATCH(Tabel3[[#This Row],[Type]],Devoirs[[#Headers],[J0]:[J60]],0))</f>
        <v>2</v>
      </c>
      <c r="Q229" s="105" cm="1">
        <f t="array" aca="1" ref="Q22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45933.346597222248</v>
      </c>
      <c r="R229" s="105">
        <f ca="1">MAX(Tabel3[[#This Row],[jour]]+$R$3,IF(ROW()-ROW(Tabel3[[#Headers],[debut]])=1,DATE(2025,9,1)+$R$3,OFFSET(Tabel3[[#This Row],[fin]],-1,)))</f>
        <v>45937.492569444468</v>
      </c>
      <c r="S2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45937.555069444468</v>
      </c>
      <c r="T229" s="102">
        <f ca="1">--(Tabel3[[#This Row],[jour]]&lt;&gt;TRUNC(Tabel3[[#This Row],[fin]]))</f>
        <v>1</v>
      </c>
      <c r="U229" s="102">
        <f ca="1">IF(Tabel3[[#This Row],[Type]]="j0",0,--(TRUNC(Tabel3[[#This Row],[debut]])-TRUNC(Tabel3[[#This Row],[fin precedent]])&lt;Tabel3[[#This Row],[delai]]))</f>
        <v>0</v>
      </c>
    </row>
    <row r="230" spans="12:21" ht="18" customHeight="1" x14ac:dyDescent="0.2">
      <c r="L230" s="98" t="s">
        <v>110</v>
      </c>
      <c r="M230" s="98" t="s">
        <v>37</v>
      </c>
      <c r="N230" s="104">
        <v>45926</v>
      </c>
      <c r="O230" s="98">
        <v>90</v>
      </c>
      <c r="P230" s="98">
        <f>INDEX($C$1:$I$1,MATCH(Tabel3[[#This Row],[Type]],Devoirs[[#Headers],[J0]:[J60]],0))</f>
        <v>2</v>
      </c>
      <c r="Q230" s="105" cm="1">
        <f t="array" aca="1" ref="Q2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45933.416041666693</v>
      </c>
      <c r="R230" s="105">
        <f ca="1">MAX(Tabel3[[#This Row],[jour]]+$R$3,IF(ROW()-ROW(Tabel3[[#Headers],[debut]])=1,DATE(2025,9,1)+$R$3,OFFSET(Tabel3[[#This Row],[fin]],-1,)))</f>
        <v>45937.555069444468</v>
      </c>
      <c r="S2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45937.617569444468</v>
      </c>
      <c r="T230" s="102">
        <f ca="1">--(Tabel3[[#This Row],[jour]]&lt;&gt;TRUNC(Tabel3[[#This Row],[fin]]))</f>
        <v>1</v>
      </c>
      <c r="U230" s="102">
        <f ca="1">IF(Tabel3[[#This Row],[Type]]="j0",0,--(TRUNC(Tabel3[[#This Row],[debut]])-TRUNC(Tabel3[[#This Row],[fin precedent]])&lt;Tabel3[[#This Row],[delai]]))</f>
        <v>0</v>
      </c>
    </row>
    <row r="231" spans="12:21" ht="18" customHeight="1" x14ac:dyDescent="0.2">
      <c r="L231" s="98" t="s">
        <v>374</v>
      </c>
      <c r="M231" s="98" t="s">
        <v>40</v>
      </c>
      <c r="N231" s="104">
        <v>45926</v>
      </c>
      <c r="O231" s="98">
        <v>24.3</v>
      </c>
      <c r="P231" s="98">
        <f>INDEX($C$1:$I$1,MATCH(Tabel3[[#This Row],[Type]],Devoirs[[#Headers],[J0]:[J60]],0))</f>
        <v>5</v>
      </c>
      <c r="Q231" s="105" cm="1">
        <f t="array" aca="1" ref="Q23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45926.454131944447</v>
      </c>
      <c r="R231" s="105">
        <f ca="1">MAX(Tabel3[[#This Row],[jour]]+$R$3,IF(ROW()-ROW(Tabel3[[#Headers],[debut]])=1,DATE(2025,9,1)+$R$3,OFFSET(Tabel3[[#This Row],[fin]],-1,)))</f>
        <v>45937.617569444468</v>
      </c>
      <c r="S2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45937.634444444469</v>
      </c>
      <c r="T231" s="102">
        <f ca="1">--(Tabel3[[#This Row],[jour]]&lt;&gt;TRUNC(Tabel3[[#This Row],[fin]]))</f>
        <v>1</v>
      </c>
      <c r="U231" s="102">
        <f ca="1">IF(Tabel3[[#This Row],[Type]]="j0",0,--(TRUNC(Tabel3[[#This Row],[debut]])-TRUNC(Tabel3[[#This Row],[fin precedent]])&lt;Tabel3[[#This Row],[delai]]))</f>
        <v>0</v>
      </c>
    </row>
    <row r="232" spans="12:21" ht="18" customHeight="1" x14ac:dyDescent="0.2">
      <c r="L232" s="98" t="s">
        <v>61</v>
      </c>
      <c r="M232" s="98" t="s">
        <v>40</v>
      </c>
      <c r="N232" s="104">
        <v>45926</v>
      </c>
      <c r="O232" s="98">
        <v>28.35</v>
      </c>
      <c r="P232" s="98">
        <f>INDEX($C$1:$I$1,MATCH(Tabel3[[#This Row],[Type]],Devoirs[[#Headers],[J0]:[J60]],0))</f>
        <v>5</v>
      </c>
      <c r="Q232" s="105" cm="1">
        <f t="array" aca="1" ref="Q23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45926.48038194445</v>
      </c>
      <c r="R232" s="105">
        <f ca="1">MAX(Tabel3[[#This Row],[jour]]+$R$3,IF(ROW()-ROW(Tabel3[[#Headers],[debut]])=1,DATE(2025,9,1)+$R$3,OFFSET(Tabel3[[#This Row],[fin]],-1,)))</f>
        <v>45937.634444444469</v>
      </c>
      <c r="S2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45937.654131944466</v>
      </c>
      <c r="T232" s="102">
        <f ca="1">--(Tabel3[[#This Row],[jour]]&lt;&gt;TRUNC(Tabel3[[#This Row],[fin]]))</f>
        <v>1</v>
      </c>
      <c r="U232" s="102">
        <f ca="1">IF(Tabel3[[#This Row],[Type]]="j0",0,--(TRUNC(Tabel3[[#This Row],[debut]])-TRUNC(Tabel3[[#This Row],[fin precedent]])&lt;Tabel3[[#This Row],[delai]]))</f>
        <v>0</v>
      </c>
    </row>
    <row r="233" spans="12:21" ht="18" customHeight="1" x14ac:dyDescent="0.2">
      <c r="L233" s="98" t="s">
        <v>137</v>
      </c>
      <c r="M233" s="98" t="s">
        <v>39</v>
      </c>
      <c r="N233" s="104">
        <v>45926</v>
      </c>
      <c r="O233" s="98">
        <v>21.599999999999998</v>
      </c>
      <c r="P233" s="98">
        <f>INDEX($C$1:$I$1,MATCH(Tabel3[[#This Row],[Type]],Devoirs[[#Headers],[J0]:[J60]],0))</f>
        <v>4</v>
      </c>
      <c r="Q233" s="105" cm="1">
        <f t="array" aca="1" ref="Q2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45926.499131944453</v>
      </c>
      <c r="R233" s="105">
        <f ca="1">MAX(Tabel3[[#This Row],[jour]]+$R$3,IF(ROW()-ROW(Tabel3[[#Headers],[debut]])=1,DATE(2025,9,1)+$R$3,OFFSET(Tabel3[[#This Row],[fin]],-1,)))</f>
        <v>45937.654131944466</v>
      </c>
      <c r="S2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45937.669131944465</v>
      </c>
      <c r="T233" s="102">
        <f ca="1">--(Tabel3[[#This Row],[jour]]&lt;&gt;TRUNC(Tabel3[[#This Row],[fin]]))</f>
        <v>1</v>
      </c>
      <c r="U233" s="102">
        <f ca="1">IF(Tabel3[[#This Row],[Type]]="j0",0,--(TRUNC(Tabel3[[#This Row],[debut]])-TRUNC(Tabel3[[#This Row],[fin precedent]])&lt;Tabel3[[#This Row],[delai]]))</f>
        <v>0</v>
      </c>
    </row>
    <row r="234" spans="12:21" ht="18" customHeight="1" x14ac:dyDescent="0.2">
      <c r="L234" s="98" t="s">
        <v>105</v>
      </c>
      <c r="M234" s="98" t="s">
        <v>39</v>
      </c>
      <c r="N234" s="104">
        <v>45926</v>
      </c>
      <c r="O234" s="98">
        <v>27</v>
      </c>
      <c r="P234" s="98">
        <f>INDEX($C$1:$I$1,MATCH(Tabel3[[#This Row],[Type]],Devoirs[[#Headers],[J0]:[J60]],0))</f>
        <v>4</v>
      </c>
      <c r="Q234" s="105" cm="1">
        <f t="array" aca="1" ref="Q2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45926.522569444453</v>
      </c>
      <c r="R234" s="105">
        <f ca="1">MAX(Tabel3[[#This Row],[jour]]+$R$3,IF(ROW()-ROW(Tabel3[[#Headers],[debut]])=1,DATE(2025,9,1)+$R$3,OFFSET(Tabel3[[#This Row],[fin]],-1,)))</f>
        <v>45937.669131944465</v>
      </c>
      <c r="S2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45937.687881944468</v>
      </c>
      <c r="T234" s="102">
        <f ca="1">--(Tabel3[[#This Row],[jour]]&lt;&gt;TRUNC(Tabel3[[#This Row],[fin]]))</f>
        <v>1</v>
      </c>
      <c r="U234" s="102">
        <f ca="1">IF(Tabel3[[#This Row],[Type]]="j0",0,--(TRUNC(Tabel3[[#This Row],[debut]])-TRUNC(Tabel3[[#This Row],[fin precedent]])&lt;Tabel3[[#This Row],[delai]]))</f>
        <v>0</v>
      </c>
    </row>
    <row r="235" spans="12:21" ht="18" customHeight="1" x14ac:dyDescent="0.2">
      <c r="L235" s="98" t="s">
        <v>69</v>
      </c>
      <c r="M235" s="98" t="s">
        <v>39</v>
      </c>
      <c r="N235" s="104">
        <v>45926</v>
      </c>
      <c r="O235" s="98">
        <v>28.799999999999997</v>
      </c>
      <c r="P235" s="98">
        <f>INDEX($C$1:$I$1,MATCH(Tabel3[[#This Row],[Type]],Devoirs[[#Headers],[J0]:[J60]],0))</f>
        <v>4</v>
      </c>
      <c r="Q235" s="105" cm="1">
        <f t="array" aca="1" ref="Q2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45926.547569444454</v>
      </c>
      <c r="R235" s="105">
        <f ca="1">MAX(Tabel3[[#This Row],[jour]]+$R$3,IF(ROW()-ROW(Tabel3[[#Headers],[debut]])=1,DATE(2025,9,1)+$R$3,OFFSET(Tabel3[[#This Row],[fin]],-1,)))</f>
        <v>45937.687881944468</v>
      </c>
      <c r="S2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45937.707881944465</v>
      </c>
      <c r="T235" s="102">
        <f ca="1">--(Tabel3[[#This Row],[jour]]&lt;&gt;TRUNC(Tabel3[[#This Row],[fin]]))</f>
        <v>1</v>
      </c>
      <c r="U235" s="102">
        <f ca="1">IF(Tabel3[[#This Row],[Type]]="j0",0,--(TRUNC(Tabel3[[#This Row],[debut]])-TRUNC(Tabel3[[#This Row],[fin precedent]])&lt;Tabel3[[#This Row],[delai]]))</f>
        <v>0</v>
      </c>
    </row>
    <row r="236" spans="12:21" ht="18" customHeight="1" x14ac:dyDescent="0.2">
      <c r="L236" s="98" t="s">
        <v>80</v>
      </c>
      <c r="M236" s="98" t="s">
        <v>39</v>
      </c>
      <c r="N236" s="104">
        <v>45926</v>
      </c>
      <c r="O236" s="98">
        <v>29.4</v>
      </c>
      <c r="P236" s="98">
        <f>INDEX($C$1:$I$1,MATCH(Tabel3[[#This Row],[Type]],Devoirs[[#Headers],[J0]:[J60]],0))</f>
        <v>4</v>
      </c>
      <c r="Q236" s="105" cm="1">
        <f t="array" aca="1" ref="Q2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45926.573090277787</v>
      </c>
      <c r="R236" s="105">
        <f ca="1">MAX(Tabel3[[#This Row],[jour]]+$R$3,IF(ROW()-ROW(Tabel3[[#Headers],[debut]])=1,DATE(2025,9,1)+$R$3,OFFSET(Tabel3[[#This Row],[fin]],-1,)))</f>
        <v>45937.707881944465</v>
      </c>
      <c r="S2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45937.728298611131</v>
      </c>
      <c r="T236" s="102">
        <f ca="1">--(Tabel3[[#This Row],[jour]]&lt;&gt;TRUNC(Tabel3[[#This Row],[fin]]))</f>
        <v>1</v>
      </c>
      <c r="U236" s="102">
        <f ca="1">IF(Tabel3[[#This Row],[Type]]="j0",0,--(TRUNC(Tabel3[[#This Row],[debut]])-TRUNC(Tabel3[[#This Row],[fin precedent]])&lt;Tabel3[[#This Row],[delai]]))</f>
        <v>0</v>
      </c>
    </row>
    <row r="237" spans="12:21" ht="18" customHeight="1" x14ac:dyDescent="0.2">
      <c r="L237" s="98" t="s">
        <v>117</v>
      </c>
      <c r="M237" s="98" t="s">
        <v>39</v>
      </c>
      <c r="N237" s="104">
        <v>45926</v>
      </c>
      <c r="O237" s="98">
        <v>36</v>
      </c>
      <c r="P237" s="98">
        <f>INDEX($C$1:$I$1,MATCH(Tabel3[[#This Row],[Type]],Devoirs[[#Headers],[J0]:[J60]],0))</f>
        <v>4</v>
      </c>
      <c r="Q237" s="105" cm="1">
        <f t="array" aca="1" ref="Q23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45926.604340277787</v>
      </c>
      <c r="R237" s="105">
        <f ca="1">MAX(Tabel3[[#This Row],[jour]]+$R$3,IF(ROW()-ROW(Tabel3[[#Headers],[debut]])=1,DATE(2025,9,1)+$R$3,OFFSET(Tabel3[[#This Row],[fin]],-1,)))</f>
        <v>45937.728298611131</v>
      </c>
      <c r="S2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45938.336631944469</v>
      </c>
      <c r="T237" s="102">
        <f ca="1">--(Tabel3[[#This Row],[jour]]&lt;&gt;TRUNC(Tabel3[[#This Row],[fin]]))</f>
        <v>1</v>
      </c>
      <c r="U237" s="102">
        <f ca="1">IF(Tabel3[[#This Row],[Type]]="j0",0,--(TRUNC(Tabel3[[#This Row],[debut]])-TRUNC(Tabel3[[#This Row],[fin precedent]])&lt;Tabel3[[#This Row],[delai]]))</f>
        <v>0</v>
      </c>
    </row>
    <row r="238" spans="12:21" ht="18" customHeight="1" x14ac:dyDescent="0.2">
      <c r="L238" s="98" t="s">
        <v>119</v>
      </c>
      <c r="M238" s="98" t="s">
        <v>37</v>
      </c>
      <c r="N238" s="104">
        <v>45927</v>
      </c>
      <c r="O238" s="98">
        <v>30.6</v>
      </c>
      <c r="P238" s="98">
        <f>INDEX($C$1:$I$1,MATCH(Tabel3[[#This Row],[Type]],Devoirs[[#Headers],[J0]:[J60]],0))</f>
        <v>2</v>
      </c>
      <c r="Q238" s="105" cm="1">
        <f t="array" aca="1" ref="Q23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45936.492361111137</v>
      </c>
      <c r="R238" s="105">
        <f ca="1">MAX(Tabel3[[#This Row],[jour]]+$R$3,IF(ROW()-ROW(Tabel3[[#Headers],[debut]])=1,DATE(2025,9,1)+$R$3,OFFSET(Tabel3[[#This Row],[fin]],-1,)))</f>
        <v>45938.336631944469</v>
      </c>
      <c r="S2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45938.357881944466</v>
      </c>
      <c r="T238" s="102">
        <f ca="1">--(Tabel3[[#This Row],[jour]]&lt;&gt;TRUNC(Tabel3[[#This Row],[fin]]))</f>
        <v>1</v>
      </c>
      <c r="U238" s="102">
        <f ca="1">IF(Tabel3[[#This Row],[Type]]="j0",0,--(TRUNC(Tabel3[[#This Row],[debut]])-TRUNC(Tabel3[[#This Row],[fin precedent]])&lt;Tabel3[[#This Row],[delai]]))</f>
        <v>0</v>
      </c>
    </row>
    <row r="239" spans="12:21" ht="18" customHeight="1" x14ac:dyDescent="0.2">
      <c r="L239" s="98" t="s">
        <v>87</v>
      </c>
      <c r="M239" s="98" t="s">
        <v>37</v>
      </c>
      <c r="N239" s="104">
        <v>45927</v>
      </c>
      <c r="O239" s="98">
        <v>32.4</v>
      </c>
      <c r="P239" s="98">
        <f>INDEX($C$1:$I$1,MATCH(Tabel3[[#This Row],[Type]],Devoirs[[#Headers],[J0]:[J60]],0))</f>
        <v>2</v>
      </c>
      <c r="Q239" s="105" cm="1">
        <f t="array" aca="1" ref="Q23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45936.517361111139</v>
      </c>
      <c r="R239" s="105">
        <f ca="1">MAX(Tabel3[[#This Row],[jour]]+$R$3,IF(ROW()-ROW(Tabel3[[#Headers],[debut]])=1,DATE(2025,9,1)+$R$3,OFFSET(Tabel3[[#This Row],[fin]],-1,)))</f>
        <v>45938.357881944466</v>
      </c>
      <c r="S2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45938.380381944466</v>
      </c>
      <c r="T239" s="102">
        <f ca="1">--(Tabel3[[#This Row],[jour]]&lt;&gt;TRUNC(Tabel3[[#This Row],[fin]]))</f>
        <v>1</v>
      </c>
      <c r="U239" s="102">
        <f ca="1">IF(Tabel3[[#This Row],[Type]]="j0",0,--(TRUNC(Tabel3[[#This Row],[debut]])-TRUNC(Tabel3[[#This Row],[fin precedent]])&lt;Tabel3[[#This Row],[delai]]))</f>
        <v>0</v>
      </c>
    </row>
    <row r="240" spans="12:21" ht="18" customHeight="1" x14ac:dyDescent="0.2">
      <c r="L240" s="98" t="s">
        <v>94</v>
      </c>
      <c r="M240" s="98" t="s">
        <v>37</v>
      </c>
      <c r="N240" s="104">
        <v>45927</v>
      </c>
      <c r="O240" s="98">
        <v>63</v>
      </c>
      <c r="P240" s="98">
        <f>INDEX($C$1:$I$1,MATCH(Tabel3[[#This Row],[Type]],Devoirs[[#Headers],[J0]:[J60]],0))</f>
        <v>2</v>
      </c>
      <c r="Q240" s="105" cm="1">
        <f t="array" aca="1" ref="Q24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45936.565972222248</v>
      </c>
      <c r="R240" s="105">
        <f ca="1">MAX(Tabel3[[#This Row],[jour]]+$R$3,IF(ROW()-ROW(Tabel3[[#Headers],[debut]])=1,DATE(2025,9,1)+$R$3,OFFSET(Tabel3[[#This Row],[fin]],-1,)))</f>
        <v>45938.380381944466</v>
      </c>
      <c r="S2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45938.424131944463</v>
      </c>
      <c r="T240" s="102">
        <f ca="1">--(Tabel3[[#This Row],[jour]]&lt;&gt;TRUNC(Tabel3[[#This Row],[fin]]))</f>
        <v>1</v>
      </c>
      <c r="U240" s="102">
        <f ca="1">IF(Tabel3[[#This Row],[Type]]="j0",0,--(TRUNC(Tabel3[[#This Row],[debut]])-TRUNC(Tabel3[[#This Row],[fin precedent]])&lt;Tabel3[[#This Row],[delai]]))</f>
        <v>0</v>
      </c>
    </row>
    <row r="241" spans="12:21" ht="18" customHeight="1" x14ac:dyDescent="0.2">
      <c r="L241" s="98" t="s">
        <v>46</v>
      </c>
      <c r="M241" s="98" t="s">
        <v>37</v>
      </c>
      <c r="N241" s="104">
        <v>45927</v>
      </c>
      <c r="O241" s="98">
        <v>68.400000000000006</v>
      </c>
      <c r="P241" s="98">
        <f>INDEX($C$1:$I$1,MATCH(Tabel3[[#This Row],[Type]],Devoirs[[#Headers],[J0]:[J60]],0))</f>
        <v>2</v>
      </c>
      <c r="Q241" s="105" cm="1">
        <f t="array" aca="1" ref="Q2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45936.618750000023</v>
      </c>
      <c r="R241" s="105">
        <f ca="1">MAX(Tabel3[[#This Row],[jour]]+$R$3,IF(ROW()-ROW(Tabel3[[#Headers],[debut]])=1,DATE(2025,9,1)+$R$3,OFFSET(Tabel3[[#This Row],[fin]],-1,)))</f>
        <v>45938.424131944463</v>
      </c>
      <c r="S2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45938.471631944463</v>
      </c>
      <c r="T241" s="102">
        <f ca="1">--(Tabel3[[#This Row],[jour]]&lt;&gt;TRUNC(Tabel3[[#This Row],[fin]]))</f>
        <v>1</v>
      </c>
      <c r="U241" s="102">
        <f ca="1">IF(Tabel3[[#This Row],[Type]]="j0",0,--(TRUNC(Tabel3[[#This Row],[debut]])-TRUNC(Tabel3[[#This Row],[fin precedent]])&lt;Tabel3[[#This Row],[delai]]))</f>
        <v>0</v>
      </c>
    </row>
    <row r="242" spans="12:21" ht="18" customHeight="1" x14ac:dyDescent="0.2">
      <c r="L242" s="98" t="s">
        <v>129</v>
      </c>
      <c r="M242" s="98" t="s">
        <v>37</v>
      </c>
      <c r="N242" s="104">
        <v>45927</v>
      </c>
      <c r="O242" s="98">
        <v>79.2</v>
      </c>
      <c r="P242" s="98">
        <f>INDEX($C$1:$I$1,MATCH(Tabel3[[#This Row],[Type]],Devoirs[[#Headers],[J0]:[J60]],0))</f>
        <v>2</v>
      </c>
      <c r="Q242" s="105" cm="1">
        <f t="array" aca="1" ref="Q2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45936.679861111137</v>
      </c>
      <c r="R242" s="105">
        <f ca="1">MAX(Tabel3[[#This Row],[jour]]+$R$3,IF(ROW()-ROW(Tabel3[[#Headers],[debut]])=1,DATE(2025,9,1)+$R$3,OFFSET(Tabel3[[#This Row],[fin]],-1,)))</f>
        <v>45938.471631944463</v>
      </c>
      <c r="S2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45938.526631944464</v>
      </c>
      <c r="T242" s="102">
        <f ca="1">--(Tabel3[[#This Row],[jour]]&lt;&gt;TRUNC(Tabel3[[#This Row],[fin]]))</f>
        <v>1</v>
      </c>
      <c r="U242" s="102">
        <f ca="1">IF(Tabel3[[#This Row],[Type]]="j0",0,--(TRUNC(Tabel3[[#This Row],[debut]])-TRUNC(Tabel3[[#This Row],[fin precedent]])&lt;Tabel3[[#This Row],[delai]]))</f>
        <v>0</v>
      </c>
    </row>
    <row r="243" spans="12:21" ht="18" customHeight="1" x14ac:dyDescent="0.2">
      <c r="L243" s="98" t="s">
        <v>118</v>
      </c>
      <c r="M243" s="98" t="s">
        <v>40</v>
      </c>
      <c r="N243" s="104">
        <v>45927</v>
      </c>
      <c r="O243" s="98">
        <v>20.25</v>
      </c>
      <c r="P243" s="98">
        <f>INDEX($C$1:$I$1,MATCH(Tabel3[[#This Row],[Type]],Devoirs[[#Headers],[J0]:[J60]],0))</f>
        <v>5</v>
      </c>
      <c r="Q243" s="105" cm="1">
        <f t="array" aca="1" ref="Q2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45926.62309027779</v>
      </c>
      <c r="R243" s="105">
        <f ca="1">MAX(Tabel3[[#This Row],[jour]]+$R$3,IF(ROW()-ROW(Tabel3[[#Headers],[debut]])=1,DATE(2025,9,1)+$R$3,OFFSET(Tabel3[[#This Row],[fin]],-1,)))</f>
        <v>45938.526631944464</v>
      </c>
      <c r="S2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45938.540694444462</v>
      </c>
      <c r="T243" s="102">
        <f ca="1">--(Tabel3[[#This Row],[jour]]&lt;&gt;TRUNC(Tabel3[[#This Row],[fin]]))</f>
        <v>1</v>
      </c>
      <c r="U243" s="102">
        <f ca="1">IF(Tabel3[[#This Row],[Type]]="j0",0,--(TRUNC(Tabel3[[#This Row],[debut]])-TRUNC(Tabel3[[#This Row],[fin precedent]])&lt;Tabel3[[#This Row],[delai]]))</f>
        <v>0</v>
      </c>
    </row>
    <row r="244" spans="12:21" ht="18" customHeight="1" x14ac:dyDescent="0.2">
      <c r="L244" s="98" t="s">
        <v>96</v>
      </c>
      <c r="M244" s="98" t="s">
        <v>40</v>
      </c>
      <c r="N244" s="104">
        <v>45927</v>
      </c>
      <c r="O244" s="98">
        <v>28.8</v>
      </c>
      <c r="P244" s="98">
        <f>INDEX($C$1:$I$1,MATCH(Tabel3[[#This Row],[Type]],Devoirs[[#Headers],[J0]:[J60]],0))</f>
        <v>5</v>
      </c>
      <c r="Q244" s="105" cm="1">
        <f t="array" aca="1" ref="Q2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45926.649756944455</v>
      </c>
      <c r="R244" s="105">
        <f ca="1">MAX(Tabel3[[#This Row],[jour]]+$R$3,IF(ROW()-ROW(Tabel3[[#Headers],[debut]])=1,DATE(2025,9,1)+$R$3,OFFSET(Tabel3[[#This Row],[fin]],-1,)))</f>
        <v>45938.540694444462</v>
      </c>
      <c r="S2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45938.560694444459</v>
      </c>
      <c r="T244" s="102">
        <f ca="1">--(Tabel3[[#This Row],[jour]]&lt;&gt;TRUNC(Tabel3[[#This Row],[fin]]))</f>
        <v>1</v>
      </c>
      <c r="U244" s="102">
        <f ca="1">IF(Tabel3[[#This Row],[Type]]="j0",0,--(TRUNC(Tabel3[[#This Row],[debut]])-TRUNC(Tabel3[[#This Row],[fin precedent]])&lt;Tabel3[[#This Row],[delai]]))</f>
        <v>0</v>
      </c>
    </row>
    <row r="245" spans="12:21" ht="18" customHeight="1" x14ac:dyDescent="0.2">
      <c r="L245" s="98" t="s">
        <v>78</v>
      </c>
      <c r="M245" s="98" t="s">
        <v>40</v>
      </c>
      <c r="N245" s="104">
        <v>45927</v>
      </c>
      <c r="O245" s="98">
        <v>39.15</v>
      </c>
      <c r="P245" s="98">
        <f>INDEX($C$1:$I$1,MATCH(Tabel3[[#This Row],[Type]],Devoirs[[#Headers],[J0]:[J60]],0))</f>
        <v>5</v>
      </c>
      <c r="Q245" s="105" cm="1">
        <f t="array" aca="1" ref="Q2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45926.686006944452</v>
      </c>
      <c r="R245" s="105">
        <f ca="1">MAX(Tabel3[[#This Row],[jour]]+$R$3,IF(ROW()-ROW(Tabel3[[#Headers],[debut]])=1,DATE(2025,9,1)+$R$3,OFFSET(Tabel3[[#This Row],[fin]],-1,)))</f>
        <v>45938.560694444459</v>
      </c>
      <c r="S2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45938.587881944462</v>
      </c>
      <c r="T245" s="102">
        <f ca="1">--(Tabel3[[#This Row],[jour]]&lt;&gt;TRUNC(Tabel3[[#This Row],[fin]]))</f>
        <v>1</v>
      </c>
      <c r="U245" s="102">
        <f ca="1">IF(Tabel3[[#This Row],[Type]]="j0",0,--(TRUNC(Tabel3[[#This Row],[debut]])-TRUNC(Tabel3[[#This Row],[fin precedent]])&lt;Tabel3[[#This Row],[delai]]))</f>
        <v>0</v>
      </c>
    </row>
    <row r="246" spans="12:21" ht="18" customHeight="1" x14ac:dyDescent="0.2">
      <c r="L246" s="98" t="s">
        <v>66</v>
      </c>
      <c r="M246" s="98" t="s">
        <v>40</v>
      </c>
      <c r="N246" s="104">
        <v>45927</v>
      </c>
      <c r="O246" s="98">
        <v>41.4</v>
      </c>
      <c r="P246" s="98">
        <f>INDEX($C$1:$I$1,MATCH(Tabel3[[#This Row],[Type]],Devoirs[[#Headers],[J0]:[J60]],0))</f>
        <v>5</v>
      </c>
      <c r="Q246" s="105" cm="1">
        <f t="array" aca="1" ref="Q2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45926.724340277782</v>
      </c>
      <c r="R246" s="105">
        <f ca="1">MAX(Tabel3[[#This Row],[jour]]+$R$3,IF(ROW()-ROW(Tabel3[[#Headers],[debut]])=1,DATE(2025,9,1)+$R$3,OFFSET(Tabel3[[#This Row],[fin]],-1,)))</f>
        <v>45938.587881944462</v>
      </c>
      <c r="S2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45938.61663194446</v>
      </c>
      <c r="T246" s="102">
        <f ca="1">--(Tabel3[[#This Row],[jour]]&lt;&gt;TRUNC(Tabel3[[#This Row],[fin]]))</f>
        <v>1</v>
      </c>
      <c r="U246" s="102">
        <f ca="1">IF(Tabel3[[#This Row],[Type]]="j0",0,--(TRUNC(Tabel3[[#This Row],[debut]])-TRUNC(Tabel3[[#This Row],[fin precedent]])&lt;Tabel3[[#This Row],[delai]]))</f>
        <v>0</v>
      </c>
    </row>
    <row r="247" spans="12:21" ht="18" customHeight="1" x14ac:dyDescent="0.2">
      <c r="L247" s="98" t="s">
        <v>98</v>
      </c>
      <c r="M247" s="98" t="s">
        <v>39</v>
      </c>
      <c r="N247" s="104">
        <v>45927</v>
      </c>
      <c r="O247" s="98">
        <v>54</v>
      </c>
      <c r="P247" s="98">
        <f>INDEX($C$1:$I$1,MATCH(Tabel3[[#This Row],[Type]],Devoirs[[#Headers],[J0]:[J60]],0))</f>
        <v>4</v>
      </c>
      <c r="Q247" s="105" cm="1">
        <f t="array" aca="1" ref="Q2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45929.531631944454</v>
      </c>
      <c r="R247" s="105">
        <f ca="1">MAX(Tabel3[[#This Row],[jour]]+$R$3,IF(ROW()-ROW(Tabel3[[#Headers],[debut]])=1,DATE(2025,9,1)+$R$3,OFFSET(Tabel3[[#This Row],[fin]],-1,)))</f>
        <v>45938.61663194446</v>
      </c>
      <c r="S2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45938.654131944459</v>
      </c>
      <c r="T247" s="102">
        <f ca="1">--(Tabel3[[#This Row],[jour]]&lt;&gt;TRUNC(Tabel3[[#This Row],[fin]]))</f>
        <v>1</v>
      </c>
      <c r="U247" s="102">
        <f ca="1">IF(Tabel3[[#This Row],[Type]]="j0",0,--(TRUNC(Tabel3[[#This Row],[debut]])-TRUNC(Tabel3[[#This Row],[fin precedent]])&lt;Tabel3[[#This Row],[delai]]))</f>
        <v>0</v>
      </c>
    </row>
    <row r="248" spans="12:21" ht="18" customHeight="1" x14ac:dyDescent="0.2">
      <c r="L248" s="98" t="s">
        <v>102</v>
      </c>
      <c r="M248" s="98" t="s">
        <v>39</v>
      </c>
      <c r="N248" s="104">
        <v>45927</v>
      </c>
      <c r="O248" s="98">
        <v>67.2</v>
      </c>
      <c r="P248" s="98">
        <f>INDEX($C$1:$I$1,MATCH(Tabel3[[#This Row],[Type]],Devoirs[[#Headers],[J0]:[J60]],0))</f>
        <v>4</v>
      </c>
      <c r="Q248" s="105" cm="1">
        <f t="array" aca="1" ref="Q2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45929.589965277788</v>
      </c>
      <c r="R248" s="105">
        <f ca="1">MAX(Tabel3[[#This Row],[jour]]+$R$3,IF(ROW()-ROW(Tabel3[[#Headers],[debut]])=1,DATE(2025,9,1)+$R$3,OFFSET(Tabel3[[#This Row],[fin]],-1,)))</f>
        <v>45938.654131944459</v>
      </c>
      <c r="S2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45938.700798611128</v>
      </c>
      <c r="T248" s="102">
        <f ca="1">--(Tabel3[[#This Row],[jour]]&lt;&gt;TRUNC(Tabel3[[#This Row],[fin]]))</f>
        <v>1</v>
      </c>
      <c r="U248" s="102">
        <f ca="1">IF(Tabel3[[#This Row],[Type]]="j0",0,--(TRUNC(Tabel3[[#This Row],[debut]])-TRUNC(Tabel3[[#This Row],[fin precedent]])&lt;Tabel3[[#This Row],[delai]]))</f>
        <v>0</v>
      </c>
    </row>
    <row r="249" spans="12:21" ht="18" customHeight="1" x14ac:dyDescent="0.2">
      <c r="L249" s="98" t="s">
        <v>59</v>
      </c>
      <c r="M249" s="98" t="s">
        <v>39</v>
      </c>
      <c r="N249" s="104">
        <v>45927</v>
      </c>
      <c r="O249" s="98">
        <v>67.8</v>
      </c>
      <c r="P249" s="98">
        <f>INDEX($C$1:$I$1,MATCH(Tabel3[[#This Row],[Type]],Devoirs[[#Headers],[J0]:[J60]],0))</f>
        <v>4</v>
      </c>
      <c r="Q249" s="105" cm="1">
        <f t="array" aca="1" ref="Q2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45929.648819444454</v>
      </c>
      <c r="R249" s="105">
        <f ca="1">MAX(Tabel3[[#This Row],[jour]]+$R$3,IF(ROW()-ROW(Tabel3[[#Headers],[debut]])=1,DATE(2025,9,1)+$R$3,OFFSET(Tabel3[[#This Row],[fin]],-1,)))</f>
        <v>45938.700798611128</v>
      </c>
      <c r="S2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45938.747881944459</v>
      </c>
      <c r="T249" s="102">
        <f ca="1">--(Tabel3[[#This Row],[jour]]&lt;&gt;TRUNC(Tabel3[[#This Row],[fin]]))</f>
        <v>1</v>
      </c>
      <c r="U249" s="102">
        <f ca="1">IF(Tabel3[[#This Row],[Type]]="j0",0,--(TRUNC(Tabel3[[#This Row],[debut]])-TRUNC(Tabel3[[#This Row],[fin precedent]])&lt;Tabel3[[#This Row],[delai]]))</f>
        <v>0</v>
      </c>
    </row>
    <row r="250" spans="12:21" ht="18" customHeight="1" x14ac:dyDescent="0.2">
      <c r="L250" s="98" t="s">
        <v>99</v>
      </c>
      <c r="M250" s="98" t="s">
        <v>39</v>
      </c>
      <c r="N250" s="104">
        <v>45927</v>
      </c>
      <c r="O250" s="98">
        <v>72</v>
      </c>
      <c r="P250" s="98">
        <f>INDEX($C$1:$I$1,MATCH(Tabel3[[#This Row],[Type]],Devoirs[[#Headers],[J0]:[J60]],0))</f>
        <v>4</v>
      </c>
      <c r="Q250" s="105" cm="1">
        <f t="array" aca="1" ref="Q2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45929.711319444454</v>
      </c>
      <c r="R250" s="105">
        <f ca="1">MAX(Tabel3[[#This Row],[jour]]+$R$3,IF(ROW()-ROW(Tabel3[[#Headers],[debut]])=1,DATE(2025,9,1)+$R$3,OFFSET(Tabel3[[#This Row],[fin]],-1,)))</f>
        <v>45938.747881944459</v>
      </c>
      <c r="S2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45939.381215277797</v>
      </c>
      <c r="T250" s="102">
        <f ca="1">--(Tabel3[[#This Row],[jour]]&lt;&gt;TRUNC(Tabel3[[#This Row],[fin]]))</f>
        <v>1</v>
      </c>
      <c r="U250" s="102">
        <f ca="1">IF(Tabel3[[#This Row],[Type]]="j0",0,--(TRUNC(Tabel3[[#This Row],[debut]])-TRUNC(Tabel3[[#This Row],[fin precedent]])&lt;Tabel3[[#This Row],[delai]]))</f>
        <v>0</v>
      </c>
    </row>
    <row r="251" spans="12:21" ht="18" customHeight="1" x14ac:dyDescent="0.2">
      <c r="L251" s="98" t="s">
        <v>67</v>
      </c>
      <c r="M251" s="98" t="s">
        <v>38</v>
      </c>
      <c r="N251" s="104">
        <v>45928</v>
      </c>
      <c r="O251" s="98">
        <v>24.75</v>
      </c>
      <c r="P251" s="98">
        <f>INDEX($C$1:$I$1,MATCH(Tabel3[[#This Row],[Type]],Devoirs[[#Headers],[J0]:[J60]],0))</f>
        <v>4</v>
      </c>
      <c r="Q251" s="105" cm="1">
        <f t="array" aca="1" ref="Q2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45931.626562500009</v>
      </c>
      <c r="R251" s="105">
        <f ca="1">MAX(Tabel3[[#This Row],[jour]]+$R$3,IF(ROW()-ROW(Tabel3[[#Headers],[debut]])=1,DATE(2025,9,1)+$R$3,OFFSET(Tabel3[[#This Row],[fin]],-1,)))</f>
        <v>45939.381215277797</v>
      </c>
      <c r="S2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45939.398402777799</v>
      </c>
      <c r="T251" s="102">
        <f ca="1">--(Tabel3[[#This Row],[jour]]&lt;&gt;TRUNC(Tabel3[[#This Row],[fin]]))</f>
        <v>1</v>
      </c>
      <c r="U251" s="102">
        <f ca="1">IF(Tabel3[[#This Row],[Type]]="j0",0,--(TRUNC(Tabel3[[#This Row],[debut]])-TRUNC(Tabel3[[#This Row],[fin precedent]])&lt;Tabel3[[#This Row],[delai]]))</f>
        <v>0</v>
      </c>
    </row>
    <row r="252" spans="12:21" ht="18" customHeight="1" x14ac:dyDescent="0.2">
      <c r="L252" s="98" t="s">
        <v>116</v>
      </c>
      <c r="M252" s="98" t="s">
        <v>38</v>
      </c>
      <c r="N252" s="104">
        <v>45928</v>
      </c>
      <c r="O252" s="98">
        <v>82.5</v>
      </c>
      <c r="P252" s="98">
        <f>INDEX($C$1:$I$1,MATCH(Tabel3[[#This Row],[Type]],Devoirs[[#Headers],[J0]:[J60]],0))</f>
        <v>4</v>
      </c>
      <c r="Q252" s="105" cm="1">
        <f t="array" aca="1" ref="Q2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45931.695312500007</v>
      </c>
      <c r="R252" s="105">
        <f ca="1">MAX(Tabel3[[#This Row],[jour]]+$R$3,IF(ROW()-ROW(Tabel3[[#Headers],[debut]])=1,DATE(2025,9,1)+$R$3,OFFSET(Tabel3[[#This Row],[fin]],-1,)))</f>
        <v>45939.398402777799</v>
      </c>
      <c r="S2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45939.455694444463</v>
      </c>
      <c r="T252" s="102">
        <f ca="1">--(Tabel3[[#This Row],[jour]]&lt;&gt;TRUNC(Tabel3[[#This Row],[fin]]))</f>
        <v>1</v>
      </c>
      <c r="U252" s="102">
        <f ca="1">IF(Tabel3[[#This Row],[Type]]="j0",0,--(TRUNC(Tabel3[[#This Row],[debut]])-TRUNC(Tabel3[[#This Row],[fin precedent]])&lt;Tabel3[[#This Row],[delai]]))</f>
        <v>0</v>
      </c>
    </row>
    <row r="253" spans="12:21" ht="18" customHeight="1" x14ac:dyDescent="0.2">
      <c r="L253" s="98" t="s">
        <v>109</v>
      </c>
      <c r="M253" s="98" t="s">
        <v>38</v>
      </c>
      <c r="N253" s="104">
        <v>45928</v>
      </c>
      <c r="O253" s="98">
        <v>84</v>
      </c>
      <c r="P253" s="98">
        <f>INDEX($C$1:$I$1,MATCH(Tabel3[[#This Row],[Type]],Devoirs[[#Headers],[J0]:[J60]],0))</f>
        <v>4</v>
      </c>
      <c r="Q253" s="105" cm="1">
        <f t="array" aca="1" ref="Q2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45932.348645833343</v>
      </c>
      <c r="R253" s="105">
        <f ca="1">MAX(Tabel3[[#This Row],[jour]]+$R$3,IF(ROW()-ROW(Tabel3[[#Headers],[debut]])=1,DATE(2025,9,1)+$R$3,OFFSET(Tabel3[[#This Row],[fin]],-1,)))</f>
        <v>45939.455694444463</v>
      </c>
      <c r="S2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45939.514027777797</v>
      </c>
      <c r="T253" s="102">
        <f ca="1">--(Tabel3[[#This Row],[jour]]&lt;&gt;TRUNC(Tabel3[[#This Row],[fin]]))</f>
        <v>1</v>
      </c>
      <c r="U253" s="102">
        <f ca="1">IF(Tabel3[[#This Row],[Type]]="j0",0,--(TRUNC(Tabel3[[#This Row],[debut]])-TRUNC(Tabel3[[#This Row],[fin precedent]])&lt;Tabel3[[#This Row],[delai]]))</f>
        <v>0</v>
      </c>
    </row>
    <row r="254" spans="12:21" ht="18" customHeight="1" x14ac:dyDescent="0.2">
      <c r="L254" s="98" t="s">
        <v>82</v>
      </c>
      <c r="M254" s="98" t="s">
        <v>39</v>
      </c>
      <c r="N254" s="104">
        <v>45928</v>
      </c>
      <c r="O254" s="98">
        <v>18.599999999999998</v>
      </c>
      <c r="P254" s="98">
        <f>INDEX($C$1:$I$1,MATCH(Tabel3[[#This Row],[Type]],Devoirs[[#Headers],[J0]:[J60]],0))</f>
        <v>4</v>
      </c>
      <c r="Q254" s="105" cm="1">
        <f t="array" aca="1" ref="Q2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45930.725208333344</v>
      </c>
      <c r="R254" s="105">
        <f ca="1">MAX(Tabel3[[#This Row],[jour]]+$R$3,IF(ROW()-ROW(Tabel3[[#Headers],[debut]])=1,DATE(2025,9,1)+$R$3,OFFSET(Tabel3[[#This Row],[fin]],-1,)))</f>
        <v>45939.514027777797</v>
      </c>
      <c r="S2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45939.526944444464</v>
      </c>
      <c r="T254" s="102">
        <f ca="1">--(Tabel3[[#This Row],[jour]]&lt;&gt;TRUNC(Tabel3[[#This Row],[fin]]))</f>
        <v>1</v>
      </c>
      <c r="U254" s="102">
        <f ca="1">IF(Tabel3[[#This Row],[Type]]="j0",0,--(TRUNC(Tabel3[[#This Row],[debut]])-TRUNC(Tabel3[[#This Row],[fin precedent]])&lt;Tabel3[[#This Row],[delai]]))</f>
        <v>0</v>
      </c>
    </row>
    <row r="255" spans="12:21" ht="18" customHeight="1" x14ac:dyDescent="0.2">
      <c r="L255" s="98" t="s">
        <v>142</v>
      </c>
      <c r="M255" s="98" t="s">
        <v>39</v>
      </c>
      <c r="N255" s="104">
        <v>45928</v>
      </c>
      <c r="O255" s="98">
        <v>24</v>
      </c>
      <c r="P255" s="98">
        <f>INDEX($C$1:$I$1,MATCH(Tabel3[[#This Row],[Type]],Devoirs[[#Headers],[J0]:[J60]],0))</f>
        <v>4</v>
      </c>
      <c r="Q255" s="105" cm="1">
        <f t="array" aca="1" ref="Q2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45930.74604166668</v>
      </c>
      <c r="R255" s="105">
        <f ca="1">MAX(Tabel3[[#This Row],[jour]]+$R$3,IF(ROW()-ROW(Tabel3[[#Headers],[debut]])=1,DATE(2025,9,1)+$R$3,OFFSET(Tabel3[[#This Row],[fin]],-1,)))</f>
        <v>45939.526944444464</v>
      </c>
      <c r="S2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45939.543611111134</v>
      </c>
      <c r="T255" s="102">
        <f ca="1">--(Tabel3[[#This Row],[jour]]&lt;&gt;TRUNC(Tabel3[[#This Row],[fin]]))</f>
        <v>1</v>
      </c>
      <c r="U255" s="102">
        <f ca="1">IF(Tabel3[[#This Row],[Type]]="j0",0,--(TRUNC(Tabel3[[#This Row],[debut]])-TRUNC(Tabel3[[#This Row],[fin precedent]])&lt;Tabel3[[#This Row],[delai]]))</f>
        <v>0</v>
      </c>
    </row>
    <row r="256" spans="12:21" ht="18" customHeight="1" x14ac:dyDescent="0.2">
      <c r="L256" s="98" t="s">
        <v>75</v>
      </c>
      <c r="M256" s="98" t="s">
        <v>39</v>
      </c>
      <c r="N256" s="104">
        <v>45928</v>
      </c>
      <c r="O256" s="98">
        <v>36</v>
      </c>
      <c r="P256" s="98">
        <f>INDEX($C$1:$I$1,MATCH(Tabel3[[#This Row],[Type]],Devoirs[[#Headers],[J0]:[J60]],0))</f>
        <v>4</v>
      </c>
      <c r="Q256" s="105" cm="1">
        <f t="array" aca="1" ref="Q2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45931.360625000016</v>
      </c>
      <c r="R256" s="105">
        <f ca="1">MAX(Tabel3[[#This Row],[jour]]+$R$3,IF(ROW()-ROW(Tabel3[[#Headers],[debut]])=1,DATE(2025,9,1)+$R$3,OFFSET(Tabel3[[#This Row],[fin]],-1,)))</f>
        <v>45939.543611111134</v>
      </c>
      <c r="S2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45939.568611111135</v>
      </c>
      <c r="T256" s="102">
        <f ca="1">--(Tabel3[[#This Row],[jour]]&lt;&gt;TRUNC(Tabel3[[#This Row],[fin]]))</f>
        <v>1</v>
      </c>
      <c r="U256" s="102">
        <f ca="1">IF(Tabel3[[#This Row],[Type]]="j0",0,--(TRUNC(Tabel3[[#This Row],[debut]])-TRUNC(Tabel3[[#This Row],[fin precedent]])&lt;Tabel3[[#This Row],[delai]]))</f>
        <v>0</v>
      </c>
    </row>
    <row r="257" spans="12:21" ht="18" customHeight="1" x14ac:dyDescent="0.2">
      <c r="L257" s="98" t="s">
        <v>57</v>
      </c>
      <c r="M257" s="98" t="s">
        <v>39</v>
      </c>
      <c r="N257" s="104">
        <v>45928</v>
      </c>
      <c r="O257" s="98">
        <v>43.8</v>
      </c>
      <c r="P257" s="98">
        <f>INDEX($C$1:$I$1,MATCH(Tabel3[[#This Row],[Type]],Devoirs[[#Headers],[J0]:[J60]],0))</f>
        <v>4</v>
      </c>
      <c r="Q257" s="105" cm="1">
        <f t="array" aca="1" ref="Q2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45931.398645833346</v>
      </c>
      <c r="R257" s="105">
        <f ca="1">MAX(Tabel3[[#This Row],[jour]]+$R$3,IF(ROW()-ROW(Tabel3[[#Headers],[debut]])=1,DATE(2025,9,1)+$R$3,OFFSET(Tabel3[[#This Row],[fin]],-1,)))</f>
        <v>45939.568611111135</v>
      </c>
      <c r="S2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45939.599027777804</v>
      </c>
      <c r="T257" s="102">
        <f ca="1">--(Tabel3[[#This Row],[jour]]&lt;&gt;TRUNC(Tabel3[[#This Row],[fin]]))</f>
        <v>1</v>
      </c>
      <c r="U257" s="102">
        <f ca="1">IF(Tabel3[[#This Row],[Type]]="j0",0,--(TRUNC(Tabel3[[#This Row],[debut]])-TRUNC(Tabel3[[#This Row],[fin precedent]])&lt;Tabel3[[#This Row],[delai]]))</f>
        <v>0</v>
      </c>
    </row>
    <row r="258" spans="12:21" ht="18" customHeight="1" x14ac:dyDescent="0.2">
      <c r="L258" s="98" t="s">
        <v>72</v>
      </c>
      <c r="M258" s="98" t="s">
        <v>39</v>
      </c>
      <c r="N258" s="104">
        <v>45928</v>
      </c>
      <c r="O258" s="98">
        <v>49.199999999999996</v>
      </c>
      <c r="P258" s="98">
        <f>INDEX($C$1:$I$1,MATCH(Tabel3[[#This Row],[Type]],Devoirs[[#Headers],[J0]:[J60]],0))</f>
        <v>4</v>
      </c>
      <c r="Q258" s="105" cm="1">
        <f t="array" aca="1" ref="Q2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45931.44135416668</v>
      </c>
      <c r="R258" s="105">
        <f ca="1">MAX(Tabel3[[#This Row],[jour]]+$R$3,IF(ROW()-ROW(Tabel3[[#Headers],[debut]])=1,DATE(2025,9,1)+$R$3,OFFSET(Tabel3[[#This Row],[fin]],-1,)))</f>
        <v>45939.599027777804</v>
      </c>
      <c r="S2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45939.633194444468</v>
      </c>
      <c r="T258" s="102">
        <f ca="1">--(Tabel3[[#This Row],[jour]]&lt;&gt;TRUNC(Tabel3[[#This Row],[fin]]))</f>
        <v>1</v>
      </c>
      <c r="U258" s="102">
        <f ca="1">IF(Tabel3[[#This Row],[Type]]="j0",0,--(TRUNC(Tabel3[[#This Row],[debut]])-TRUNC(Tabel3[[#This Row],[fin precedent]])&lt;Tabel3[[#This Row],[delai]]))</f>
        <v>0</v>
      </c>
    </row>
    <row r="259" spans="12:21" ht="18" customHeight="1" x14ac:dyDescent="0.2">
      <c r="L259" s="98" t="s">
        <v>92</v>
      </c>
      <c r="M259" s="98" t="s">
        <v>39</v>
      </c>
      <c r="N259" s="104">
        <v>45928</v>
      </c>
      <c r="O259" s="98">
        <v>59.4</v>
      </c>
      <c r="P259" s="98">
        <f>INDEX($C$1:$I$1,MATCH(Tabel3[[#This Row],[Type]],Devoirs[[#Headers],[J0]:[J60]],0))</f>
        <v>4</v>
      </c>
      <c r="Q259" s="105" cm="1">
        <f t="array" aca="1" ref="Q2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45931.492916666677</v>
      </c>
      <c r="R259" s="105">
        <f ca="1">MAX(Tabel3[[#This Row],[jour]]+$R$3,IF(ROW()-ROW(Tabel3[[#Headers],[debut]])=1,DATE(2025,9,1)+$R$3,OFFSET(Tabel3[[#This Row],[fin]],-1,)))</f>
        <v>45939.633194444468</v>
      </c>
      <c r="S2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45939.67444444447</v>
      </c>
      <c r="T259" s="102">
        <f ca="1">--(Tabel3[[#This Row],[jour]]&lt;&gt;TRUNC(Tabel3[[#This Row],[fin]]))</f>
        <v>1</v>
      </c>
      <c r="U259" s="102">
        <f ca="1">IF(Tabel3[[#This Row],[Type]]="j0",0,--(TRUNC(Tabel3[[#This Row],[debut]])-TRUNC(Tabel3[[#This Row],[fin precedent]])&lt;Tabel3[[#This Row],[delai]]))</f>
        <v>0</v>
      </c>
    </row>
    <row r="260" spans="12:21" ht="18" customHeight="1" x14ac:dyDescent="0.2">
      <c r="L260" s="98" t="s">
        <v>127</v>
      </c>
      <c r="M260" s="98" t="s">
        <v>39</v>
      </c>
      <c r="N260" s="104">
        <v>45928</v>
      </c>
      <c r="O260" s="98">
        <v>64.2</v>
      </c>
      <c r="P260" s="98">
        <f>INDEX($C$1:$I$1,MATCH(Tabel3[[#This Row],[Type]],Devoirs[[#Headers],[J0]:[J60]],0))</f>
        <v>4</v>
      </c>
      <c r="Q260" s="105" cm="1">
        <f t="array" aca="1" ref="Q2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45931.548645833347</v>
      </c>
      <c r="R260" s="105">
        <f ca="1">MAX(Tabel3[[#This Row],[jour]]+$R$3,IF(ROW()-ROW(Tabel3[[#Headers],[debut]])=1,DATE(2025,9,1)+$R$3,OFFSET(Tabel3[[#This Row],[fin]],-1,)))</f>
        <v>45939.67444444447</v>
      </c>
      <c r="S2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45939.719027777806</v>
      </c>
      <c r="T260" s="102">
        <f ca="1">--(Tabel3[[#This Row],[jour]]&lt;&gt;TRUNC(Tabel3[[#This Row],[fin]]))</f>
        <v>1</v>
      </c>
      <c r="U260" s="102">
        <f ca="1">IF(Tabel3[[#This Row],[Type]]="j0",0,--(TRUNC(Tabel3[[#This Row],[debut]])-TRUNC(Tabel3[[#This Row],[fin precedent]])&lt;Tabel3[[#This Row],[delai]]))</f>
        <v>0</v>
      </c>
    </row>
    <row r="261" spans="12:21" ht="18" customHeight="1" x14ac:dyDescent="0.2">
      <c r="L261" s="98" t="s">
        <v>86</v>
      </c>
      <c r="M261" s="98" t="s">
        <v>39</v>
      </c>
      <c r="N261" s="104">
        <v>45928</v>
      </c>
      <c r="O261" s="98">
        <v>66</v>
      </c>
      <c r="P261" s="98">
        <f>INDEX($C$1:$I$1,MATCH(Tabel3[[#This Row],[Type]],Devoirs[[#Headers],[J0]:[J60]],0))</f>
        <v>4</v>
      </c>
      <c r="Q261" s="105" cm="1">
        <f t="array" aca="1" ref="Q2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45931.605937500011</v>
      </c>
      <c r="R261" s="105">
        <f ca="1">MAX(Tabel3[[#This Row],[jour]]+$R$3,IF(ROW()-ROW(Tabel3[[#Headers],[debut]])=1,DATE(2025,9,1)+$R$3,OFFSET(Tabel3[[#This Row],[fin]],-1,)))</f>
        <v>45939.719027777806</v>
      </c>
      <c r="S2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45940.348194444472</v>
      </c>
      <c r="T261" s="102">
        <f ca="1">--(Tabel3[[#This Row],[jour]]&lt;&gt;TRUNC(Tabel3[[#This Row],[fin]]))</f>
        <v>1</v>
      </c>
      <c r="U261" s="102">
        <f ca="1">IF(Tabel3[[#This Row],[Type]]="j0",0,--(TRUNC(Tabel3[[#This Row],[debut]])-TRUNC(Tabel3[[#This Row],[fin precedent]])&lt;Tabel3[[#This Row],[delai]]))</f>
        <v>0</v>
      </c>
    </row>
    <row r="262" spans="12:21" ht="18" customHeight="1" x14ac:dyDescent="0.2">
      <c r="L262" s="98" t="s">
        <v>136</v>
      </c>
      <c r="M262" s="98" t="s">
        <v>38</v>
      </c>
      <c r="N262" s="104">
        <v>45929</v>
      </c>
      <c r="O262" s="98">
        <v>43.5</v>
      </c>
      <c r="P262" s="98">
        <f>INDEX($C$1:$I$1,MATCH(Tabel3[[#This Row],[Type]],Devoirs[[#Headers],[J0]:[J60]],0))</f>
        <v>4</v>
      </c>
      <c r="Q262" s="105" cm="1">
        <f t="array" aca="1" ref="Q2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45933.634583333362</v>
      </c>
      <c r="R262" s="105">
        <f ca="1">MAX(Tabel3[[#This Row],[jour]]+$R$3,IF(ROW()-ROW(Tabel3[[#Headers],[debut]])=1,DATE(2025,9,1)+$R$3,OFFSET(Tabel3[[#This Row],[fin]],-1,)))</f>
        <v>45940.348194444472</v>
      </c>
      <c r="S2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45940.378402777802</v>
      </c>
      <c r="T262" s="102">
        <f ca="1">--(Tabel3[[#This Row],[jour]]&lt;&gt;TRUNC(Tabel3[[#This Row],[fin]]))</f>
        <v>1</v>
      </c>
      <c r="U262" s="102">
        <f ca="1">IF(Tabel3[[#This Row],[Type]]="j0",0,--(TRUNC(Tabel3[[#This Row],[debut]])-TRUNC(Tabel3[[#This Row],[fin precedent]])&lt;Tabel3[[#This Row],[delai]]))</f>
        <v>0</v>
      </c>
    </row>
    <row r="263" spans="12:21" ht="18" customHeight="1" x14ac:dyDescent="0.2">
      <c r="L263" s="98" t="s">
        <v>93</v>
      </c>
      <c r="M263" s="98" t="s">
        <v>38</v>
      </c>
      <c r="N263" s="104">
        <v>45929</v>
      </c>
      <c r="O263" s="98">
        <v>58.5</v>
      </c>
      <c r="P263" s="98">
        <f>INDEX($C$1:$I$1,MATCH(Tabel3[[#This Row],[Type]],Devoirs[[#Headers],[J0]:[J60]],0))</f>
        <v>4</v>
      </c>
      <c r="Q263" s="105" cm="1">
        <f t="array" aca="1" ref="Q2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45933.683333333363</v>
      </c>
      <c r="R263" s="105">
        <f ca="1">MAX(Tabel3[[#This Row],[jour]]+$R$3,IF(ROW()-ROW(Tabel3[[#Headers],[debut]])=1,DATE(2025,9,1)+$R$3,OFFSET(Tabel3[[#This Row],[fin]],-1,)))</f>
        <v>45940.378402777802</v>
      </c>
      <c r="S2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45940.419027777803</v>
      </c>
      <c r="T263" s="102">
        <f ca="1">--(Tabel3[[#This Row],[jour]]&lt;&gt;TRUNC(Tabel3[[#This Row],[fin]]))</f>
        <v>1</v>
      </c>
      <c r="U263" s="102">
        <f ca="1">IF(Tabel3[[#This Row],[Type]]="j0",0,--(TRUNC(Tabel3[[#This Row],[debut]])-TRUNC(Tabel3[[#This Row],[fin precedent]])&lt;Tabel3[[#This Row],[delai]]))</f>
        <v>0</v>
      </c>
    </row>
    <row r="264" spans="12:21" ht="18" customHeight="1" x14ac:dyDescent="0.2">
      <c r="L264" s="98" t="s">
        <v>45</v>
      </c>
      <c r="M264" s="98" t="s">
        <v>38</v>
      </c>
      <c r="N264" s="104">
        <v>45929</v>
      </c>
      <c r="O264" s="98">
        <v>61.5</v>
      </c>
      <c r="P264" s="98">
        <f>INDEX($C$1:$I$1,MATCH(Tabel3[[#This Row],[Type]],Devoirs[[#Headers],[J0]:[J60]],0))</f>
        <v>4</v>
      </c>
      <c r="Q264" s="105" cm="1">
        <f t="array" aca="1" ref="Q2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45933.73458333336</v>
      </c>
      <c r="R264" s="105">
        <f ca="1">MAX(Tabel3[[#This Row],[jour]]+$R$3,IF(ROW()-ROW(Tabel3[[#Headers],[debut]])=1,DATE(2025,9,1)+$R$3,OFFSET(Tabel3[[#This Row],[fin]],-1,)))</f>
        <v>45940.419027777803</v>
      </c>
      <c r="S2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45940.461736111138</v>
      </c>
      <c r="T264" s="102">
        <f ca="1">--(Tabel3[[#This Row],[jour]]&lt;&gt;TRUNC(Tabel3[[#This Row],[fin]]))</f>
        <v>1</v>
      </c>
      <c r="U264" s="102">
        <f ca="1">IF(Tabel3[[#This Row],[Type]]="j0",0,--(TRUNC(Tabel3[[#This Row],[debut]])-TRUNC(Tabel3[[#This Row],[fin precedent]])&lt;Tabel3[[#This Row],[delai]]))</f>
        <v>0</v>
      </c>
    </row>
    <row r="265" spans="12:21" ht="18" customHeight="1" x14ac:dyDescent="0.2">
      <c r="L265" s="98" t="s">
        <v>134</v>
      </c>
      <c r="M265" s="98" t="s">
        <v>38</v>
      </c>
      <c r="N265" s="104">
        <v>45929</v>
      </c>
      <c r="O265" s="98">
        <v>76.5</v>
      </c>
      <c r="P265" s="98">
        <f>INDEX($C$1:$I$1,MATCH(Tabel3[[#This Row],[Type]],Devoirs[[#Headers],[J0]:[J60]],0))</f>
        <v>4</v>
      </c>
      <c r="Q265" s="105" cm="1">
        <f t="array" aca="1" ref="Q2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45936.381666666697</v>
      </c>
      <c r="R265" s="105">
        <f ca="1">MAX(Tabel3[[#This Row],[jour]]+$R$3,IF(ROW()-ROW(Tabel3[[#Headers],[debut]])=1,DATE(2025,9,1)+$R$3,OFFSET(Tabel3[[#This Row],[fin]],-1,)))</f>
        <v>45940.461736111138</v>
      </c>
      <c r="S2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45940.514861111136</v>
      </c>
      <c r="T265" s="102">
        <f ca="1">--(Tabel3[[#This Row],[jour]]&lt;&gt;TRUNC(Tabel3[[#This Row],[fin]]))</f>
        <v>1</v>
      </c>
      <c r="U265" s="102">
        <f ca="1">IF(Tabel3[[#This Row],[Type]]="j0",0,--(TRUNC(Tabel3[[#This Row],[debut]])-TRUNC(Tabel3[[#This Row],[fin precedent]])&lt;Tabel3[[#This Row],[delai]]))</f>
        <v>0</v>
      </c>
    </row>
    <row r="266" spans="12:21" ht="18" customHeight="1" x14ac:dyDescent="0.2">
      <c r="L266" s="98" t="s">
        <v>48</v>
      </c>
      <c r="M266" s="98" t="s">
        <v>39</v>
      </c>
      <c r="N266" s="104">
        <v>45929</v>
      </c>
      <c r="O266" s="98">
        <v>19.2</v>
      </c>
      <c r="P266" s="98">
        <f>INDEX($C$1:$I$1,MATCH(Tabel3[[#This Row],[Type]],Devoirs[[#Headers],[J0]:[J60]],0))</f>
        <v>4</v>
      </c>
      <c r="Q266" s="105" cm="1">
        <f t="array" aca="1" ref="Q2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45933.432708333363</v>
      </c>
      <c r="R266" s="105">
        <f ca="1">MAX(Tabel3[[#This Row],[jour]]+$R$3,IF(ROW()-ROW(Tabel3[[#Headers],[debut]])=1,DATE(2025,9,1)+$R$3,OFFSET(Tabel3[[#This Row],[fin]],-1,)))</f>
        <v>45940.514861111136</v>
      </c>
      <c r="S2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45940.528194444472</v>
      </c>
      <c r="T266" s="102">
        <f ca="1">--(Tabel3[[#This Row],[jour]]&lt;&gt;TRUNC(Tabel3[[#This Row],[fin]]))</f>
        <v>1</v>
      </c>
      <c r="U266" s="102">
        <f ca="1">IF(Tabel3[[#This Row],[Type]]="j0",0,--(TRUNC(Tabel3[[#This Row],[debut]])-TRUNC(Tabel3[[#This Row],[fin precedent]])&lt;Tabel3[[#This Row],[delai]]))</f>
        <v>0</v>
      </c>
    </row>
    <row r="267" spans="12:21" ht="18" customHeight="1" x14ac:dyDescent="0.2">
      <c r="L267" s="98" t="s">
        <v>58</v>
      </c>
      <c r="M267" s="98" t="s">
        <v>39</v>
      </c>
      <c r="N267" s="104">
        <v>45929</v>
      </c>
      <c r="O267" s="98">
        <v>33.6</v>
      </c>
      <c r="P267" s="98">
        <f>INDEX($C$1:$I$1,MATCH(Tabel3[[#This Row],[Type]],Devoirs[[#Headers],[J0]:[J60]],0))</f>
        <v>4</v>
      </c>
      <c r="Q267" s="105" cm="1">
        <f t="array" aca="1" ref="Q2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45933.46187500003</v>
      </c>
      <c r="R267" s="105">
        <f ca="1">MAX(Tabel3[[#This Row],[jour]]+$R$3,IF(ROW()-ROW(Tabel3[[#Headers],[debut]])=1,DATE(2025,9,1)+$R$3,OFFSET(Tabel3[[#This Row],[fin]],-1,)))</f>
        <v>45940.528194444472</v>
      </c>
      <c r="S2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45940.551527777803</v>
      </c>
      <c r="T267" s="102">
        <f ca="1">--(Tabel3[[#This Row],[jour]]&lt;&gt;TRUNC(Tabel3[[#This Row],[fin]]))</f>
        <v>1</v>
      </c>
      <c r="U267" s="102">
        <f ca="1">IF(Tabel3[[#This Row],[Type]]="j0",0,--(TRUNC(Tabel3[[#This Row],[debut]])-TRUNC(Tabel3[[#This Row],[fin precedent]])&lt;Tabel3[[#This Row],[delai]]))</f>
        <v>0</v>
      </c>
    </row>
    <row r="268" spans="12:21" ht="18" customHeight="1" x14ac:dyDescent="0.2">
      <c r="L268" s="98" t="s">
        <v>131</v>
      </c>
      <c r="M268" s="98" t="s">
        <v>39</v>
      </c>
      <c r="N268" s="104">
        <v>45929</v>
      </c>
      <c r="O268" s="98">
        <v>33.6</v>
      </c>
      <c r="P268" s="98">
        <f>INDEX($C$1:$I$1,MATCH(Tabel3[[#This Row],[Type]],Devoirs[[#Headers],[J0]:[J60]],0))</f>
        <v>4</v>
      </c>
      <c r="Q268" s="105" cm="1">
        <f t="array" aca="1" ref="Q2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45933.491041666697</v>
      </c>
      <c r="R268" s="105">
        <f ca="1">MAX(Tabel3[[#This Row],[jour]]+$R$3,IF(ROW()-ROW(Tabel3[[#Headers],[debut]])=1,DATE(2025,9,1)+$R$3,OFFSET(Tabel3[[#This Row],[fin]],-1,)))</f>
        <v>45940.551527777803</v>
      </c>
      <c r="S2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45940.574861111134</v>
      </c>
      <c r="T268" s="102">
        <f ca="1">--(Tabel3[[#This Row],[jour]]&lt;&gt;TRUNC(Tabel3[[#This Row],[fin]]))</f>
        <v>1</v>
      </c>
      <c r="U268" s="102">
        <f ca="1">IF(Tabel3[[#This Row],[Type]]="j0",0,--(TRUNC(Tabel3[[#This Row],[debut]])-TRUNC(Tabel3[[#This Row],[fin precedent]])&lt;Tabel3[[#This Row],[delai]]))</f>
        <v>0</v>
      </c>
    </row>
    <row r="269" spans="12:21" ht="18" customHeight="1" x14ac:dyDescent="0.2">
      <c r="L269" s="98" t="s">
        <v>52</v>
      </c>
      <c r="M269" s="98" t="s">
        <v>39</v>
      </c>
      <c r="N269" s="104">
        <v>45929</v>
      </c>
      <c r="O269" s="98">
        <v>61.199999999999996</v>
      </c>
      <c r="P269" s="98">
        <f>INDEX($C$1:$I$1,MATCH(Tabel3[[#This Row],[Type]],Devoirs[[#Headers],[J0]:[J60]],0))</f>
        <v>4</v>
      </c>
      <c r="Q269" s="105" cm="1">
        <f t="array" aca="1" ref="Q26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45933.544166666696</v>
      </c>
      <c r="R269" s="105">
        <f ca="1">MAX(Tabel3[[#This Row],[jour]]+$R$3,IF(ROW()-ROW(Tabel3[[#Headers],[debut]])=1,DATE(2025,9,1)+$R$3,OFFSET(Tabel3[[#This Row],[fin]],-1,)))</f>
        <v>45940.574861111134</v>
      </c>
      <c r="S2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45940.617361111137</v>
      </c>
      <c r="T269" s="102">
        <f ca="1">--(Tabel3[[#This Row],[jour]]&lt;&gt;TRUNC(Tabel3[[#This Row],[fin]]))</f>
        <v>1</v>
      </c>
      <c r="U269" s="102">
        <f ca="1">IF(Tabel3[[#This Row],[Type]]="j0",0,--(TRUNC(Tabel3[[#This Row],[debut]])-TRUNC(Tabel3[[#This Row],[fin precedent]])&lt;Tabel3[[#This Row],[delai]]))</f>
        <v>0</v>
      </c>
    </row>
    <row r="270" spans="12:21" ht="18" customHeight="1" x14ac:dyDescent="0.2">
      <c r="L270" s="98" t="s">
        <v>375</v>
      </c>
      <c r="M270" s="98" t="s">
        <v>39</v>
      </c>
      <c r="N270" s="104">
        <v>45929</v>
      </c>
      <c r="O270" s="98">
        <v>62.4</v>
      </c>
      <c r="P270" s="98">
        <f>INDEX($C$1:$I$1,MATCH(Tabel3[[#This Row],[Type]],Devoirs[[#Headers],[J0]:[J60]],0))</f>
        <v>4</v>
      </c>
      <c r="Q270" s="105" cm="1">
        <f t="array" aca="1" ref="Q27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45933.598333333364</v>
      </c>
      <c r="R270" s="105">
        <f ca="1">MAX(Tabel3[[#This Row],[jour]]+$R$3,IF(ROW()-ROW(Tabel3[[#Headers],[debut]])=1,DATE(2025,9,1)+$R$3,OFFSET(Tabel3[[#This Row],[fin]],-1,)))</f>
        <v>45940.617361111137</v>
      </c>
      <c r="S2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45940.660694444472</v>
      </c>
      <c r="T270" s="102">
        <f ca="1">--(Tabel3[[#This Row],[jour]]&lt;&gt;TRUNC(Tabel3[[#This Row],[fin]]))</f>
        <v>1</v>
      </c>
      <c r="U270" s="102">
        <f ca="1">IF(Tabel3[[#This Row],[Type]]="j0",0,--(TRUNC(Tabel3[[#This Row],[debut]])-TRUNC(Tabel3[[#This Row],[fin precedent]])&lt;Tabel3[[#This Row],[delai]]))</f>
        <v>0</v>
      </c>
    </row>
    <row r="271" spans="12:21" ht="18" customHeight="1" x14ac:dyDescent="0.2">
      <c r="L271" s="98" t="s">
        <v>122</v>
      </c>
      <c r="M271" s="98" t="s">
        <v>1</v>
      </c>
      <c r="N271" s="104">
        <v>45929</v>
      </c>
      <c r="O271" s="98">
        <v>79</v>
      </c>
      <c r="P271" s="98">
        <f>INDEX($C$1:$I$1,MATCH(Tabel3[[#This Row],[Type]],Devoirs[[#Headers],[J0]:[J60]],0))</f>
        <v>0</v>
      </c>
      <c r="Q271" s="105" t="str" cm="1">
        <f t="array" ref="Q27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71" s="105">
        <f ca="1">MAX(Tabel3[[#This Row],[jour]]+$R$3,IF(ROW()-ROW(Tabel3[[#Headers],[debut]])=1,DATE(2025,9,1)+$R$3,OFFSET(Tabel3[[#This Row],[fin]],-1,)))</f>
        <v>45940.660694444472</v>
      </c>
      <c r="S2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45940.71555555558</v>
      </c>
      <c r="T271" s="102">
        <f ca="1">--(Tabel3[[#This Row],[jour]]&lt;&gt;TRUNC(Tabel3[[#This Row],[fin]]))</f>
        <v>1</v>
      </c>
      <c r="U271" s="102">
        <f>IF(Tabel3[[#This Row],[Type]]="j0",0,--(TRUNC(Tabel3[[#This Row],[debut]])-TRUNC(Tabel3[[#This Row],[fin precedent]])&lt;Tabel3[[#This Row],[delai]]))</f>
        <v>0</v>
      </c>
    </row>
    <row r="272" spans="12:21" ht="18" customHeight="1" x14ac:dyDescent="0.2">
      <c r="L272" s="98" t="s">
        <v>77</v>
      </c>
      <c r="M272" s="98" t="s">
        <v>1</v>
      </c>
      <c r="N272" s="104">
        <v>45929</v>
      </c>
      <c r="O272" s="98">
        <v>108</v>
      </c>
      <c r="P272" s="98">
        <f>INDEX($C$1:$I$1,MATCH(Tabel3[[#This Row],[Type]],Devoirs[[#Headers],[J0]:[J60]],0))</f>
        <v>0</v>
      </c>
      <c r="Q272" s="105" t="str" cm="1">
        <f t="array" ref="Q27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72" s="105">
        <f ca="1">MAX(Tabel3[[#This Row],[jour]]+$R$3,IF(ROW()-ROW(Tabel3[[#Headers],[debut]])=1,DATE(2025,9,1)+$R$3,OFFSET(Tabel3[[#This Row],[fin]],-1,)))</f>
        <v>45940.71555555558</v>
      </c>
      <c r="S2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45943.373888888913</v>
      </c>
      <c r="T272" s="102">
        <f ca="1">--(Tabel3[[#This Row],[jour]]&lt;&gt;TRUNC(Tabel3[[#This Row],[fin]]))</f>
        <v>1</v>
      </c>
      <c r="U272" s="102">
        <f>IF(Tabel3[[#This Row],[Type]]="j0",0,--(TRUNC(Tabel3[[#This Row],[debut]])-TRUNC(Tabel3[[#This Row],[fin precedent]])&lt;Tabel3[[#This Row],[delai]]))</f>
        <v>0</v>
      </c>
    </row>
    <row r="273" spans="12:21" ht="18" customHeight="1" x14ac:dyDescent="0.2">
      <c r="L273" s="98" t="s">
        <v>84</v>
      </c>
      <c r="M273" s="98" t="s">
        <v>38</v>
      </c>
      <c r="N273" s="104">
        <v>45930</v>
      </c>
      <c r="O273" s="98">
        <v>30</v>
      </c>
      <c r="P273" s="98">
        <f>INDEX($C$1:$I$1,MATCH(Tabel3[[#This Row],[Type]],Devoirs[[#Headers],[J0]:[J60]],0))</f>
        <v>4</v>
      </c>
      <c r="Q273" s="105" cm="1">
        <f t="array" aca="1" ref="Q2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45936.704861111139</v>
      </c>
      <c r="R273" s="105">
        <f ca="1">MAX(Tabel3[[#This Row],[jour]]+$R$3,IF(ROW()-ROW(Tabel3[[#Headers],[debut]])=1,DATE(2025,9,1)+$R$3,OFFSET(Tabel3[[#This Row],[fin]],-1,)))</f>
        <v>45943.373888888913</v>
      </c>
      <c r="S2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45943.394722222249</v>
      </c>
      <c r="T273" s="102">
        <f ca="1">--(Tabel3[[#This Row],[jour]]&lt;&gt;TRUNC(Tabel3[[#This Row],[fin]]))</f>
        <v>1</v>
      </c>
      <c r="U273" s="102">
        <f ca="1">IF(Tabel3[[#This Row],[Type]]="j0",0,--(TRUNC(Tabel3[[#This Row],[debut]])-TRUNC(Tabel3[[#This Row],[fin precedent]])&lt;Tabel3[[#This Row],[delai]]))</f>
        <v>0</v>
      </c>
    </row>
    <row r="274" spans="12:21" ht="18" customHeight="1" x14ac:dyDescent="0.2">
      <c r="L274" s="98" t="s">
        <v>68</v>
      </c>
      <c r="M274" s="98" t="s">
        <v>38</v>
      </c>
      <c r="N274" s="104">
        <v>45930</v>
      </c>
      <c r="O274" s="98">
        <v>45</v>
      </c>
      <c r="P274" s="98">
        <f>INDEX($C$1:$I$1,MATCH(Tabel3[[#This Row],[Type]],Devoirs[[#Headers],[J0]:[J60]],0))</f>
        <v>4</v>
      </c>
      <c r="Q274" s="105" cm="1">
        <f t="array" aca="1" ref="Q2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45936.742361111137</v>
      </c>
      <c r="R274" s="105">
        <f ca="1">MAX(Tabel3[[#This Row],[jour]]+$R$3,IF(ROW()-ROW(Tabel3[[#Headers],[debut]])=1,DATE(2025,9,1)+$R$3,OFFSET(Tabel3[[#This Row],[fin]],-1,)))</f>
        <v>45943.394722222249</v>
      </c>
      <c r="S2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45943.425972222249</v>
      </c>
      <c r="T274" s="102">
        <f ca="1">--(Tabel3[[#This Row],[jour]]&lt;&gt;TRUNC(Tabel3[[#This Row],[fin]]))</f>
        <v>1</v>
      </c>
      <c r="U274" s="102">
        <f ca="1">IF(Tabel3[[#This Row],[Type]]="j0",0,--(TRUNC(Tabel3[[#This Row],[debut]])-TRUNC(Tabel3[[#This Row],[fin precedent]])&lt;Tabel3[[#This Row],[delai]]))</f>
        <v>0</v>
      </c>
    </row>
    <row r="275" spans="12:21" ht="18" customHeight="1" x14ac:dyDescent="0.2">
      <c r="L275" s="98" t="s">
        <v>121</v>
      </c>
      <c r="M275" s="98" t="s">
        <v>38</v>
      </c>
      <c r="N275" s="104">
        <v>45930</v>
      </c>
      <c r="O275" s="98">
        <v>51.75</v>
      </c>
      <c r="P275" s="98">
        <f>INDEX($C$1:$I$1,MATCH(Tabel3[[#This Row],[Type]],Devoirs[[#Headers],[J0]:[J60]],0))</f>
        <v>4</v>
      </c>
      <c r="Q275" s="105" cm="1">
        <f t="array" aca="1" ref="Q2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45937.368819444469</v>
      </c>
      <c r="R275" s="105">
        <f ca="1">MAX(Tabel3[[#This Row],[jour]]+$R$3,IF(ROW()-ROW(Tabel3[[#Headers],[debut]])=1,DATE(2025,9,1)+$R$3,OFFSET(Tabel3[[#This Row],[fin]],-1,)))</f>
        <v>45943.425972222249</v>
      </c>
      <c r="S2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45943.461909722246</v>
      </c>
      <c r="T275" s="102">
        <f ca="1">--(Tabel3[[#This Row],[jour]]&lt;&gt;TRUNC(Tabel3[[#This Row],[fin]]))</f>
        <v>1</v>
      </c>
      <c r="U275" s="102">
        <f ca="1">IF(Tabel3[[#This Row],[Type]]="j0",0,--(TRUNC(Tabel3[[#This Row],[debut]])-TRUNC(Tabel3[[#This Row],[fin precedent]])&lt;Tabel3[[#This Row],[delai]]))</f>
        <v>0</v>
      </c>
    </row>
    <row r="276" spans="12:21" ht="18" customHeight="1" x14ac:dyDescent="0.2">
      <c r="L276" s="98" t="s">
        <v>112</v>
      </c>
      <c r="M276" s="98" t="s">
        <v>38</v>
      </c>
      <c r="N276" s="104">
        <v>45930</v>
      </c>
      <c r="O276" s="98">
        <v>73.5</v>
      </c>
      <c r="P276" s="98">
        <f>INDEX($C$1:$I$1,MATCH(Tabel3[[#This Row],[Type]],Devoirs[[#Headers],[J0]:[J60]],0))</f>
        <v>4</v>
      </c>
      <c r="Q276" s="105" cm="1">
        <f t="array" aca="1" ref="Q2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45937.430069444468</v>
      </c>
      <c r="R276" s="105">
        <f ca="1">MAX(Tabel3[[#This Row],[jour]]+$R$3,IF(ROW()-ROW(Tabel3[[#Headers],[debut]])=1,DATE(2025,9,1)+$R$3,OFFSET(Tabel3[[#This Row],[fin]],-1,)))</f>
        <v>45943.461909722246</v>
      </c>
      <c r="S2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45943.512951388911</v>
      </c>
      <c r="T276" s="102">
        <f ca="1">--(Tabel3[[#This Row],[jour]]&lt;&gt;TRUNC(Tabel3[[#This Row],[fin]]))</f>
        <v>1</v>
      </c>
      <c r="U276" s="102">
        <f ca="1">IF(Tabel3[[#This Row],[Type]]="j0",0,--(TRUNC(Tabel3[[#This Row],[debut]])-TRUNC(Tabel3[[#This Row],[fin precedent]])&lt;Tabel3[[#This Row],[delai]]))</f>
        <v>0</v>
      </c>
    </row>
    <row r="277" spans="12:21" ht="18" customHeight="1" x14ac:dyDescent="0.2">
      <c r="L277" s="98" t="s">
        <v>100</v>
      </c>
      <c r="M277" s="98" t="s">
        <v>38</v>
      </c>
      <c r="N277" s="104">
        <v>45930</v>
      </c>
      <c r="O277" s="98">
        <v>75</v>
      </c>
      <c r="P277" s="98">
        <f>INDEX($C$1:$I$1,MATCH(Tabel3[[#This Row],[Type]],Devoirs[[#Headers],[J0]:[J60]],0))</f>
        <v>4</v>
      </c>
      <c r="Q277" s="105" cm="1">
        <f t="array" aca="1" ref="Q27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45937.492569444468</v>
      </c>
      <c r="R277" s="105">
        <f ca="1">MAX(Tabel3[[#This Row],[jour]]+$R$3,IF(ROW()-ROW(Tabel3[[#Headers],[debut]])=1,DATE(2025,9,1)+$R$3,OFFSET(Tabel3[[#This Row],[fin]],-1,)))</f>
        <v>45943.512951388911</v>
      </c>
      <c r="S2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45943.565034722247</v>
      </c>
      <c r="T277" s="102">
        <f ca="1">--(Tabel3[[#This Row],[jour]]&lt;&gt;TRUNC(Tabel3[[#This Row],[fin]]))</f>
        <v>1</v>
      </c>
      <c r="U277" s="102">
        <f ca="1">IF(Tabel3[[#This Row],[Type]]="j0",0,--(TRUNC(Tabel3[[#This Row],[debut]])-TRUNC(Tabel3[[#This Row],[fin precedent]])&lt;Tabel3[[#This Row],[delai]]))</f>
        <v>0</v>
      </c>
    </row>
    <row r="278" spans="12:21" ht="18" customHeight="1" x14ac:dyDescent="0.2">
      <c r="L278" s="98" t="s">
        <v>101</v>
      </c>
      <c r="M278" s="98" t="s">
        <v>38</v>
      </c>
      <c r="N278" s="104">
        <v>45930</v>
      </c>
      <c r="O278" s="98">
        <v>75</v>
      </c>
      <c r="P278" s="98">
        <f>INDEX($C$1:$I$1,MATCH(Tabel3[[#This Row],[Type]],Devoirs[[#Headers],[J0]:[J60]],0))</f>
        <v>4</v>
      </c>
      <c r="Q278" s="105" cm="1">
        <f t="array" aca="1" ref="Q27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45937.555069444468</v>
      </c>
      <c r="R278" s="105">
        <f ca="1">MAX(Tabel3[[#This Row],[jour]]+$R$3,IF(ROW()-ROW(Tabel3[[#Headers],[debut]])=1,DATE(2025,9,1)+$R$3,OFFSET(Tabel3[[#This Row],[fin]],-1,)))</f>
        <v>45943.565034722247</v>
      </c>
      <c r="S2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45943.617118055583</v>
      </c>
      <c r="T278" s="102">
        <f ca="1">--(Tabel3[[#This Row],[jour]]&lt;&gt;TRUNC(Tabel3[[#This Row],[fin]]))</f>
        <v>1</v>
      </c>
      <c r="U278" s="102">
        <f ca="1">IF(Tabel3[[#This Row],[Type]]="j0",0,--(TRUNC(Tabel3[[#This Row],[debut]])-TRUNC(Tabel3[[#This Row],[fin precedent]])&lt;Tabel3[[#This Row],[delai]]))</f>
        <v>0</v>
      </c>
    </row>
    <row r="279" spans="12:21" ht="18" customHeight="1" x14ac:dyDescent="0.2">
      <c r="L279" s="98" t="s">
        <v>110</v>
      </c>
      <c r="M279" s="98" t="s">
        <v>38</v>
      </c>
      <c r="N279" s="104">
        <v>45930</v>
      </c>
      <c r="O279" s="98">
        <v>75</v>
      </c>
      <c r="P279" s="98">
        <f>INDEX($C$1:$I$1,MATCH(Tabel3[[#This Row],[Type]],Devoirs[[#Headers],[J0]:[J60]],0))</f>
        <v>4</v>
      </c>
      <c r="Q279" s="105" cm="1">
        <f t="array" aca="1" ref="Q27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45937.617569444468</v>
      </c>
      <c r="R279" s="105">
        <f ca="1">MAX(Tabel3[[#This Row],[jour]]+$R$3,IF(ROW()-ROW(Tabel3[[#Headers],[debut]])=1,DATE(2025,9,1)+$R$3,OFFSET(Tabel3[[#This Row],[fin]],-1,)))</f>
        <v>45943.617118055583</v>
      </c>
      <c r="S2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45943.669201388919</v>
      </c>
      <c r="T279" s="102">
        <f ca="1">--(Tabel3[[#This Row],[jour]]&lt;&gt;TRUNC(Tabel3[[#This Row],[fin]]))</f>
        <v>1</v>
      </c>
      <c r="U279" s="102">
        <f ca="1">IF(Tabel3[[#This Row],[Type]]="j0",0,--(TRUNC(Tabel3[[#This Row],[debut]])-TRUNC(Tabel3[[#This Row],[fin precedent]])&lt;Tabel3[[#This Row],[delai]]))</f>
        <v>0</v>
      </c>
    </row>
    <row r="280" spans="12:21" ht="18" customHeight="1" x14ac:dyDescent="0.2">
      <c r="L280" s="98" t="s">
        <v>44</v>
      </c>
      <c r="M280" s="98" t="s">
        <v>40</v>
      </c>
      <c r="N280" s="104">
        <v>45930</v>
      </c>
      <c r="O280" s="98">
        <v>43.2</v>
      </c>
      <c r="P280" s="98">
        <f>INDEX($C$1:$I$1,MATCH(Tabel3[[#This Row],[Type]],Devoirs[[#Headers],[J0]:[J60]],0))</f>
        <v>5</v>
      </c>
      <c r="Q280" s="105" cm="1">
        <f t="array" aca="1" ref="Q28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45936.421666666698</v>
      </c>
      <c r="R280" s="105">
        <f ca="1">MAX(Tabel3[[#This Row],[jour]]+$R$3,IF(ROW()-ROW(Tabel3[[#Headers],[debut]])=1,DATE(2025,9,1)+$R$3,OFFSET(Tabel3[[#This Row],[fin]],-1,)))</f>
        <v>45943.669201388919</v>
      </c>
      <c r="S2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45943.699201388918</v>
      </c>
      <c r="T280" s="102">
        <f ca="1">--(Tabel3[[#This Row],[jour]]&lt;&gt;TRUNC(Tabel3[[#This Row],[fin]]))</f>
        <v>1</v>
      </c>
      <c r="U280" s="102">
        <f ca="1">IF(Tabel3[[#This Row],[Type]]="j0",0,--(TRUNC(Tabel3[[#This Row],[debut]])-TRUNC(Tabel3[[#This Row],[fin precedent]])&lt;Tabel3[[#This Row],[delai]]))</f>
        <v>0</v>
      </c>
    </row>
    <row r="281" spans="12:21" ht="18" customHeight="1" x14ac:dyDescent="0.2">
      <c r="L281" s="98" t="s">
        <v>108</v>
      </c>
      <c r="M281" s="98" t="s">
        <v>40</v>
      </c>
      <c r="N281" s="104">
        <v>45930</v>
      </c>
      <c r="O281" s="98">
        <v>50.85</v>
      </c>
      <c r="P281" s="98">
        <f>INDEX($C$1:$I$1,MATCH(Tabel3[[#This Row],[Type]],Devoirs[[#Headers],[J0]:[J60]],0))</f>
        <v>5</v>
      </c>
      <c r="Q281" s="105" cm="1">
        <f t="array" aca="1" ref="Q28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45936.468750000029</v>
      </c>
      <c r="R281" s="105">
        <f ca="1">MAX(Tabel3[[#This Row],[jour]]+$R$3,IF(ROW()-ROW(Tabel3[[#Headers],[debut]])=1,DATE(2025,9,1)+$R$3,OFFSET(Tabel3[[#This Row],[fin]],-1,)))</f>
        <v>45943.699201388918</v>
      </c>
      <c r="S2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45943.734513888914</v>
      </c>
      <c r="T281" s="102">
        <f ca="1">--(Tabel3[[#This Row],[jour]]&lt;&gt;TRUNC(Tabel3[[#This Row],[fin]]))</f>
        <v>1</v>
      </c>
      <c r="U281" s="102">
        <f ca="1">IF(Tabel3[[#This Row],[Type]]="j0",0,--(TRUNC(Tabel3[[#This Row],[debut]])-TRUNC(Tabel3[[#This Row],[fin precedent]])&lt;Tabel3[[#This Row],[delai]]))</f>
        <v>0</v>
      </c>
    </row>
    <row r="282" spans="12:21" ht="18" customHeight="1" x14ac:dyDescent="0.2">
      <c r="L282" s="98" t="s">
        <v>47</v>
      </c>
      <c r="M282" s="98" t="s">
        <v>1</v>
      </c>
      <c r="N282" s="104">
        <v>45930</v>
      </c>
      <c r="O282" s="98">
        <v>59</v>
      </c>
      <c r="P282" s="98">
        <f>INDEX($C$1:$I$1,MATCH(Tabel3[[#This Row],[Type]],Devoirs[[#Headers],[J0]:[J60]],0))</f>
        <v>0</v>
      </c>
      <c r="Q282" s="105" t="str" cm="1">
        <f t="array" ref="Q28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82" s="105">
        <f ca="1">MAX(Tabel3[[#This Row],[jour]]+$R$3,IF(ROW()-ROW(Tabel3[[#Headers],[debut]])=1,DATE(2025,9,1)+$R$3,OFFSET(Tabel3[[#This Row],[fin]],-1,)))</f>
        <v>45943.734513888914</v>
      </c>
      <c r="S2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45944.358819444475</v>
      </c>
      <c r="T282" s="102">
        <f ca="1">--(Tabel3[[#This Row],[jour]]&lt;&gt;TRUNC(Tabel3[[#This Row],[fin]]))</f>
        <v>1</v>
      </c>
      <c r="U282" s="102">
        <f>IF(Tabel3[[#This Row],[Type]]="j0",0,--(TRUNC(Tabel3[[#This Row],[debut]])-TRUNC(Tabel3[[#This Row],[fin precedent]])&lt;Tabel3[[#This Row],[delai]]))</f>
        <v>0</v>
      </c>
    </row>
    <row r="283" spans="12:21" ht="18" customHeight="1" x14ac:dyDescent="0.2">
      <c r="L283" s="98" t="s">
        <v>76</v>
      </c>
      <c r="M283" s="98" t="s">
        <v>1</v>
      </c>
      <c r="N283" s="104">
        <v>45930</v>
      </c>
      <c r="O283" s="98">
        <v>114</v>
      </c>
      <c r="P283" s="98">
        <f>INDEX($C$1:$I$1,MATCH(Tabel3[[#This Row],[Type]],Devoirs[[#Headers],[J0]:[J60]],0))</f>
        <v>0</v>
      </c>
      <c r="Q283" s="105" t="str" cm="1">
        <f t="array" ref="Q283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83" s="105">
        <f ca="1">MAX(Tabel3[[#This Row],[jour]]+$R$3,IF(ROW()-ROW(Tabel3[[#Headers],[debut]])=1,DATE(2025,9,1)+$R$3,OFFSET(Tabel3[[#This Row],[fin]],-1,)))</f>
        <v>45944.358819444475</v>
      </c>
      <c r="S2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45944.437986111145</v>
      </c>
      <c r="T283" s="102">
        <f ca="1">--(Tabel3[[#This Row],[jour]]&lt;&gt;TRUNC(Tabel3[[#This Row],[fin]]))</f>
        <v>1</v>
      </c>
      <c r="U283" s="102">
        <f>IF(Tabel3[[#This Row],[Type]]="j0",0,--(TRUNC(Tabel3[[#This Row],[debut]])-TRUNC(Tabel3[[#This Row],[fin precedent]])&lt;Tabel3[[#This Row],[delai]]))</f>
        <v>0</v>
      </c>
    </row>
    <row r="284" spans="12:21" ht="18" customHeight="1" x14ac:dyDescent="0.2">
      <c r="L284" s="98" t="s">
        <v>49</v>
      </c>
      <c r="M284" s="98" t="s">
        <v>1</v>
      </c>
      <c r="N284" s="104">
        <v>45930</v>
      </c>
      <c r="O284" s="98">
        <v>118</v>
      </c>
      <c r="P284" s="98">
        <f>INDEX($C$1:$I$1,MATCH(Tabel3[[#This Row],[Type]],Devoirs[[#Headers],[J0]:[J60]],0))</f>
        <v>0</v>
      </c>
      <c r="Q284" s="105" t="str" cm="1">
        <f t="array" ref="Q284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84" s="105">
        <f ca="1">MAX(Tabel3[[#This Row],[jour]]+$R$3,IF(ROW()-ROW(Tabel3[[#Headers],[debut]])=1,DATE(2025,9,1)+$R$3,OFFSET(Tabel3[[#This Row],[fin]],-1,)))</f>
        <v>45944.437986111145</v>
      </c>
      <c r="S2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45944.519930555587</v>
      </c>
      <c r="T284" s="102">
        <f ca="1">--(Tabel3[[#This Row],[jour]]&lt;&gt;TRUNC(Tabel3[[#This Row],[fin]]))</f>
        <v>1</v>
      </c>
      <c r="U284" s="102">
        <f>IF(Tabel3[[#This Row],[Type]]="j0",0,--(TRUNC(Tabel3[[#This Row],[debut]])-TRUNC(Tabel3[[#This Row],[fin precedent]])&lt;Tabel3[[#This Row],[delai]]))</f>
        <v>0</v>
      </c>
    </row>
    <row r="285" spans="12:21" ht="18" customHeight="1" x14ac:dyDescent="0.2">
      <c r="L285" s="98" t="s">
        <v>119</v>
      </c>
      <c r="M285" s="98" t="s">
        <v>38</v>
      </c>
      <c r="N285" s="104">
        <v>45931</v>
      </c>
      <c r="O285" s="98">
        <v>25.5</v>
      </c>
      <c r="P285" s="98">
        <f>INDEX($C$1:$I$1,MATCH(Tabel3[[#This Row],[Type]],Devoirs[[#Headers],[J0]:[J60]],0))</f>
        <v>4</v>
      </c>
      <c r="Q285" s="105" cm="1">
        <f t="array" aca="1" ref="Q28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45938.357881944466</v>
      </c>
      <c r="R285" s="105">
        <f ca="1">MAX(Tabel3[[#This Row],[jour]]+$R$3,IF(ROW()-ROW(Tabel3[[#Headers],[debut]])=1,DATE(2025,9,1)+$R$3,OFFSET(Tabel3[[#This Row],[fin]],-1,)))</f>
        <v>45944.519930555587</v>
      </c>
      <c r="S2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45944.53763888892</v>
      </c>
      <c r="T285" s="102">
        <f ca="1">--(Tabel3[[#This Row],[jour]]&lt;&gt;TRUNC(Tabel3[[#This Row],[fin]]))</f>
        <v>1</v>
      </c>
      <c r="U285" s="102">
        <f ca="1">IF(Tabel3[[#This Row],[Type]]="j0",0,--(TRUNC(Tabel3[[#This Row],[debut]])-TRUNC(Tabel3[[#This Row],[fin precedent]])&lt;Tabel3[[#This Row],[delai]]))</f>
        <v>0</v>
      </c>
    </row>
    <row r="286" spans="12:21" ht="18" customHeight="1" x14ac:dyDescent="0.2">
      <c r="L286" s="98" t="s">
        <v>87</v>
      </c>
      <c r="M286" s="98" t="s">
        <v>38</v>
      </c>
      <c r="N286" s="104">
        <v>45931</v>
      </c>
      <c r="O286" s="98">
        <v>27</v>
      </c>
      <c r="P286" s="98">
        <f>INDEX($C$1:$I$1,MATCH(Tabel3[[#This Row],[Type]],Devoirs[[#Headers],[J0]:[J60]],0))</f>
        <v>4</v>
      </c>
      <c r="Q286" s="105" cm="1">
        <f t="array" aca="1" ref="Q28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45938.380381944466</v>
      </c>
      <c r="R286" s="105">
        <f ca="1">MAX(Tabel3[[#This Row],[jour]]+$R$3,IF(ROW()-ROW(Tabel3[[#Headers],[debut]])=1,DATE(2025,9,1)+$R$3,OFFSET(Tabel3[[#This Row],[fin]],-1,)))</f>
        <v>45944.53763888892</v>
      </c>
      <c r="S2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45944.556388888923</v>
      </c>
      <c r="T286" s="102">
        <f ca="1">--(Tabel3[[#This Row],[jour]]&lt;&gt;TRUNC(Tabel3[[#This Row],[fin]]))</f>
        <v>1</v>
      </c>
      <c r="U286" s="102">
        <f ca="1">IF(Tabel3[[#This Row],[Type]]="j0",0,--(TRUNC(Tabel3[[#This Row],[debut]])-TRUNC(Tabel3[[#This Row],[fin precedent]])&lt;Tabel3[[#This Row],[delai]]))</f>
        <v>0</v>
      </c>
    </row>
    <row r="287" spans="12:21" ht="18" customHeight="1" x14ac:dyDescent="0.2">
      <c r="L287" s="98" t="s">
        <v>94</v>
      </c>
      <c r="M287" s="98" t="s">
        <v>38</v>
      </c>
      <c r="N287" s="104">
        <v>45931</v>
      </c>
      <c r="O287" s="98">
        <v>52.5</v>
      </c>
      <c r="P287" s="98">
        <f>INDEX($C$1:$I$1,MATCH(Tabel3[[#This Row],[Type]],Devoirs[[#Headers],[J0]:[J60]],0))</f>
        <v>4</v>
      </c>
      <c r="Q287" s="105" cm="1">
        <f t="array" aca="1" ref="Q28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45938.424131944463</v>
      </c>
      <c r="R287" s="105">
        <f ca="1">MAX(Tabel3[[#This Row],[jour]]+$R$3,IF(ROW()-ROW(Tabel3[[#Headers],[debut]])=1,DATE(2025,9,1)+$R$3,OFFSET(Tabel3[[#This Row],[fin]],-1,)))</f>
        <v>45944.556388888923</v>
      </c>
      <c r="S2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45944.592847222259</v>
      </c>
      <c r="T287" s="102">
        <f ca="1">--(Tabel3[[#This Row],[jour]]&lt;&gt;TRUNC(Tabel3[[#This Row],[fin]]))</f>
        <v>1</v>
      </c>
      <c r="U287" s="102">
        <f ca="1">IF(Tabel3[[#This Row],[Type]]="j0",0,--(TRUNC(Tabel3[[#This Row],[debut]])-TRUNC(Tabel3[[#This Row],[fin precedent]])&lt;Tabel3[[#This Row],[delai]]))</f>
        <v>0</v>
      </c>
    </row>
    <row r="288" spans="12:21" ht="18" customHeight="1" x14ac:dyDescent="0.2">
      <c r="L288" s="98" t="s">
        <v>46</v>
      </c>
      <c r="M288" s="98" t="s">
        <v>38</v>
      </c>
      <c r="N288" s="104">
        <v>45931</v>
      </c>
      <c r="O288" s="98">
        <v>57</v>
      </c>
      <c r="P288" s="98">
        <f>INDEX($C$1:$I$1,MATCH(Tabel3[[#This Row],[Type]],Devoirs[[#Headers],[J0]:[J60]],0))</f>
        <v>4</v>
      </c>
      <c r="Q288" s="105" cm="1">
        <f t="array" aca="1" ref="Q28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45938.471631944463</v>
      </c>
      <c r="R288" s="105">
        <f ca="1">MAX(Tabel3[[#This Row],[jour]]+$R$3,IF(ROW()-ROW(Tabel3[[#Headers],[debut]])=1,DATE(2025,9,1)+$R$3,OFFSET(Tabel3[[#This Row],[fin]],-1,)))</f>
        <v>45944.592847222259</v>
      </c>
      <c r="S2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45944.63243055559</v>
      </c>
      <c r="T288" s="102">
        <f ca="1">--(Tabel3[[#This Row],[jour]]&lt;&gt;TRUNC(Tabel3[[#This Row],[fin]]))</f>
        <v>1</v>
      </c>
      <c r="U288" s="102">
        <f ca="1">IF(Tabel3[[#This Row],[Type]]="j0",0,--(TRUNC(Tabel3[[#This Row],[debut]])-TRUNC(Tabel3[[#This Row],[fin precedent]])&lt;Tabel3[[#This Row],[delai]]))</f>
        <v>0</v>
      </c>
    </row>
    <row r="289" spans="12:21" ht="18" customHeight="1" x14ac:dyDescent="0.2">
      <c r="L289" s="98" t="s">
        <v>129</v>
      </c>
      <c r="M289" s="98" t="s">
        <v>38</v>
      </c>
      <c r="N289" s="104">
        <v>45931</v>
      </c>
      <c r="O289" s="98">
        <v>66</v>
      </c>
      <c r="P289" s="98">
        <f>INDEX($C$1:$I$1,MATCH(Tabel3[[#This Row],[Type]],Devoirs[[#Headers],[J0]:[J60]],0))</f>
        <v>4</v>
      </c>
      <c r="Q289" s="105" cm="1">
        <f t="array" aca="1" ref="Q28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45938.526631944464</v>
      </c>
      <c r="R289" s="105">
        <f ca="1">MAX(Tabel3[[#This Row],[jour]]+$R$3,IF(ROW()-ROW(Tabel3[[#Headers],[debut]])=1,DATE(2025,9,1)+$R$3,OFFSET(Tabel3[[#This Row],[fin]],-1,)))</f>
        <v>45944.63243055559</v>
      </c>
      <c r="S2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45944.67826388892</v>
      </c>
      <c r="T289" s="102">
        <f ca="1">--(Tabel3[[#This Row],[jour]]&lt;&gt;TRUNC(Tabel3[[#This Row],[fin]]))</f>
        <v>1</v>
      </c>
      <c r="U289" s="102">
        <f ca="1">IF(Tabel3[[#This Row],[Type]]="j0",0,--(TRUNC(Tabel3[[#This Row],[debut]])-TRUNC(Tabel3[[#This Row],[fin precedent]])&lt;Tabel3[[#This Row],[delai]]))</f>
        <v>0</v>
      </c>
    </row>
    <row r="290" spans="12:21" ht="18" customHeight="1" x14ac:dyDescent="0.2">
      <c r="L290" s="98" t="s">
        <v>138</v>
      </c>
      <c r="M290" s="98" t="s">
        <v>41</v>
      </c>
      <c r="N290" s="104">
        <v>45931</v>
      </c>
      <c r="O290" s="98">
        <v>9.6</v>
      </c>
      <c r="P290" s="98">
        <f>INDEX($C$1:$I$1,MATCH(Tabel3[[#This Row],[Type]],Devoirs[[#Headers],[J0]:[J60]],0))</f>
        <v>15</v>
      </c>
      <c r="Q290" s="105" cm="1">
        <f t="array" aca="1" ref="Q29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45916.343333333338</v>
      </c>
      <c r="R290" s="105">
        <f ca="1">MAX(Tabel3[[#This Row],[jour]]+$R$3,IF(ROW()-ROW(Tabel3[[#Headers],[debut]])=1,DATE(2025,9,1)+$R$3,OFFSET(Tabel3[[#This Row],[fin]],-1,)))</f>
        <v>45944.67826388892</v>
      </c>
      <c r="S2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45944.684930555588</v>
      </c>
      <c r="T290" s="102">
        <f ca="1">--(Tabel3[[#This Row],[jour]]&lt;&gt;TRUNC(Tabel3[[#This Row],[fin]]))</f>
        <v>1</v>
      </c>
      <c r="U290" s="102">
        <f ca="1">IF(Tabel3[[#This Row],[Type]]="j0",0,--(TRUNC(Tabel3[[#This Row],[debut]])-TRUNC(Tabel3[[#This Row],[fin precedent]])&lt;Tabel3[[#This Row],[delai]]))</f>
        <v>0</v>
      </c>
    </row>
    <row r="291" spans="12:21" ht="18" customHeight="1" x14ac:dyDescent="0.2">
      <c r="L291" s="98" t="s">
        <v>122</v>
      </c>
      <c r="M291" s="98" t="s">
        <v>37</v>
      </c>
      <c r="N291" s="104">
        <v>45931</v>
      </c>
      <c r="O291" s="98">
        <v>71.100000000000009</v>
      </c>
      <c r="P291" s="98">
        <f>INDEX($C$1:$I$1,MATCH(Tabel3[[#This Row],[Type]],Devoirs[[#Headers],[J0]:[J60]],0))</f>
        <v>2</v>
      </c>
      <c r="Q291" s="105" cm="1">
        <f t="array" aca="1" ref="Q2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45940.71555555558</v>
      </c>
      <c r="R291" s="105">
        <f ca="1">MAX(Tabel3[[#This Row],[jour]]+$R$3,IF(ROW()-ROW(Tabel3[[#Headers],[debut]])=1,DATE(2025,9,1)+$R$3,OFFSET(Tabel3[[#This Row],[fin]],-1,)))</f>
        <v>45944.684930555588</v>
      </c>
      <c r="S2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45944.73430555559</v>
      </c>
      <c r="T291" s="102">
        <f ca="1">--(Tabel3[[#This Row],[jour]]&lt;&gt;TRUNC(Tabel3[[#This Row],[fin]]))</f>
        <v>1</v>
      </c>
      <c r="U291" s="102">
        <f ca="1">IF(Tabel3[[#This Row],[Type]]="j0",0,--(TRUNC(Tabel3[[#This Row],[debut]])-TRUNC(Tabel3[[#This Row],[fin precedent]])&lt;Tabel3[[#This Row],[delai]]))</f>
        <v>0</v>
      </c>
    </row>
    <row r="292" spans="12:21" ht="18" customHeight="1" x14ac:dyDescent="0.2">
      <c r="L292" s="98" t="s">
        <v>77</v>
      </c>
      <c r="M292" s="98" t="s">
        <v>37</v>
      </c>
      <c r="N292" s="104">
        <v>45931</v>
      </c>
      <c r="O292" s="98">
        <v>97.2</v>
      </c>
      <c r="P292" s="98">
        <f>INDEX($C$1:$I$1,MATCH(Tabel3[[#This Row],[Type]],Devoirs[[#Headers],[J0]:[J60]],0))</f>
        <v>2</v>
      </c>
      <c r="Q292" s="105" cm="1">
        <f t="array" aca="1" ref="Q2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45943.373888888913</v>
      </c>
      <c r="R292" s="105">
        <f ca="1">MAX(Tabel3[[#This Row],[jour]]+$R$3,IF(ROW()-ROW(Tabel3[[#Headers],[debut]])=1,DATE(2025,9,1)+$R$3,OFFSET(Tabel3[[#This Row],[fin]],-1,)))</f>
        <v>45944.73430555559</v>
      </c>
      <c r="S2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45945.385138888923</v>
      </c>
      <c r="T292" s="102">
        <f ca="1">--(Tabel3[[#This Row],[jour]]&lt;&gt;TRUNC(Tabel3[[#This Row],[fin]]))</f>
        <v>1</v>
      </c>
      <c r="U292" s="102">
        <f ca="1">IF(Tabel3[[#This Row],[Type]]="j0",0,--(TRUNC(Tabel3[[#This Row],[debut]])-TRUNC(Tabel3[[#This Row],[fin precedent]])&lt;Tabel3[[#This Row],[delai]]))</f>
        <v>1</v>
      </c>
    </row>
    <row r="293" spans="12:21" ht="18" customHeight="1" x14ac:dyDescent="0.2">
      <c r="L293" s="98" t="s">
        <v>137</v>
      </c>
      <c r="M293" s="98" t="s">
        <v>40</v>
      </c>
      <c r="N293" s="104">
        <v>45931</v>
      </c>
      <c r="O293" s="98">
        <v>16.2</v>
      </c>
      <c r="P293" s="98">
        <f>INDEX($C$1:$I$1,MATCH(Tabel3[[#This Row],[Type]],Devoirs[[#Headers],[J0]:[J60]],0))</f>
        <v>5</v>
      </c>
      <c r="Q293" s="105" cm="1">
        <f t="array" aca="1" ref="Q2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45937.669131944465</v>
      </c>
      <c r="R293" s="105">
        <f ca="1">MAX(Tabel3[[#This Row],[jour]]+$R$3,IF(ROW()-ROW(Tabel3[[#Headers],[debut]])=1,DATE(2025,9,1)+$R$3,OFFSET(Tabel3[[#This Row],[fin]],-1,)))</f>
        <v>45945.385138888923</v>
      </c>
      <c r="S2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45945.396388888927</v>
      </c>
      <c r="T293" s="102">
        <f ca="1">--(Tabel3[[#This Row],[jour]]&lt;&gt;TRUNC(Tabel3[[#This Row],[fin]]))</f>
        <v>1</v>
      </c>
      <c r="U293" s="102">
        <f ca="1">IF(Tabel3[[#This Row],[Type]]="j0",0,--(TRUNC(Tabel3[[#This Row],[debut]])-TRUNC(Tabel3[[#This Row],[fin precedent]])&lt;Tabel3[[#This Row],[delai]]))</f>
        <v>0</v>
      </c>
    </row>
    <row r="294" spans="12:21" ht="18" customHeight="1" x14ac:dyDescent="0.2">
      <c r="L294" s="98" t="s">
        <v>105</v>
      </c>
      <c r="M294" s="98" t="s">
        <v>40</v>
      </c>
      <c r="N294" s="104">
        <v>45931</v>
      </c>
      <c r="O294" s="98">
        <v>20.25</v>
      </c>
      <c r="P294" s="98">
        <f>INDEX($C$1:$I$1,MATCH(Tabel3[[#This Row],[Type]],Devoirs[[#Headers],[J0]:[J60]],0))</f>
        <v>5</v>
      </c>
      <c r="Q294" s="105" cm="1">
        <f t="array" aca="1" ref="Q2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45937.687881944468</v>
      </c>
      <c r="R294" s="105">
        <f ca="1">MAX(Tabel3[[#This Row],[jour]]+$R$3,IF(ROW()-ROW(Tabel3[[#Headers],[debut]])=1,DATE(2025,9,1)+$R$3,OFFSET(Tabel3[[#This Row],[fin]],-1,)))</f>
        <v>45945.396388888927</v>
      </c>
      <c r="S2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45945.410451388925</v>
      </c>
      <c r="T294" s="102">
        <f ca="1">--(Tabel3[[#This Row],[jour]]&lt;&gt;TRUNC(Tabel3[[#This Row],[fin]]))</f>
        <v>1</v>
      </c>
      <c r="U294" s="102">
        <f ca="1">IF(Tabel3[[#This Row],[Type]]="j0",0,--(TRUNC(Tabel3[[#This Row],[debut]])-TRUNC(Tabel3[[#This Row],[fin precedent]])&lt;Tabel3[[#This Row],[delai]]))</f>
        <v>0</v>
      </c>
    </row>
    <row r="295" spans="12:21" ht="18" customHeight="1" x14ac:dyDescent="0.2">
      <c r="L295" s="98" t="s">
        <v>69</v>
      </c>
      <c r="M295" s="98" t="s">
        <v>40</v>
      </c>
      <c r="N295" s="104">
        <v>45931</v>
      </c>
      <c r="O295" s="98">
        <v>21.6</v>
      </c>
      <c r="P295" s="98">
        <f>INDEX($C$1:$I$1,MATCH(Tabel3[[#This Row],[Type]],Devoirs[[#Headers],[J0]:[J60]],0))</f>
        <v>5</v>
      </c>
      <c r="Q295" s="105" cm="1">
        <f t="array" aca="1" ref="Q2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45937.707881944465</v>
      </c>
      <c r="R295" s="105">
        <f ca="1">MAX(Tabel3[[#This Row],[jour]]+$R$3,IF(ROW()-ROW(Tabel3[[#Headers],[debut]])=1,DATE(2025,9,1)+$R$3,OFFSET(Tabel3[[#This Row],[fin]],-1,)))</f>
        <v>45945.410451388925</v>
      </c>
      <c r="S2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45945.425451388925</v>
      </c>
      <c r="T295" s="102">
        <f ca="1">--(Tabel3[[#This Row],[jour]]&lt;&gt;TRUNC(Tabel3[[#This Row],[fin]]))</f>
        <v>1</v>
      </c>
      <c r="U295" s="102">
        <f ca="1">IF(Tabel3[[#This Row],[Type]]="j0",0,--(TRUNC(Tabel3[[#This Row],[debut]])-TRUNC(Tabel3[[#This Row],[fin precedent]])&lt;Tabel3[[#This Row],[delai]]))</f>
        <v>0</v>
      </c>
    </row>
    <row r="296" spans="12:21" ht="18" customHeight="1" x14ac:dyDescent="0.2">
      <c r="L296" s="98" t="s">
        <v>80</v>
      </c>
      <c r="M296" s="98" t="s">
        <v>40</v>
      </c>
      <c r="N296" s="104">
        <v>45931</v>
      </c>
      <c r="O296" s="98">
        <v>22.05</v>
      </c>
      <c r="P296" s="98">
        <f>INDEX($C$1:$I$1,MATCH(Tabel3[[#This Row],[Type]],Devoirs[[#Headers],[J0]:[J60]],0))</f>
        <v>5</v>
      </c>
      <c r="Q296" s="105" cm="1">
        <f t="array" aca="1" ref="Q2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45937.728298611131</v>
      </c>
      <c r="R296" s="105">
        <f ca="1">MAX(Tabel3[[#This Row],[jour]]+$R$3,IF(ROW()-ROW(Tabel3[[#Headers],[debut]])=1,DATE(2025,9,1)+$R$3,OFFSET(Tabel3[[#This Row],[fin]],-1,)))</f>
        <v>45945.425451388925</v>
      </c>
      <c r="S2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45945.440763888924</v>
      </c>
      <c r="T296" s="102">
        <f ca="1">--(Tabel3[[#This Row],[jour]]&lt;&gt;TRUNC(Tabel3[[#This Row],[fin]]))</f>
        <v>1</v>
      </c>
      <c r="U296" s="102">
        <f ca="1">IF(Tabel3[[#This Row],[Type]]="j0",0,--(TRUNC(Tabel3[[#This Row],[debut]])-TRUNC(Tabel3[[#This Row],[fin precedent]])&lt;Tabel3[[#This Row],[delai]]))</f>
        <v>0</v>
      </c>
    </row>
    <row r="297" spans="12:21" ht="18" customHeight="1" x14ac:dyDescent="0.2">
      <c r="L297" s="98" t="s">
        <v>117</v>
      </c>
      <c r="M297" s="98" t="s">
        <v>40</v>
      </c>
      <c r="N297" s="104">
        <v>45931</v>
      </c>
      <c r="O297" s="98">
        <v>27</v>
      </c>
      <c r="P297" s="98">
        <f>INDEX($C$1:$I$1,MATCH(Tabel3[[#This Row],[Type]],Devoirs[[#Headers],[J0]:[J60]],0))</f>
        <v>5</v>
      </c>
      <c r="Q297" s="105" cm="1">
        <f t="array" aca="1" ref="Q29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45938.336631944469</v>
      </c>
      <c r="R297" s="105">
        <f ca="1">MAX(Tabel3[[#This Row],[jour]]+$R$3,IF(ROW()-ROW(Tabel3[[#Headers],[debut]])=1,DATE(2025,9,1)+$R$3,OFFSET(Tabel3[[#This Row],[fin]],-1,)))</f>
        <v>45945.440763888924</v>
      </c>
      <c r="S2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45945.459513888927</v>
      </c>
      <c r="T297" s="102">
        <f ca="1">--(Tabel3[[#This Row],[jour]]&lt;&gt;TRUNC(Tabel3[[#This Row],[fin]]))</f>
        <v>1</v>
      </c>
      <c r="U297" s="102">
        <f ca="1">IF(Tabel3[[#This Row],[Type]]="j0",0,--(TRUNC(Tabel3[[#This Row],[debut]])-TRUNC(Tabel3[[#This Row],[fin precedent]])&lt;Tabel3[[#This Row],[delai]]))</f>
        <v>0</v>
      </c>
    </row>
    <row r="298" spans="12:21" ht="18" customHeight="1" x14ac:dyDescent="0.2">
      <c r="L298" s="98" t="s">
        <v>124</v>
      </c>
      <c r="M298" s="98" t="s">
        <v>1</v>
      </c>
      <c r="N298" s="104">
        <v>45931</v>
      </c>
      <c r="O298" s="98">
        <v>50</v>
      </c>
      <c r="P298" s="98">
        <f>INDEX($C$1:$I$1,MATCH(Tabel3[[#This Row],[Type]],Devoirs[[#Headers],[J0]:[J60]],0))</f>
        <v>0</v>
      </c>
      <c r="Q298" s="105" t="str" cm="1">
        <f t="array" ref="Q29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98" s="105">
        <f ca="1">MAX(Tabel3[[#This Row],[jour]]+$R$3,IF(ROW()-ROW(Tabel3[[#Headers],[debut]])=1,DATE(2025,9,1)+$R$3,OFFSET(Tabel3[[#This Row],[fin]],-1,)))</f>
        <v>45945.459513888927</v>
      </c>
      <c r="S2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45945.494236111146</v>
      </c>
      <c r="T298" s="102">
        <f ca="1">--(Tabel3[[#This Row],[jour]]&lt;&gt;TRUNC(Tabel3[[#This Row],[fin]]))</f>
        <v>1</v>
      </c>
      <c r="U298" s="102">
        <f>IF(Tabel3[[#This Row],[Type]]="j0",0,--(TRUNC(Tabel3[[#This Row],[debut]])-TRUNC(Tabel3[[#This Row],[fin precedent]])&lt;Tabel3[[#This Row],[delai]]))</f>
        <v>0</v>
      </c>
    </row>
    <row r="299" spans="12:21" ht="18" customHeight="1" x14ac:dyDescent="0.2">
      <c r="L299" s="98" t="s">
        <v>56</v>
      </c>
      <c r="M299" s="98" t="s">
        <v>1</v>
      </c>
      <c r="N299" s="104">
        <v>45931</v>
      </c>
      <c r="O299" s="98">
        <v>60</v>
      </c>
      <c r="P299" s="98">
        <f>INDEX($C$1:$I$1,MATCH(Tabel3[[#This Row],[Type]],Devoirs[[#Headers],[J0]:[J60]],0))</f>
        <v>0</v>
      </c>
      <c r="Q299" s="105" t="str" cm="1">
        <f t="array" ref="Q29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299" s="105">
        <f ca="1">MAX(Tabel3[[#This Row],[jour]]+$R$3,IF(ROW()-ROW(Tabel3[[#Headers],[debut]])=1,DATE(2025,9,1)+$R$3,OFFSET(Tabel3[[#This Row],[fin]],-1,)))</f>
        <v>45945.494236111146</v>
      </c>
      <c r="S2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45945.53590277781</v>
      </c>
      <c r="T299" s="102">
        <f ca="1">--(Tabel3[[#This Row],[jour]]&lt;&gt;TRUNC(Tabel3[[#This Row],[fin]]))</f>
        <v>1</v>
      </c>
      <c r="U299" s="102">
        <f>IF(Tabel3[[#This Row],[Type]]="j0",0,--(TRUNC(Tabel3[[#This Row],[debut]])-TRUNC(Tabel3[[#This Row],[fin precedent]])&lt;Tabel3[[#This Row],[delai]]))</f>
        <v>0</v>
      </c>
    </row>
    <row r="300" spans="12:21" ht="18" customHeight="1" x14ac:dyDescent="0.2">
      <c r="L300" s="98" t="s">
        <v>73</v>
      </c>
      <c r="M300" s="98" t="s">
        <v>1</v>
      </c>
      <c r="N300" s="104">
        <v>45931</v>
      </c>
      <c r="O300" s="98">
        <v>89</v>
      </c>
      <c r="P300" s="98">
        <f>INDEX($C$1:$I$1,MATCH(Tabel3[[#This Row],[Type]],Devoirs[[#Headers],[J0]:[J60]],0))</f>
        <v>0</v>
      </c>
      <c r="Q300" s="105" t="str" cm="1">
        <f t="array" ref="Q30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00" s="105">
        <f ca="1">MAX(Tabel3[[#This Row],[jour]]+$R$3,IF(ROW()-ROW(Tabel3[[#Headers],[debut]])=1,DATE(2025,9,1)+$R$3,OFFSET(Tabel3[[#This Row],[fin]],-1,)))</f>
        <v>45945.53590277781</v>
      </c>
      <c r="S3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45945.597708333364</v>
      </c>
      <c r="T300" s="102">
        <f ca="1">--(Tabel3[[#This Row],[jour]]&lt;&gt;TRUNC(Tabel3[[#This Row],[fin]]))</f>
        <v>1</v>
      </c>
      <c r="U300" s="102">
        <f>IF(Tabel3[[#This Row],[Type]]="j0",0,--(TRUNC(Tabel3[[#This Row],[debut]])-TRUNC(Tabel3[[#This Row],[fin precedent]])&lt;Tabel3[[#This Row],[delai]]))</f>
        <v>0</v>
      </c>
    </row>
    <row r="301" spans="12:21" ht="18" customHeight="1" x14ac:dyDescent="0.2">
      <c r="L301" s="98" t="s">
        <v>120</v>
      </c>
      <c r="M301" s="98" t="s">
        <v>1</v>
      </c>
      <c r="N301" s="104">
        <v>45931</v>
      </c>
      <c r="O301" s="98">
        <v>102</v>
      </c>
      <c r="P301" s="98">
        <f>INDEX($C$1:$I$1,MATCH(Tabel3[[#This Row],[Type]],Devoirs[[#Headers],[J0]:[J60]],0))</f>
        <v>0</v>
      </c>
      <c r="Q301" s="105" t="str" cm="1">
        <f t="array" ref="Q30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01" s="105">
        <f ca="1">MAX(Tabel3[[#This Row],[jour]]+$R$3,IF(ROW()-ROW(Tabel3[[#Headers],[debut]])=1,DATE(2025,9,1)+$R$3,OFFSET(Tabel3[[#This Row],[fin]],-1,)))</f>
        <v>45945.597708333364</v>
      </c>
      <c r="S3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45945.668541666695</v>
      </c>
      <c r="T301" s="102">
        <f ca="1">--(Tabel3[[#This Row],[jour]]&lt;&gt;TRUNC(Tabel3[[#This Row],[fin]]))</f>
        <v>1</v>
      </c>
      <c r="U301" s="102">
        <f>IF(Tabel3[[#This Row],[Type]]="j0",0,--(TRUNC(Tabel3[[#This Row],[debut]])-TRUNC(Tabel3[[#This Row],[fin precedent]])&lt;Tabel3[[#This Row],[delai]]))</f>
        <v>0</v>
      </c>
    </row>
    <row r="302" spans="12:21" ht="18" customHeight="1" x14ac:dyDescent="0.2">
      <c r="L302" s="98" t="s">
        <v>55</v>
      </c>
      <c r="M302" s="98" t="s">
        <v>41</v>
      </c>
      <c r="N302" s="104">
        <v>45932</v>
      </c>
      <c r="O302" s="98">
        <v>15.299999999999999</v>
      </c>
      <c r="P302" s="98">
        <f>INDEX($C$1:$I$1,MATCH(Tabel3[[#This Row],[Type]],Devoirs[[#Headers],[J0]:[J60]],0))</f>
        <v>15</v>
      </c>
      <c r="Q302" s="105" cm="1">
        <f t="array" aca="1" ref="Q30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45917.540833333333</v>
      </c>
      <c r="R302" s="105">
        <f ca="1">MAX(Tabel3[[#This Row],[jour]]+$R$3,IF(ROW()-ROW(Tabel3[[#Headers],[debut]])=1,DATE(2025,9,1)+$R$3,OFFSET(Tabel3[[#This Row],[fin]],-1,)))</f>
        <v>45945.668541666695</v>
      </c>
      <c r="S3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45945.679166666698</v>
      </c>
      <c r="T302" s="102">
        <f ca="1">--(Tabel3[[#This Row],[jour]]&lt;&gt;TRUNC(Tabel3[[#This Row],[fin]]))</f>
        <v>1</v>
      </c>
      <c r="U302" s="102">
        <f ca="1">IF(Tabel3[[#This Row],[Type]]="j0",0,--(TRUNC(Tabel3[[#This Row],[debut]])-TRUNC(Tabel3[[#This Row],[fin precedent]])&lt;Tabel3[[#This Row],[delai]]))</f>
        <v>0</v>
      </c>
    </row>
    <row r="303" spans="12:21" ht="18" customHeight="1" x14ac:dyDescent="0.2">
      <c r="L303" s="98" t="s">
        <v>62</v>
      </c>
      <c r="M303" s="98" t="s">
        <v>41</v>
      </c>
      <c r="N303" s="104">
        <v>45932</v>
      </c>
      <c r="O303" s="98">
        <v>23.7</v>
      </c>
      <c r="P303" s="98">
        <f>INDEX($C$1:$I$1,MATCH(Tabel3[[#This Row],[Type]],Devoirs[[#Headers],[J0]:[J60]],0))</f>
        <v>15</v>
      </c>
      <c r="Q303" s="105" cm="1">
        <f t="array" aca="1" ref="Q30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45917.565520833334</v>
      </c>
      <c r="R303" s="105">
        <f ca="1">MAX(Tabel3[[#This Row],[jour]]+$R$3,IF(ROW()-ROW(Tabel3[[#Headers],[debut]])=1,DATE(2025,9,1)+$R$3,OFFSET(Tabel3[[#This Row],[fin]],-1,)))</f>
        <v>45945.679166666698</v>
      </c>
      <c r="S3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45945.695625000029</v>
      </c>
      <c r="T303" s="102">
        <f ca="1">--(Tabel3[[#This Row],[jour]]&lt;&gt;TRUNC(Tabel3[[#This Row],[fin]]))</f>
        <v>1</v>
      </c>
      <c r="U303" s="102">
        <f ca="1">IF(Tabel3[[#This Row],[Type]]="j0",0,--(TRUNC(Tabel3[[#This Row],[debut]])-TRUNC(Tabel3[[#This Row],[fin precedent]])&lt;Tabel3[[#This Row],[delai]]))</f>
        <v>0</v>
      </c>
    </row>
    <row r="304" spans="12:21" ht="18" customHeight="1" x14ac:dyDescent="0.2">
      <c r="L304" s="98" t="s">
        <v>114</v>
      </c>
      <c r="M304" s="98" t="s">
        <v>41</v>
      </c>
      <c r="N304" s="104">
        <v>45932</v>
      </c>
      <c r="O304" s="98">
        <v>27.599999999999998</v>
      </c>
      <c r="P304" s="98">
        <f>INDEX($C$1:$I$1,MATCH(Tabel3[[#This Row],[Type]],Devoirs[[#Headers],[J0]:[J60]],0))</f>
        <v>15</v>
      </c>
      <c r="Q304" s="105" cm="1">
        <f t="array" aca="1" ref="Q30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45917.594270833331</v>
      </c>
      <c r="R304" s="105">
        <f ca="1">MAX(Tabel3[[#This Row],[jour]]+$R$3,IF(ROW()-ROW(Tabel3[[#Headers],[debut]])=1,DATE(2025,9,1)+$R$3,OFFSET(Tabel3[[#This Row],[fin]],-1,)))</f>
        <v>45945.695625000029</v>
      </c>
      <c r="S3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45945.714791666695</v>
      </c>
      <c r="T304" s="102">
        <f ca="1">--(Tabel3[[#This Row],[jour]]&lt;&gt;TRUNC(Tabel3[[#This Row],[fin]]))</f>
        <v>1</v>
      </c>
      <c r="U304" s="102">
        <f ca="1">IF(Tabel3[[#This Row],[Type]]="j0",0,--(TRUNC(Tabel3[[#This Row],[debut]])-TRUNC(Tabel3[[#This Row],[fin precedent]])&lt;Tabel3[[#This Row],[delai]]))</f>
        <v>0</v>
      </c>
    </row>
    <row r="305" spans="12:21" ht="18" customHeight="1" x14ac:dyDescent="0.2">
      <c r="L305" s="98" t="s">
        <v>88</v>
      </c>
      <c r="M305" s="98" t="s">
        <v>41</v>
      </c>
      <c r="N305" s="104">
        <v>45932</v>
      </c>
      <c r="O305" s="98">
        <v>33.9</v>
      </c>
      <c r="P305" s="98">
        <f>INDEX($C$1:$I$1,MATCH(Tabel3[[#This Row],[Type]],Devoirs[[#Headers],[J0]:[J60]],0))</f>
        <v>15</v>
      </c>
      <c r="Q305" s="105" cm="1">
        <f t="array" aca="1" ref="Q30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45917.629583333328</v>
      </c>
      <c r="R305" s="105">
        <f ca="1">MAX(Tabel3[[#This Row],[jour]]+$R$3,IF(ROW()-ROW(Tabel3[[#Headers],[debut]])=1,DATE(2025,9,1)+$R$3,OFFSET(Tabel3[[#This Row],[fin]],-1,)))</f>
        <v>45945.714791666695</v>
      </c>
      <c r="S3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45945.738333333364</v>
      </c>
      <c r="T305" s="102">
        <f ca="1">--(Tabel3[[#This Row],[jour]]&lt;&gt;TRUNC(Tabel3[[#This Row],[fin]]))</f>
        <v>1</v>
      </c>
      <c r="U305" s="102">
        <f ca="1">IF(Tabel3[[#This Row],[Type]]="j0",0,--(TRUNC(Tabel3[[#This Row],[debut]])-TRUNC(Tabel3[[#This Row],[fin precedent]])&lt;Tabel3[[#This Row],[delai]]))</f>
        <v>0</v>
      </c>
    </row>
    <row r="306" spans="12:21" ht="18" customHeight="1" x14ac:dyDescent="0.2">
      <c r="L306" s="98" t="s">
        <v>47</v>
      </c>
      <c r="M306" s="98" t="s">
        <v>37</v>
      </c>
      <c r="N306" s="104">
        <v>45932</v>
      </c>
      <c r="O306" s="98">
        <v>53.1</v>
      </c>
      <c r="P306" s="98">
        <f>INDEX($C$1:$I$1,MATCH(Tabel3[[#This Row],[Type]],Devoirs[[#Headers],[J0]:[J60]],0))</f>
        <v>2</v>
      </c>
      <c r="Q306" s="105" cm="1">
        <f t="array" aca="1" ref="Q30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45944.358819444475</v>
      </c>
      <c r="R306" s="105">
        <f ca="1">MAX(Tabel3[[#This Row],[jour]]+$R$3,IF(ROW()-ROW(Tabel3[[#Headers],[debut]])=1,DATE(2025,9,1)+$R$3,OFFSET(Tabel3[[#This Row],[fin]],-1,)))</f>
        <v>45945.738333333364</v>
      </c>
      <c r="S3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45946.358541666697</v>
      </c>
      <c r="T306" s="102">
        <f ca="1">--(Tabel3[[#This Row],[jour]]&lt;&gt;TRUNC(Tabel3[[#This Row],[fin]]))</f>
        <v>1</v>
      </c>
      <c r="U306" s="102">
        <f ca="1">IF(Tabel3[[#This Row],[Type]]="j0",0,--(TRUNC(Tabel3[[#This Row],[debut]])-TRUNC(Tabel3[[#This Row],[fin precedent]])&lt;Tabel3[[#This Row],[delai]]))</f>
        <v>1</v>
      </c>
    </row>
    <row r="307" spans="12:21" ht="18" customHeight="1" x14ac:dyDescent="0.2">
      <c r="L307" s="98" t="s">
        <v>76</v>
      </c>
      <c r="M307" s="98" t="s">
        <v>37</v>
      </c>
      <c r="N307" s="104">
        <v>45932</v>
      </c>
      <c r="O307" s="98">
        <v>102.60000000000001</v>
      </c>
      <c r="P307" s="98">
        <f>INDEX($C$1:$I$1,MATCH(Tabel3[[#This Row],[Type]],Devoirs[[#Headers],[J0]:[J60]],0))</f>
        <v>2</v>
      </c>
      <c r="Q307" s="105" cm="1">
        <f t="array" aca="1" ref="Q30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45944.437986111145</v>
      </c>
      <c r="R307" s="105">
        <f ca="1">MAX(Tabel3[[#This Row],[jour]]+$R$3,IF(ROW()-ROW(Tabel3[[#Headers],[debut]])=1,DATE(2025,9,1)+$R$3,OFFSET(Tabel3[[#This Row],[fin]],-1,)))</f>
        <v>45946.358541666697</v>
      </c>
      <c r="S3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45946.429791666698</v>
      </c>
      <c r="T307" s="102">
        <f ca="1">--(Tabel3[[#This Row],[jour]]&lt;&gt;TRUNC(Tabel3[[#This Row],[fin]]))</f>
        <v>1</v>
      </c>
      <c r="U307" s="102">
        <f ca="1">IF(Tabel3[[#This Row],[Type]]="j0",0,--(TRUNC(Tabel3[[#This Row],[debut]])-TRUNC(Tabel3[[#This Row],[fin precedent]])&lt;Tabel3[[#This Row],[delai]]))</f>
        <v>0</v>
      </c>
    </row>
    <row r="308" spans="12:21" ht="18" customHeight="1" x14ac:dyDescent="0.2">
      <c r="L308" s="98" t="s">
        <v>49</v>
      </c>
      <c r="M308" s="98" t="s">
        <v>37</v>
      </c>
      <c r="N308" s="104">
        <v>45932</v>
      </c>
      <c r="O308" s="98">
        <v>106.2</v>
      </c>
      <c r="P308" s="98">
        <f>INDEX($C$1:$I$1,MATCH(Tabel3[[#This Row],[Type]],Devoirs[[#Headers],[J0]:[J60]],0))</f>
        <v>2</v>
      </c>
      <c r="Q308" s="105" cm="1">
        <f t="array" aca="1" ref="Q3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45944.519930555587</v>
      </c>
      <c r="R308" s="105">
        <f ca="1">MAX(Tabel3[[#This Row],[jour]]+$R$3,IF(ROW()-ROW(Tabel3[[#Headers],[debut]])=1,DATE(2025,9,1)+$R$3,OFFSET(Tabel3[[#This Row],[fin]],-1,)))</f>
        <v>45946.429791666698</v>
      </c>
      <c r="S3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45946.503541666701</v>
      </c>
      <c r="T308" s="102">
        <f ca="1">--(Tabel3[[#This Row],[jour]]&lt;&gt;TRUNC(Tabel3[[#This Row],[fin]]))</f>
        <v>1</v>
      </c>
      <c r="U308" s="102">
        <f ca="1">IF(Tabel3[[#This Row],[Type]]="j0",0,--(TRUNC(Tabel3[[#This Row],[debut]])-TRUNC(Tabel3[[#This Row],[fin precedent]])&lt;Tabel3[[#This Row],[delai]]))</f>
        <v>0</v>
      </c>
    </row>
    <row r="309" spans="12:21" ht="18" customHeight="1" x14ac:dyDescent="0.2">
      <c r="L309" s="98" t="s">
        <v>98</v>
      </c>
      <c r="M309" s="98" t="s">
        <v>40</v>
      </c>
      <c r="N309" s="104">
        <v>45932</v>
      </c>
      <c r="O309" s="98">
        <v>40.5</v>
      </c>
      <c r="P309" s="98">
        <f>INDEX($C$1:$I$1,MATCH(Tabel3[[#This Row],[Type]],Devoirs[[#Headers],[J0]:[J60]],0))</f>
        <v>5</v>
      </c>
      <c r="Q309" s="105" cm="1">
        <f t="array" aca="1" ref="Q3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45938.654131944459</v>
      </c>
      <c r="R309" s="105">
        <f ca="1">MAX(Tabel3[[#This Row],[jour]]+$R$3,IF(ROW()-ROW(Tabel3[[#Headers],[debut]])=1,DATE(2025,9,1)+$R$3,OFFSET(Tabel3[[#This Row],[fin]],-1,)))</f>
        <v>45946.503541666701</v>
      </c>
      <c r="S3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45946.531666666699</v>
      </c>
      <c r="T309" s="102">
        <f ca="1">--(Tabel3[[#This Row],[jour]]&lt;&gt;TRUNC(Tabel3[[#This Row],[fin]]))</f>
        <v>1</v>
      </c>
      <c r="U309" s="102">
        <f ca="1">IF(Tabel3[[#This Row],[Type]]="j0",0,--(TRUNC(Tabel3[[#This Row],[debut]])-TRUNC(Tabel3[[#This Row],[fin precedent]])&lt;Tabel3[[#This Row],[delai]]))</f>
        <v>0</v>
      </c>
    </row>
    <row r="310" spans="12:21" ht="18" customHeight="1" x14ac:dyDescent="0.2">
      <c r="L310" s="98" t="s">
        <v>102</v>
      </c>
      <c r="M310" s="98" t="s">
        <v>40</v>
      </c>
      <c r="N310" s="104">
        <v>45932</v>
      </c>
      <c r="O310" s="98">
        <v>50.4</v>
      </c>
      <c r="P310" s="98">
        <f>INDEX($C$1:$I$1,MATCH(Tabel3[[#This Row],[Type]],Devoirs[[#Headers],[J0]:[J60]],0))</f>
        <v>5</v>
      </c>
      <c r="Q310" s="105" cm="1">
        <f t="array" aca="1" ref="Q3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45938.700798611128</v>
      </c>
      <c r="R310" s="105">
        <f ca="1">MAX(Tabel3[[#This Row],[jour]]+$R$3,IF(ROW()-ROW(Tabel3[[#Headers],[debut]])=1,DATE(2025,9,1)+$R$3,OFFSET(Tabel3[[#This Row],[fin]],-1,)))</f>
        <v>45946.531666666699</v>
      </c>
      <c r="S3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45946.566666666702</v>
      </c>
      <c r="T310" s="102">
        <f ca="1">--(Tabel3[[#This Row],[jour]]&lt;&gt;TRUNC(Tabel3[[#This Row],[fin]]))</f>
        <v>1</v>
      </c>
      <c r="U310" s="102">
        <f ca="1">IF(Tabel3[[#This Row],[Type]]="j0",0,--(TRUNC(Tabel3[[#This Row],[debut]])-TRUNC(Tabel3[[#This Row],[fin precedent]])&lt;Tabel3[[#This Row],[delai]]))</f>
        <v>0</v>
      </c>
    </row>
    <row r="311" spans="12:21" ht="18" customHeight="1" x14ac:dyDescent="0.2">
      <c r="L311" s="98" t="s">
        <v>59</v>
      </c>
      <c r="M311" s="98" t="s">
        <v>40</v>
      </c>
      <c r="N311" s="104">
        <v>45932</v>
      </c>
      <c r="O311" s="98">
        <v>50.85</v>
      </c>
      <c r="P311" s="98">
        <f>INDEX($C$1:$I$1,MATCH(Tabel3[[#This Row],[Type]],Devoirs[[#Headers],[J0]:[J60]],0))</f>
        <v>5</v>
      </c>
      <c r="Q311" s="105" cm="1">
        <f t="array" aca="1" ref="Q3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45938.747881944459</v>
      </c>
      <c r="R311" s="105">
        <f ca="1">MAX(Tabel3[[#This Row],[jour]]+$R$3,IF(ROW()-ROW(Tabel3[[#Headers],[debut]])=1,DATE(2025,9,1)+$R$3,OFFSET(Tabel3[[#This Row],[fin]],-1,)))</f>
        <v>45946.566666666702</v>
      </c>
      <c r="S3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45946.601979166699</v>
      </c>
      <c r="T311" s="102">
        <f ca="1">--(Tabel3[[#This Row],[jour]]&lt;&gt;TRUNC(Tabel3[[#This Row],[fin]]))</f>
        <v>1</v>
      </c>
      <c r="U311" s="102">
        <f ca="1">IF(Tabel3[[#This Row],[Type]]="j0",0,--(TRUNC(Tabel3[[#This Row],[debut]])-TRUNC(Tabel3[[#This Row],[fin precedent]])&lt;Tabel3[[#This Row],[delai]]))</f>
        <v>0</v>
      </c>
    </row>
    <row r="312" spans="12:21" ht="18" customHeight="1" x14ac:dyDescent="0.2">
      <c r="L312" s="98" t="s">
        <v>99</v>
      </c>
      <c r="M312" s="98" t="s">
        <v>40</v>
      </c>
      <c r="N312" s="104">
        <v>45932</v>
      </c>
      <c r="O312" s="98">
        <v>54</v>
      </c>
      <c r="P312" s="98">
        <f>INDEX($C$1:$I$1,MATCH(Tabel3[[#This Row],[Type]],Devoirs[[#Headers],[J0]:[J60]],0))</f>
        <v>5</v>
      </c>
      <c r="Q312" s="105" cm="1">
        <f t="array" aca="1" ref="Q3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45939.381215277797</v>
      </c>
      <c r="R312" s="105">
        <f ca="1">MAX(Tabel3[[#This Row],[jour]]+$R$3,IF(ROW()-ROW(Tabel3[[#Headers],[debut]])=1,DATE(2025,9,1)+$R$3,OFFSET(Tabel3[[#This Row],[fin]],-1,)))</f>
        <v>45946.601979166699</v>
      </c>
      <c r="S3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45946.639479166697</v>
      </c>
      <c r="T312" s="102">
        <f ca="1">--(Tabel3[[#This Row],[jour]]&lt;&gt;TRUNC(Tabel3[[#This Row],[fin]]))</f>
        <v>1</v>
      </c>
      <c r="U312" s="102">
        <f ca="1">IF(Tabel3[[#This Row],[Type]]="j0",0,--(TRUNC(Tabel3[[#This Row],[debut]])-TRUNC(Tabel3[[#This Row],[fin precedent]])&lt;Tabel3[[#This Row],[delai]]))</f>
        <v>0</v>
      </c>
    </row>
    <row r="313" spans="12:21" ht="18" customHeight="1" x14ac:dyDescent="0.2">
      <c r="L313" s="98" t="s">
        <v>67</v>
      </c>
      <c r="M313" s="98" t="s">
        <v>39</v>
      </c>
      <c r="N313" s="104">
        <v>45932</v>
      </c>
      <c r="O313" s="98">
        <v>19.8</v>
      </c>
      <c r="P313" s="98">
        <f>INDEX($C$1:$I$1,MATCH(Tabel3[[#This Row],[Type]],Devoirs[[#Headers],[J0]:[J60]],0))</f>
        <v>4</v>
      </c>
      <c r="Q313" s="105" cm="1">
        <f t="array" aca="1" ref="Q3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45939.398402777799</v>
      </c>
      <c r="R313" s="105">
        <f ca="1">MAX(Tabel3[[#This Row],[jour]]+$R$3,IF(ROW()-ROW(Tabel3[[#Headers],[debut]])=1,DATE(2025,9,1)+$R$3,OFFSET(Tabel3[[#This Row],[fin]],-1,)))</f>
        <v>45946.639479166697</v>
      </c>
      <c r="S3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45946.653229166695</v>
      </c>
      <c r="T313" s="102">
        <f ca="1">--(Tabel3[[#This Row],[jour]]&lt;&gt;TRUNC(Tabel3[[#This Row],[fin]]))</f>
        <v>1</v>
      </c>
      <c r="U313" s="102">
        <f ca="1">IF(Tabel3[[#This Row],[Type]]="j0",0,--(TRUNC(Tabel3[[#This Row],[debut]])-TRUNC(Tabel3[[#This Row],[fin precedent]])&lt;Tabel3[[#This Row],[delai]]))</f>
        <v>0</v>
      </c>
    </row>
    <row r="314" spans="12:21" ht="18" customHeight="1" x14ac:dyDescent="0.2">
      <c r="L314" s="98" t="s">
        <v>116</v>
      </c>
      <c r="M314" s="98" t="s">
        <v>39</v>
      </c>
      <c r="N314" s="104">
        <v>45932</v>
      </c>
      <c r="O314" s="98">
        <v>66</v>
      </c>
      <c r="P314" s="98">
        <f>INDEX($C$1:$I$1,MATCH(Tabel3[[#This Row],[Type]],Devoirs[[#Headers],[J0]:[J60]],0))</f>
        <v>4</v>
      </c>
      <c r="Q314" s="105" cm="1">
        <f t="array" aca="1" ref="Q3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45939.455694444463</v>
      </c>
      <c r="R314" s="105">
        <f ca="1">MAX(Tabel3[[#This Row],[jour]]+$R$3,IF(ROW()-ROW(Tabel3[[#Headers],[debut]])=1,DATE(2025,9,1)+$R$3,OFFSET(Tabel3[[#This Row],[fin]],-1,)))</f>
        <v>45946.653229166695</v>
      </c>
      <c r="S3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45946.699062500025</v>
      </c>
      <c r="T314" s="102">
        <f ca="1">--(Tabel3[[#This Row],[jour]]&lt;&gt;TRUNC(Tabel3[[#This Row],[fin]]))</f>
        <v>1</v>
      </c>
      <c r="U314" s="102">
        <f ca="1">IF(Tabel3[[#This Row],[Type]]="j0",0,--(TRUNC(Tabel3[[#This Row],[debut]])-TRUNC(Tabel3[[#This Row],[fin precedent]])&lt;Tabel3[[#This Row],[delai]]))</f>
        <v>0</v>
      </c>
    </row>
    <row r="315" spans="12:21" ht="18" customHeight="1" x14ac:dyDescent="0.2">
      <c r="L315" s="98" t="s">
        <v>109</v>
      </c>
      <c r="M315" s="98" t="s">
        <v>39</v>
      </c>
      <c r="N315" s="104">
        <v>45932</v>
      </c>
      <c r="O315" s="98">
        <v>67.2</v>
      </c>
      <c r="P315" s="98">
        <f>INDEX($C$1:$I$1,MATCH(Tabel3[[#This Row],[Type]],Devoirs[[#Headers],[J0]:[J60]],0))</f>
        <v>4</v>
      </c>
      <c r="Q315" s="105" cm="1">
        <f t="array" aca="1" ref="Q3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45939.514027777797</v>
      </c>
      <c r="R315" s="105">
        <f ca="1">MAX(Tabel3[[#This Row],[jour]]+$R$3,IF(ROW()-ROW(Tabel3[[#Headers],[debut]])=1,DATE(2025,9,1)+$R$3,OFFSET(Tabel3[[#This Row],[fin]],-1,)))</f>
        <v>45946.699062500025</v>
      </c>
      <c r="S3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45946.745729166694</v>
      </c>
      <c r="T315" s="102">
        <f ca="1">--(Tabel3[[#This Row],[jour]]&lt;&gt;TRUNC(Tabel3[[#This Row],[fin]]))</f>
        <v>1</v>
      </c>
      <c r="U315" s="102">
        <f ca="1">IF(Tabel3[[#This Row],[Type]]="j0",0,--(TRUNC(Tabel3[[#This Row],[debut]])-TRUNC(Tabel3[[#This Row],[fin precedent]])&lt;Tabel3[[#This Row],[delai]]))</f>
        <v>0</v>
      </c>
    </row>
    <row r="316" spans="12:21" ht="18" customHeight="1" x14ac:dyDescent="0.2">
      <c r="L316" s="98" t="s">
        <v>123</v>
      </c>
      <c r="M316" s="98" t="s">
        <v>1</v>
      </c>
      <c r="N316" s="104">
        <v>45932</v>
      </c>
      <c r="O316" s="98">
        <v>76</v>
      </c>
      <c r="P316" s="98">
        <f>INDEX($C$1:$I$1,MATCH(Tabel3[[#This Row],[Type]],Devoirs[[#Headers],[J0]:[J60]],0))</f>
        <v>0</v>
      </c>
      <c r="Q316" s="105" t="str" cm="1">
        <f t="array" ref="Q316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16" s="105">
        <f ca="1">MAX(Tabel3[[#This Row],[jour]]+$R$3,IF(ROW()-ROW(Tabel3[[#Headers],[debut]])=1,DATE(2025,9,1)+$R$3,OFFSET(Tabel3[[#This Row],[fin]],-1,)))</f>
        <v>45946.745729166694</v>
      </c>
      <c r="S3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45947.381840277805</v>
      </c>
      <c r="T316" s="102">
        <f ca="1">--(Tabel3[[#This Row],[jour]]&lt;&gt;TRUNC(Tabel3[[#This Row],[fin]]))</f>
        <v>1</v>
      </c>
      <c r="U316" s="102">
        <f>IF(Tabel3[[#This Row],[Type]]="j0",0,--(TRUNC(Tabel3[[#This Row],[debut]])-TRUNC(Tabel3[[#This Row],[fin precedent]])&lt;Tabel3[[#This Row],[delai]]))</f>
        <v>0</v>
      </c>
    </row>
    <row r="317" spans="12:21" ht="18" customHeight="1" x14ac:dyDescent="0.2">
      <c r="L317" s="98" t="s">
        <v>50</v>
      </c>
      <c r="M317" s="98" t="s">
        <v>1</v>
      </c>
      <c r="N317" s="104">
        <v>45932</v>
      </c>
      <c r="O317" s="98">
        <v>119</v>
      </c>
      <c r="P317" s="98">
        <f>INDEX($C$1:$I$1,MATCH(Tabel3[[#This Row],[Type]],Devoirs[[#Headers],[J0]:[J60]],0))</f>
        <v>0</v>
      </c>
      <c r="Q317" s="105" t="str" cm="1">
        <f t="array" ref="Q31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17" s="105">
        <f ca="1">MAX(Tabel3[[#This Row],[jour]]+$R$3,IF(ROW()-ROW(Tabel3[[#Headers],[debut]])=1,DATE(2025,9,1)+$R$3,OFFSET(Tabel3[[#This Row],[fin]],-1,)))</f>
        <v>45947.381840277805</v>
      </c>
      <c r="S3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45947.464479166694</v>
      </c>
      <c r="T317" s="102">
        <f ca="1">--(Tabel3[[#This Row],[jour]]&lt;&gt;TRUNC(Tabel3[[#This Row],[fin]]))</f>
        <v>1</v>
      </c>
      <c r="U317" s="102">
        <f>IF(Tabel3[[#This Row],[Type]]="j0",0,--(TRUNC(Tabel3[[#This Row],[debut]])-TRUNC(Tabel3[[#This Row],[fin precedent]])&lt;Tabel3[[#This Row],[delai]]))</f>
        <v>0</v>
      </c>
    </row>
    <row r="318" spans="12:21" ht="18" customHeight="1" x14ac:dyDescent="0.2">
      <c r="L318" s="98" t="s">
        <v>89</v>
      </c>
      <c r="M318" s="98" t="s">
        <v>41</v>
      </c>
      <c r="N318" s="104">
        <v>45933</v>
      </c>
      <c r="O318" s="98">
        <v>19.8</v>
      </c>
      <c r="P318" s="98">
        <f>INDEX($C$1:$I$1,MATCH(Tabel3[[#This Row],[Type]],Devoirs[[#Headers],[J0]:[J60]],0))</f>
        <v>15</v>
      </c>
      <c r="Q318" s="105" cm="1">
        <f t="array" aca="1" ref="Q3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45919.417708333327</v>
      </c>
      <c r="R318" s="105">
        <f ca="1">MAX(Tabel3[[#This Row],[jour]]+$R$3,IF(ROW()-ROW(Tabel3[[#Headers],[debut]])=1,DATE(2025,9,1)+$R$3,OFFSET(Tabel3[[#This Row],[fin]],-1,)))</f>
        <v>45947.464479166694</v>
      </c>
      <c r="S3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45947.478229166692</v>
      </c>
      <c r="T318" s="102">
        <f ca="1">--(Tabel3[[#This Row],[jour]]&lt;&gt;TRUNC(Tabel3[[#This Row],[fin]]))</f>
        <v>1</v>
      </c>
      <c r="U318" s="102">
        <f ca="1">IF(Tabel3[[#This Row],[Type]]="j0",0,--(TRUNC(Tabel3[[#This Row],[debut]])-TRUNC(Tabel3[[#This Row],[fin precedent]])&lt;Tabel3[[#This Row],[delai]]))</f>
        <v>0</v>
      </c>
    </row>
    <row r="319" spans="12:21" ht="18" customHeight="1" x14ac:dyDescent="0.2">
      <c r="L319" s="98" t="s">
        <v>90</v>
      </c>
      <c r="M319" s="98" t="s">
        <v>41</v>
      </c>
      <c r="N319" s="104">
        <v>45933</v>
      </c>
      <c r="O319" s="98">
        <v>30</v>
      </c>
      <c r="P319" s="98">
        <f>INDEX($C$1:$I$1,MATCH(Tabel3[[#This Row],[Type]],Devoirs[[#Headers],[J0]:[J60]],0))</f>
        <v>15</v>
      </c>
      <c r="Q319" s="105" cm="1">
        <f t="array" aca="1" ref="Q31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45919.448958333327</v>
      </c>
      <c r="R319" s="105">
        <f ca="1">MAX(Tabel3[[#This Row],[jour]]+$R$3,IF(ROW()-ROW(Tabel3[[#Headers],[debut]])=1,DATE(2025,9,1)+$R$3,OFFSET(Tabel3[[#This Row],[fin]],-1,)))</f>
        <v>45947.478229166692</v>
      </c>
      <c r="S3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45947.499062500028</v>
      </c>
      <c r="T319" s="102">
        <f ca="1">--(Tabel3[[#This Row],[jour]]&lt;&gt;TRUNC(Tabel3[[#This Row],[fin]]))</f>
        <v>1</v>
      </c>
      <c r="U319" s="102">
        <f ca="1">IF(Tabel3[[#This Row],[Type]]="j0",0,--(TRUNC(Tabel3[[#This Row],[debut]])-TRUNC(Tabel3[[#This Row],[fin precedent]])&lt;Tabel3[[#This Row],[delai]]))</f>
        <v>0</v>
      </c>
    </row>
    <row r="320" spans="12:21" ht="18" customHeight="1" x14ac:dyDescent="0.2">
      <c r="L320" s="98" t="s">
        <v>107</v>
      </c>
      <c r="M320" s="98" t="s">
        <v>41</v>
      </c>
      <c r="N320" s="104">
        <v>45933</v>
      </c>
      <c r="O320" s="98">
        <v>31.5</v>
      </c>
      <c r="P320" s="98">
        <f>INDEX($C$1:$I$1,MATCH(Tabel3[[#This Row],[Type]],Devoirs[[#Headers],[J0]:[J60]],0))</f>
        <v>15</v>
      </c>
      <c r="Q320" s="105" cm="1">
        <f t="array" aca="1" ref="Q32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45919.481770833328</v>
      </c>
      <c r="R320" s="105">
        <f ca="1">MAX(Tabel3[[#This Row],[jour]]+$R$3,IF(ROW()-ROW(Tabel3[[#Headers],[debut]])=1,DATE(2025,9,1)+$R$3,OFFSET(Tabel3[[#This Row],[fin]],-1,)))</f>
        <v>45947.499062500028</v>
      </c>
      <c r="S3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45947.520937500027</v>
      </c>
      <c r="T320" s="102">
        <f ca="1">--(Tabel3[[#This Row],[jour]]&lt;&gt;TRUNC(Tabel3[[#This Row],[fin]]))</f>
        <v>1</v>
      </c>
      <c r="U320" s="102">
        <f ca="1">IF(Tabel3[[#This Row],[Type]]="j0",0,--(TRUNC(Tabel3[[#This Row],[debut]])-TRUNC(Tabel3[[#This Row],[fin precedent]])&lt;Tabel3[[#This Row],[delai]]))</f>
        <v>0</v>
      </c>
    </row>
    <row r="321" spans="12:21" ht="18" customHeight="1" x14ac:dyDescent="0.2">
      <c r="L321" s="98" t="s">
        <v>124</v>
      </c>
      <c r="M321" s="98" t="s">
        <v>37</v>
      </c>
      <c r="N321" s="104">
        <v>45933</v>
      </c>
      <c r="O321" s="98">
        <v>45</v>
      </c>
      <c r="P321" s="98">
        <f>INDEX($C$1:$I$1,MATCH(Tabel3[[#This Row],[Type]],Devoirs[[#Headers],[J0]:[J60]],0))</f>
        <v>2</v>
      </c>
      <c r="Q321" s="105" cm="1">
        <f t="array" aca="1" ref="Q32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45945.494236111146</v>
      </c>
      <c r="R321" s="105">
        <f ca="1">MAX(Tabel3[[#This Row],[jour]]+$R$3,IF(ROW()-ROW(Tabel3[[#Headers],[debut]])=1,DATE(2025,9,1)+$R$3,OFFSET(Tabel3[[#This Row],[fin]],-1,)))</f>
        <v>45947.520937500027</v>
      </c>
      <c r="S3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45947.552187500027</v>
      </c>
      <c r="T321" s="102">
        <f ca="1">--(Tabel3[[#This Row],[jour]]&lt;&gt;TRUNC(Tabel3[[#This Row],[fin]]))</f>
        <v>1</v>
      </c>
      <c r="U321" s="102">
        <f ca="1">IF(Tabel3[[#This Row],[Type]]="j0",0,--(TRUNC(Tabel3[[#This Row],[debut]])-TRUNC(Tabel3[[#This Row],[fin precedent]])&lt;Tabel3[[#This Row],[delai]]))</f>
        <v>0</v>
      </c>
    </row>
    <row r="322" spans="12:21" ht="18" customHeight="1" x14ac:dyDescent="0.2">
      <c r="L322" s="106" t="s">
        <v>56</v>
      </c>
      <c r="M322" s="106" t="s">
        <v>37</v>
      </c>
      <c r="N322" s="104">
        <v>45933</v>
      </c>
      <c r="O322" s="98">
        <v>54</v>
      </c>
      <c r="P322" s="98">
        <f>INDEX($C$1:$I$1,MATCH(Tabel3[[#This Row],[Type]],Devoirs[[#Headers],[J0]:[J60]],0))</f>
        <v>2</v>
      </c>
      <c r="Q322" s="105" cm="1">
        <f t="array" aca="1" ref="Q32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45945.53590277781</v>
      </c>
      <c r="R322" s="105">
        <f ca="1">MAX(Tabel3[[#This Row],[jour]]+$R$3,IF(ROW()-ROW(Tabel3[[#Headers],[debut]])=1,DATE(2025,9,1)+$R$3,OFFSET(Tabel3[[#This Row],[fin]],-1,)))</f>
        <v>45947.552187500027</v>
      </c>
      <c r="S3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45947.589687500025</v>
      </c>
      <c r="T322" s="102">
        <f ca="1">--(Tabel3[[#This Row],[jour]]&lt;&gt;TRUNC(Tabel3[[#This Row],[fin]]))</f>
        <v>1</v>
      </c>
      <c r="U322" s="102">
        <f ca="1">IF(Tabel3[[#This Row],[Type]]="j0",0,--(TRUNC(Tabel3[[#This Row],[debut]])-TRUNC(Tabel3[[#This Row],[fin precedent]])&lt;Tabel3[[#This Row],[delai]]))</f>
        <v>0</v>
      </c>
    </row>
    <row r="323" spans="12:21" ht="18" customHeight="1" x14ac:dyDescent="0.2">
      <c r="L323" s="98" t="s">
        <v>73</v>
      </c>
      <c r="M323" s="98" t="s">
        <v>37</v>
      </c>
      <c r="N323" s="104">
        <v>45933</v>
      </c>
      <c r="O323" s="98">
        <v>80.100000000000009</v>
      </c>
      <c r="P323" s="98">
        <f>INDEX($C$1:$I$1,MATCH(Tabel3[[#This Row],[Type]],Devoirs[[#Headers],[J0]:[J60]],0))</f>
        <v>2</v>
      </c>
      <c r="Q323" s="105" cm="1">
        <f t="array" aca="1" ref="Q32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45945.597708333364</v>
      </c>
      <c r="R323" s="105">
        <f ca="1">MAX(Tabel3[[#This Row],[jour]]+$R$3,IF(ROW()-ROW(Tabel3[[#Headers],[debut]])=1,DATE(2025,9,1)+$R$3,OFFSET(Tabel3[[#This Row],[fin]],-1,)))</f>
        <v>45947.589687500025</v>
      </c>
      <c r="S3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45947.645312500026</v>
      </c>
      <c r="T323" s="102">
        <f ca="1">--(Tabel3[[#This Row],[jour]]&lt;&gt;TRUNC(Tabel3[[#This Row],[fin]]))</f>
        <v>1</v>
      </c>
      <c r="U323" s="102">
        <f ca="1">IF(Tabel3[[#This Row],[Type]]="j0",0,--(TRUNC(Tabel3[[#This Row],[debut]])-TRUNC(Tabel3[[#This Row],[fin precedent]])&lt;Tabel3[[#This Row],[delai]]))</f>
        <v>0</v>
      </c>
    </row>
    <row r="324" spans="12:21" ht="18" customHeight="1" x14ac:dyDescent="0.2">
      <c r="L324" s="98" t="s">
        <v>120</v>
      </c>
      <c r="M324" s="98" t="s">
        <v>37</v>
      </c>
      <c r="N324" s="104">
        <v>45933</v>
      </c>
      <c r="O324" s="98">
        <v>91.8</v>
      </c>
      <c r="P324" s="98">
        <f>INDEX($C$1:$I$1,MATCH(Tabel3[[#This Row],[Type]],Devoirs[[#Headers],[J0]:[J60]],0))</f>
        <v>2</v>
      </c>
      <c r="Q324" s="105" cm="1">
        <f t="array" aca="1" ref="Q3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45945.668541666695</v>
      </c>
      <c r="R324" s="105">
        <f ca="1">MAX(Tabel3[[#This Row],[jour]]+$R$3,IF(ROW()-ROW(Tabel3[[#Headers],[debut]])=1,DATE(2025,9,1)+$R$3,OFFSET(Tabel3[[#This Row],[fin]],-1,)))</f>
        <v>45947.645312500026</v>
      </c>
      <c r="S3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45947.709062500027</v>
      </c>
      <c r="T324" s="102">
        <f ca="1">--(Tabel3[[#This Row],[jour]]&lt;&gt;TRUNC(Tabel3[[#This Row],[fin]]))</f>
        <v>1</v>
      </c>
      <c r="U324" s="102">
        <f ca="1">IF(Tabel3[[#This Row],[Type]]="j0",0,--(TRUNC(Tabel3[[#This Row],[debut]])-TRUNC(Tabel3[[#This Row],[fin precedent]])&lt;Tabel3[[#This Row],[delai]]))</f>
        <v>0</v>
      </c>
    </row>
    <row r="325" spans="12:21" ht="18" customHeight="1" x14ac:dyDescent="0.2">
      <c r="L325" s="98" t="s">
        <v>82</v>
      </c>
      <c r="M325" s="98" t="s">
        <v>40</v>
      </c>
      <c r="N325" s="104">
        <v>45933</v>
      </c>
      <c r="O325" s="98">
        <v>13.950000000000001</v>
      </c>
      <c r="P325" s="98">
        <f>INDEX($C$1:$I$1,MATCH(Tabel3[[#This Row],[Type]],Devoirs[[#Headers],[J0]:[J60]],0))</f>
        <v>5</v>
      </c>
      <c r="Q325" s="105" cm="1">
        <f t="array" aca="1" ref="Q3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45939.526944444464</v>
      </c>
      <c r="R325" s="105">
        <f ca="1">MAX(Tabel3[[#This Row],[jour]]+$R$3,IF(ROW()-ROW(Tabel3[[#Headers],[debut]])=1,DATE(2025,9,1)+$R$3,OFFSET(Tabel3[[#This Row],[fin]],-1,)))</f>
        <v>45947.709062500027</v>
      </c>
      <c r="S3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45947.718750000029</v>
      </c>
      <c r="T325" s="102">
        <f ca="1">--(Tabel3[[#This Row],[jour]]&lt;&gt;TRUNC(Tabel3[[#This Row],[fin]]))</f>
        <v>1</v>
      </c>
      <c r="U325" s="102">
        <f ca="1">IF(Tabel3[[#This Row],[Type]]="j0",0,--(TRUNC(Tabel3[[#This Row],[debut]])-TRUNC(Tabel3[[#This Row],[fin precedent]])&lt;Tabel3[[#This Row],[delai]]))</f>
        <v>0</v>
      </c>
    </row>
    <row r="326" spans="12:21" ht="18" customHeight="1" x14ac:dyDescent="0.2">
      <c r="L326" s="98" t="s">
        <v>142</v>
      </c>
      <c r="M326" s="98" t="s">
        <v>40</v>
      </c>
      <c r="N326" s="104">
        <v>45933</v>
      </c>
      <c r="O326" s="98">
        <v>18</v>
      </c>
      <c r="P326" s="98">
        <f>INDEX($C$1:$I$1,MATCH(Tabel3[[#This Row],[Type]],Devoirs[[#Headers],[J0]:[J60]],0))</f>
        <v>5</v>
      </c>
      <c r="Q326" s="105" cm="1">
        <f t="array" aca="1" ref="Q3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45939.543611111134</v>
      </c>
      <c r="R326" s="105">
        <f ca="1">MAX(Tabel3[[#This Row],[jour]]+$R$3,IF(ROW()-ROW(Tabel3[[#Headers],[debut]])=1,DATE(2025,9,1)+$R$3,OFFSET(Tabel3[[#This Row],[fin]],-1,)))</f>
        <v>45947.718750000029</v>
      </c>
      <c r="S3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45947.731250000026</v>
      </c>
      <c r="T326" s="102">
        <f ca="1">--(Tabel3[[#This Row],[jour]]&lt;&gt;TRUNC(Tabel3[[#This Row],[fin]]))</f>
        <v>1</v>
      </c>
      <c r="U326" s="102">
        <f ca="1">IF(Tabel3[[#This Row],[Type]]="j0",0,--(TRUNC(Tabel3[[#This Row],[debut]])-TRUNC(Tabel3[[#This Row],[fin precedent]])&lt;Tabel3[[#This Row],[delai]]))</f>
        <v>0</v>
      </c>
    </row>
    <row r="327" spans="12:21" ht="18" customHeight="1" x14ac:dyDescent="0.2">
      <c r="L327" s="98" t="s">
        <v>75</v>
      </c>
      <c r="M327" s="98" t="s">
        <v>40</v>
      </c>
      <c r="N327" s="104">
        <v>45933</v>
      </c>
      <c r="O327" s="98">
        <v>27</v>
      </c>
      <c r="P327" s="98">
        <f>INDEX($C$1:$I$1,MATCH(Tabel3[[#This Row],[Type]],Devoirs[[#Headers],[J0]:[J60]],0))</f>
        <v>5</v>
      </c>
      <c r="Q327" s="105" cm="1">
        <f t="array" aca="1" ref="Q3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45939.568611111135</v>
      </c>
      <c r="R327" s="105">
        <f ca="1">MAX(Tabel3[[#This Row],[jour]]+$R$3,IF(ROW()-ROW(Tabel3[[#Headers],[debut]])=1,DATE(2025,9,1)+$R$3,OFFSET(Tabel3[[#This Row],[fin]],-1,)))</f>
        <v>45947.731250000026</v>
      </c>
      <c r="S3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45950.333333333365</v>
      </c>
      <c r="T327" s="102">
        <f ca="1">--(Tabel3[[#This Row],[jour]]&lt;&gt;TRUNC(Tabel3[[#This Row],[fin]]))</f>
        <v>1</v>
      </c>
      <c r="U327" s="102">
        <f ca="1">IF(Tabel3[[#This Row],[Type]]="j0",0,--(TRUNC(Tabel3[[#This Row],[debut]])-TRUNC(Tabel3[[#This Row],[fin precedent]])&lt;Tabel3[[#This Row],[delai]]))</f>
        <v>0</v>
      </c>
    </row>
    <row r="328" spans="12:21" ht="18" customHeight="1" x14ac:dyDescent="0.2">
      <c r="L328" s="98" t="s">
        <v>57</v>
      </c>
      <c r="M328" s="98" t="s">
        <v>40</v>
      </c>
      <c r="N328" s="104">
        <v>45933</v>
      </c>
      <c r="O328" s="98">
        <v>32.85</v>
      </c>
      <c r="P328" s="98">
        <f>INDEX($C$1:$I$1,MATCH(Tabel3[[#This Row],[Type]],Devoirs[[#Headers],[J0]:[J60]],0))</f>
        <v>5</v>
      </c>
      <c r="Q328" s="105" cm="1">
        <f t="array" aca="1" ref="Q32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45939.599027777804</v>
      </c>
      <c r="R328" s="105">
        <f ca="1">MAX(Tabel3[[#This Row],[jour]]+$R$3,IF(ROW()-ROW(Tabel3[[#Headers],[debut]])=1,DATE(2025,9,1)+$R$3,OFFSET(Tabel3[[#This Row],[fin]],-1,)))</f>
        <v>45950.333333333365</v>
      </c>
      <c r="S3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45950.356145833364</v>
      </c>
      <c r="T328" s="102">
        <f ca="1">--(Tabel3[[#This Row],[jour]]&lt;&gt;TRUNC(Tabel3[[#This Row],[fin]]))</f>
        <v>1</v>
      </c>
      <c r="U328" s="102">
        <f ca="1">IF(Tabel3[[#This Row],[Type]]="j0",0,--(TRUNC(Tabel3[[#This Row],[debut]])-TRUNC(Tabel3[[#This Row],[fin precedent]])&lt;Tabel3[[#This Row],[delai]]))</f>
        <v>0</v>
      </c>
    </row>
    <row r="329" spans="12:21" ht="18" customHeight="1" x14ac:dyDescent="0.2">
      <c r="L329" s="98" t="s">
        <v>72</v>
      </c>
      <c r="M329" s="98" t="s">
        <v>40</v>
      </c>
      <c r="N329" s="104">
        <v>45933</v>
      </c>
      <c r="O329" s="98">
        <v>36.9</v>
      </c>
      <c r="P329" s="98">
        <f>INDEX($C$1:$I$1,MATCH(Tabel3[[#This Row],[Type]],Devoirs[[#Headers],[J0]:[J60]],0))</f>
        <v>5</v>
      </c>
      <c r="Q329" s="105" cm="1">
        <f t="array" aca="1" ref="Q32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45939.633194444468</v>
      </c>
      <c r="R329" s="105">
        <f ca="1">MAX(Tabel3[[#This Row],[jour]]+$R$3,IF(ROW()-ROW(Tabel3[[#Headers],[debut]])=1,DATE(2025,9,1)+$R$3,OFFSET(Tabel3[[#This Row],[fin]],-1,)))</f>
        <v>45950.356145833364</v>
      </c>
      <c r="S3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45950.381770833366</v>
      </c>
      <c r="T329" s="102">
        <f ca="1">--(Tabel3[[#This Row],[jour]]&lt;&gt;TRUNC(Tabel3[[#This Row],[fin]]))</f>
        <v>1</v>
      </c>
      <c r="U329" s="102">
        <f ca="1">IF(Tabel3[[#This Row],[Type]]="j0",0,--(TRUNC(Tabel3[[#This Row],[debut]])-TRUNC(Tabel3[[#This Row],[fin precedent]])&lt;Tabel3[[#This Row],[delai]]))</f>
        <v>0</v>
      </c>
    </row>
    <row r="330" spans="12:21" ht="18" customHeight="1" x14ac:dyDescent="0.2">
      <c r="L330" s="98" t="s">
        <v>92</v>
      </c>
      <c r="M330" s="98" t="s">
        <v>40</v>
      </c>
      <c r="N330" s="104">
        <v>45933</v>
      </c>
      <c r="O330" s="98">
        <v>44.550000000000004</v>
      </c>
      <c r="P330" s="98">
        <f>INDEX($C$1:$I$1,MATCH(Tabel3[[#This Row],[Type]],Devoirs[[#Headers],[J0]:[J60]],0))</f>
        <v>5</v>
      </c>
      <c r="Q330" s="105" cm="1">
        <f t="array" aca="1" ref="Q3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45939.67444444447</v>
      </c>
      <c r="R330" s="105">
        <f ca="1">MAX(Tabel3[[#This Row],[jour]]+$R$3,IF(ROW()-ROW(Tabel3[[#Headers],[debut]])=1,DATE(2025,9,1)+$R$3,OFFSET(Tabel3[[#This Row],[fin]],-1,)))</f>
        <v>45950.381770833366</v>
      </c>
      <c r="S3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45950.412708333366</v>
      </c>
      <c r="T330" s="102">
        <f ca="1">--(Tabel3[[#This Row],[jour]]&lt;&gt;TRUNC(Tabel3[[#This Row],[fin]]))</f>
        <v>1</v>
      </c>
      <c r="U330" s="102">
        <f ca="1">IF(Tabel3[[#This Row],[Type]]="j0",0,--(TRUNC(Tabel3[[#This Row],[debut]])-TRUNC(Tabel3[[#This Row],[fin precedent]])&lt;Tabel3[[#This Row],[delai]]))</f>
        <v>0</v>
      </c>
    </row>
    <row r="331" spans="12:21" ht="18" customHeight="1" x14ac:dyDescent="0.2">
      <c r="L331" s="98" t="s">
        <v>127</v>
      </c>
      <c r="M331" s="98" t="s">
        <v>40</v>
      </c>
      <c r="N331" s="104">
        <v>45933</v>
      </c>
      <c r="O331" s="98">
        <v>48.15</v>
      </c>
      <c r="P331" s="98">
        <f>INDEX($C$1:$I$1,MATCH(Tabel3[[#This Row],[Type]],Devoirs[[#Headers],[J0]:[J60]],0))</f>
        <v>5</v>
      </c>
      <c r="Q331" s="105" cm="1">
        <f t="array" aca="1" ref="Q33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45939.719027777806</v>
      </c>
      <c r="R331" s="105">
        <f ca="1">MAX(Tabel3[[#This Row],[jour]]+$R$3,IF(ROW()-ROW(Tabel3[[#Headers],[debut]])=1,DATE(2025,9,1)+$R$3,OFFSET(Tabel3[[#This Row],[fin]],-1,)))</f>
        <v>45950.412708333366</v>
      </c>
      <c r="S3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45950.446145833368</v>
      </c>
      <c r="T331" s="102">
        <f ca="1">--(Tabel3[[#This Row],[jour]]&lt;&gt;TRUNC(Tabel3[[#This Row],[fin]]))</f>
        <v>1</v>
      </c>
      <c r="U331" s="102">
        <f ca="1">IF(Tabel3[[#This Row],[Type]]="j0",0,--(TRUNC(Tabel3[[#This Row],[debut]])-TRUNC(Tabel3[[#This Row],[fin precedent]])&lt;Tabel3[[#This Row],[delai]]))</f>
        <v>0</v>
      </c>
    </row>
    <row r="332" spans="12:21" ht="18" customHeight="1" x14ac:dyDescent="0.2">
      <c r="L332" s="98" t="s">
        <v>86</v>
      </c>
      <c r="M332" s="98" t="s">
        <v>40</v>
      </c>
      <c r="N332" s="104">
        <v>45933</v>
      </c>
      <c r="O332" s="98">
        <v>49.5</v>
      </c>
      <c r="P332" s="98">
        <f>INDEX($C$1:$I$1,MATCH(Tabel3[[#This Row],[Type]],Devoirs[[#Headers],[J0]:[J60]],0))</f>
        <v>5</v>
      </c>
      <c r="Q332" s="105" cm="1">
        <f t="array" aca="1" ref="Q33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45940.348194444472</v>
      </c>
      <c r="R332" s="105">
        <f ca="1">MAX(Tabel3[[#This Row],[jour]]+$R$3,IF(ROW()-ROW(Tabel3[[#Headers],[debut]])=1,DATE(2025,9,1)+$R$3,OFFSET(Tabel3[[#This Row],[fin]],-1,)))</f>
        <v>45950.446145833368</v>
      </c>
      <c r="S3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45950.480520833371</v>
      </c>
      <c r="T332" s="102">
        <f ca="1">--(Tabel3[[#This Row],[jour]]&lt;&gt;TRUNC(Tabel3[[#This Row],[fin]]))</f>
        <v>1</v>
      </c>
      <c r="U332" s="102">
        <f ca="1">IF(Tabel3[[#This Row],[Type]]="j0",0,--(TRUNC(Tabel3[[#This Row],[debut]])-TRUNC(Tabel3[[#This Row],[fin precedent]])&lt;Tabel3[[#This Row],[delai]]))</f>
        <v>0</v>
      </c>
    </row>
    <row r="333" spans="12:21" ht="18" customHeight="1" x14ac:dyDescent="0.2">
      <c r="L333" s="98" t="s">
        <v>136</v>
      </c>
      <c r="M333" s="98" t="s">
        <v>39</v>
      </c>
      <c r="N333" s="104">
        <v>45933</v>
      </c>
      <c r="O333" s="98">
        <v>34.799999999999997</v>
      </c>
      <c r="P333" s="98">
        <f>INDEX($C$1:$I$1,MATCH(Tabel3[[#This Row],[Type]],Devoirs[[#Headers],[J0]:[J60]],0))</f>
        <v>4</v>
      </c>
      <c r="Q333" s="105" cm="1">
        <f t="array" aca="1" ref="Q3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45940.378402777802</v>
      </c>
      <c r="R333" s="105">
        <f ca="1">MAX(Tabel3[[#This Row],[jour]]+$R$3,IF(ROW()-ROW(Tabel3[[#Headers],[debut]])=1,DATE(2025,9,1)+$R$3,OFFSET(Tabel3[[#This Row],[fin]],-1,)))</f>
        <v>45950.480520833371</v>
      </c>
      <c r="S3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45950.504687500041</v>
      </c>
      <c r="T333" s="102">
        <f ca="1">--(Tabel3[[#This Row],[jour]]&lt;&gt;TRUNC(Tabel3[[#This Row],[fin]]))</f>
        <v>1</v>
      </c>
      <c r="U333" s="102">
        <f ca="1">IF(Tabel3[[#This Row],[Type]]="j0",0,--(TRUNC(Tabel3[[#This Row],[debut]])-TRUNC(Tabel3[[#This Row],[fin precedent]])&lt;Tabel3[[#This Row],[delai]]))</f>
        <v>0</v>
      </c>
    </row>
    <row r="334" spans="12:21" ht="18" customHeight="1" x14ac:dyDescent="0.2">
      <c r="L334" s="98" t="s">
        <v>93</v>
      </c>
      <c r="M334" s="98" t="s">
        <v>39</v>
      </c>
      <c r="N334" s="104">
        <v>45933</v>
      </c>
      <c r="O334" s="98">
        <v>46.8</v>
      </c>
      <c r="P334" s="98">
        <f>INDEX($C$1:$I$1,MATCH(Tabel3[[#This Row],[Type]],Devoirs[[#Headers],[J0]:[J60]],0))</f>
        <v>4</v>
      </c>
      <c r="Q334" s="105" cm="1">
        <f t="array" aca="1" ref="Q3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45940.419027777803</v>
      </c>
      <c r="R334" s="105">
        <f ca="1">MAX(Tabel3[[#This Row],[jour]]+$R$3,IF(ROW()-ROW(Tabel3[[#Headers],[debut]])=1,DATE(2025,9,1)+$R$3,OFFSET(Tabel3[[#This Row],[fin]],-1,)))</f>
        <v>45950.504687500041</v>
      </c>
      <c r="S3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45950.537187500042</v>
      </c>
      <c r="T334" s="102">
        <f ca="1">--(Tabel3[[#This Row],[jour]]&lt;&gt;TRUNC(Tabel3[[#This Row],[fin]]))</f>
        <v>1</v>
      </c>
      <c r="U334" s="102">
        <f ca="1">IF(Tabel3[[#This Row],[Type]]="j0",0,--(TRUNC(Tabel3[[#This Row],[debut]])-TRUNC(Tabel3[[#This Row],[fin precedent]])&lt;Tabel3[[#This Row],[delai]]))</f>
        <v>0</v>
      </c>
    </row>
    <row r="335" spans="12:21" ht="18" customHeight="1" x14ac:dyDescent="0.2">
      <c r="L335" s="98" t="s">
        <v>45</v>
      </c>
      <c r="M335" s="98" t="s">
        <v>39</v>
      </c>
      <c r="N335" s="104">
        <v>45933</v>
      </c>
      <c r="O335" s="98">
        <v>49.199999999999996</v>
      </c>
      <c r="P335" s="98">
        <f>INDEX($C$1:$I$1,MATCH(Tabel3[[#This Row],[Type]],Devoirs[[#Headers],[J0]:[J60]],0))</f>
        <v>4</v>
      </c>
      <c r="Q335" s="105" cm="1">
        <f t="array" aca="1" ref="Q3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45940.461736111138</v>
      </c>
      <c r="R335" s="105">
        <f ca="1">MAX(Tabel3[[#This Row],[jour]]+$R$3,IF(ROW()-ROW(Tabel3[[#Headers],[debut]])=1,DATE(2025,9,1)+$R$3,OFFSET(Tabel3[[#This Row],[fin]],-1,)))</f>
        <v>45950.537187500042</v>
      </c>
      <c r="S3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45950.571354166706</v>
      </c>
      <c r="T335" s="102">
        <f ca="1">--(Tabel3[[#This Row],[jour]]&lt;&gt;TRUNC(Tabel3[[#This Row],[fin]]))</f>
        <v>1</v>
      </c>
      <c r="U335" s="102">
        <f ca="1">IF(Tabel3[[#This Row],[Type]]="j0",0,--(TRUNC(Tabel3[[#This Row],[debut]])-TRUNC(Tabel3[[#This Row],[fin precedent]])&lt;Tabel3[[#This Row],[delai]]))</f>
        <v>0</v>
      </c>
    </row>
    <row r="336" spans="12:21" ht="18" customHeight="1" x14ac:dyDescent="0.2">
      <c r="L336" s="98" t="s">
        <v>134</v>
      </c>
      <c r="M336" s="98" t="s">
        <v>39</v>
      </c>
      <c r="N336" s="104">
        <v>45933</v>
      </c>
      <c r="O336" s="98">
        <v>61.199999999999996</v>
      </c>
      <c r="P336" s="98">
        <f>INDEX($C$1:$I$1,MATCH(Tabel3[[#This Row],[Type]],Devoirs[[#Headers],[J0]:[J60]],0))</f>
        <v>4</v>
      </c>
      <c r="Q336" s="105" cm="1">
        <f t="array" aca="1" ref="Q3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45940.514861111136</v>
      </c>
      <c r="R336" s="105">
        <f ca="1">MAX(Tabel3[[#This Row],[jour]]+$R$3,IF(ROW()-ROW(Tabel3[[#Headers],[debut]])=1,DATE(2025,9,1)+$R$3,OFFSET(Tabel3[[#This Row],[fin]],-1,)))</f>
        <v>45950.571354166706</v>
      </c>
      <c r="S3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45950.61385416671</v>
      </c>
      <c r="T336" s="102">
        <f ca="1">--(Tabel3[[#This Row],[jour]]&lt;&gt;TRUNC(Tabel3[[#This Row],[fin]]))</f>
        <v>1</v>
      </c>
      <c r="U336" s="102">
        <f ca="1">IF(Tabel3[[#This Row],[Type]]="j0",0,--(TRUNC(Tabel3[[#This Row],[debut]])-TRUNC(Tabel3[[#This Row],[fin precedent]])&lt;Tabel3[[#This Row],[delai]]))</f>
        <v>0</v>
      </c>
    </row>
    <row r="337" spans="12:21" ht="18" customHeight="1" x14ac:dyDescent="0.2">
      <c r="L337" s="98" t="s">
        <v>53</v>
      </c>
      <c r="M337" s="98" t="s">
        <v>1</v>
      </c>
      <c r="N337" s="104">
        <v>45933</v>
      </c>
      <c r="O337" s="98">
        <v>62</v>
      </c>
      <c r="P337" s="98">
        <f>INDEX($C$1:$I$1,MATCH(Tabel3[[#This Row],[Type]],Devoirs[[#Headers],[J0]:[J60]],0))</f>
        <v>0</v>
      </c>
      <c r="Q337" s="105" t="str" cm="1">
        <f t="array" ref="Q33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37" s="105">
        <f ca="1">MAX(Tabel3[[#This Row],[jour]]+$R$3,IF(ROW()-ROW(Tabel3[[#Headers],[debut]])=1,DATE(2025,9,1)+$R$3,OFFSET(Tabel3[[#This Row],[fin]],-1,)))</f>
        <v>45950.61385416671</v>
      </c>
      <c r="S3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45950.656909722267</v>
      </c>
      <c r="T337" s="102">
        <f ca="1">--(Tabel3[[#This Row],[jour]]&lt;&gt;TRUNC(Tabel3[[#This Row],[fin]]))</f>
        <v>1</v>
      </c>
      <c r="U337" s="102">
        <f>IF(Tabel3[[#This Row],[Type]]="j0",0,--(TRUNC(Tabel3[[#This Row],[debut]])-TRUNC(Tabel3[[#This Row],[fin precedent]])&lt;Tabel3[[#This Row],[delai]]))</f>
        <v>0</v>
      </c>
    </row>
    <row r="338" spans="12:21" ht="18" customHeight="1" x14ac:dyDescent="0.2">
      <c r="L338" s="98" t="s">
        <v>111</v>
      </c>
      <c r="M338" s="98" t="s">
        <v>1</v>
      </c>
      <c r="N338" s="104">
        <v>45933</v>
      </c>
      <c r="O338" s="98">
        <v>62</v>
      </c>
      <c r="P338" s="98">
        <f>INDEX($C$1:$I$1,MATCH(Tabel3[[#This Row],[Type]],Devoirs[[#Headers],[J0]:[J60]],0))</f>
        <v>0</v>
      </c>
      <c r="Q338" s="105" t="str" cm="1">
        <f t="array" ref="Q33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38" s="105">
        <f ca="1">MAX(Tabel3[[#This Row],[jour]]+$R$3,IF(ROW()-ROW(Tabel3[[#Headers],[debut]])=1,DATE(2025,9,1)+$R$3,OFFSET(Tabel3[[#This Row],[fin]],-1,)))</f>
        <v>45950.656909722267</v>
      </c>
      <c r="S3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45950.699965277825</v>
      </c>
      <c r="T338" s="102">
        <f ca="1">--(Tabel3[[#This Row],[jour]]&lt;&gt;TRUNC(Tabel3[[#This Row],[fin]]))</f>
        <v>1</v>
      </c>
      <c r="U338" s="102">
        <f>IF(Tabel3[[#This Row],[Type]]="j0",0,--(TRUNC(Tabel3[[#This Row],[debut]])-TRUNC(Tabel3[[#This Row],[fin precedent]])&lt;Tabel3[[#This Row],[delai]]))</f>
        <v>0</v>
      </c>
    </row>
    <row r="339" spans="12:21" ht="18" customHeight="1" x14ac:dyDescent="0.2">
      <c r="L339" s="98" t="s">
        <v>81</v>
      </c>
      <c r="M339" s="98" t="s">
        <v>1</v>
      </c>
      <c r="N339" s="104">
        <v>45933</v>
      </c>
      <c r="O339" s="98">
        <v>106</v>
      </c>
      <c r="P339" s="98">
        <f>INDEX($C$1:$I$1,MATCH(Tabel3[[#This Row],[Type]],Devoirs[[#Headers],[J0]:[J60]],0))</f>
        <v>0</v>
      </c>
      <c r="Q339" s="105" t="str" cm="1">
        <f t="array" ref="Q33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39" s="105">
        <f ca="1">MAX(Tabel3[[#This Row],[jour]]+$R$3,IF(ROW()-ROW(Tabel3[[#Headers],[debut]])=1,DATE(2025,9,1)+$R$3,OFFSET(Tabel3[[#This Row],[fin]],-1,)))</f>
        <v>45950.699965277825</v>
      </c>
      <c r="S3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45951.356909722272</v>
      </c>
      <c r="T339" s="102">
        <f ca="1">--(Tabel3[[#This Row],[jour]]&lt;&gt;TRUNC(Tabel3[[#This Row],[fin]]))</f>
        <v>1</v>
      </c>
      <c r="U339" s="102">
        <f>IF(Tabel3[[#This Row],[Type]]="j0",0,--(TRUNC(Tabel3[[#This Row],[debut]])-TRUNC(Tabel3[[#This Row],[fin precedent]])&lt;Tabel3[[#This Row],[delai]]))</f>
        <v>0</v>
      </c>
    </row>
    <row r="340" spans="12:21" ht="18" customHeight="1" x14ac:dyDescent="0.2">
      <c r="L340" s="98" t="s">
        <v>123</v>
      </c>
      <c r="M340" s="98" t="s">
        <v>37</v>
      </c>
      <c r="N340" s="104">
        <v>45934</v>
      </c>
      <c r="O340" s="98">
        <v>68.400000000000006</v>
      </c>
      <c r="P340" s="98">
        <f>INDEX($C$1:$I$1,MATCH(Tabel3[[#This Row],[Type]],Devoirs[[#Headers],[J0]:[J60]],0))</f>
        <v>2</v>
      </c>
      <c r="Q340" s="105" cm="1">
        <f t="array" aca="1" ref="Q34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45947.381840277805</v>
      </c>
      <c r="R340" s="105">
        <f ca="1">MAX(Tabel3[[#This Row],[jour]]+$R$3,IF(ROW()-ROW(Tabel3[[#Headers],[debut]])=1,DATE(2025,9,1)+$R$3,OFFSET(Tabel3[[#This Row],[fin]],-1,)))</f>
        <v>45951.356909722272</v>
      </c>
      <c r="S3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45951.404409722272</v>
      </c>
      <c r="T340" s="102">
        <f ca="1">--(Tabel3[[#This Row],[jour]]&lt;&gt;TRUNC(Tabel3[[#This Row],[fin]]))</f>
        <v>1</v>
      </c>
      <c r="U340" s="102">
        <f ca="1">IF(Tabel3[[#This Row],[Type]]="j0",0,--(TRUNC(Tabel3[[#This Row],[debut]])-TRUNC(Tabel3[[#This Row],[fin precedent]])&lt;Tabel3[[#This Row],[delai]]))</f>
        <v>0</v>
      </c>
    </row>
    <row r="341" spans="12:21" ht="18" customHeight="1" x14ac:dyDescent="0.2">
      <c r="L341" s="98" t="s">
        <v>50</v>
      </c>
      <c r="M341" s="98" t="s">
        <v>37</v>
      </c>
      <c r="N341" s="104">
        <v>45934</v>
      </c>
      <c r="O341" s="98">
        <v>107.10000000000001</v>
      </c>
      <c r="P341" s="98">
        <f>INDEX($C$1:$I$1,MATCH(Tabel3[[#This Row],[Type]],Devoirs[[#Headers],[J0]:[J60]],0))</f>
        <v>2</v>
      </c>
      <c r="Q341" s="105" cm="1">
        <f t="array" aca="1" ref="Q3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45947.464479166694</v>
      </c>
      <c r="R341" s="105">
        <f ca="1">MAX(Tabel3[[#This Row],[jour]]+$R$3,IF(ROW()-ROW(Tabel3[[#Headers],[debut]])=1,DATE(2025,9,1)+$R$3,OFFSET(Tabel3[[#This Row],[fin]],-1,)))</f>
        <v>45951.404409722272</v>
      </c>
      <c r="S3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45951.478784722269</v>
      </c>
      <c r="T341" s="102">
        <f ca="1">--(Tabel3[[#This Row],[jour]]&lt;&gt;TRUNC(Tabel3[[#This Row],[fin]]))</f>
        <v>1</v>
      </c>
      <c r="U341" s="102">
        <f ca="1">IF(Tabel3[[#This Row],[Type]]="j0",0,--(TRUNC(Tabel3[[#This Row],[debut]])-TRUNC(Tabel3[[#This Row],[fin precedent]])&lt;Tabel3[[#This Row],[delai]]))</f>
        <v>0</v>
      </c>
    </row>
    <row r="342" spans="12:21" ht="18" customHeight="1" x14ac:dyDescent="0.2">
      <c r="L342" s="98" t="s">
        <v>48</v>
      </c>
      <c r="M342" s="98" t="s">
        <v>40</v>
      </c>
      <c r="N342" s="104">
        <v>45934</v>
      </c>
      <c r="O342" s="98">
        <v>14.4</v>
      </c>
      <c r="P342" s="98">
        <f>INDEX($C$1:$I$1,MATCH(Tabel3[[#This Row],[Type]],Devoirs[[#Headers],[J0]:[J60]],0))</f>
        <v>5</v>
      </c>
      <c r="Q342" s="105" cm="1">
        <f t="array" aca="1" ref="Q3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45940.528194444472</v>
      </c>
      <c r="R342" s="105">
        <f ca="1">MAX(Tabel3[[#This Row],[jour]]+$R$3,IF(ROW()-ROW(Tabel3[[#Headers],[debut]])=1,DATE(2025,9,1)+$R$3,OFFSET(Tabel3[[#This Row],[fin]],-1,)))</f>
        <v>45951.478784722269</v>
      </c>
      <c r="S3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45951.488784722271</v>
      </c>
      <c r="T342" s="102">
        <f ca="1">--(Tabel3[[#This Row],[jour]]&lt;&gt;TRUNC(Tabel3[[#This Row],[fin]]))</f>
        <v>1</v>
      </c>
      <c r="U342" s="102">
        <f ca="1">IF(Tabel3[[#This Row],[Type]]="j0",0,--(TRUNC(Tabel3[[#This Row],[debut]])-TRUNC(Tabel3[[#This Row],[fin precedent]])&lt;Tabel3[[#This Row],[delai]]))</f>
        <v>0</v>
      </c>
    </row>
    <row r="343" spans="12:21" ht="18" customHeight="1" x14ac:dyDescent="0.2">
      <c r="L343" s="98" t="s">
        <v>58</v>
      </c>
      <c r="M343" s="98" t="s">
        <v>40</v>
      </c>
      <c r="N343" s="104">
        <v>45934</v>
      </c>
      <c r="O343" s="98">
        <v>25.2</v>
      </c>
      <c r="P343" s="98">
        <f>INDEX($C$1:$I$1,MATCH(Tabel3[[#This Row],[Type]],Devoirs[[#Headers],[J0]:[J60]],0))</f>
        <v>5</v>
      </c>
      <c r="Q343" s="105" cm="1">
        <f t="array" aca="1" ref="Q3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45940.551527777803</v>
      </c>
      <c r="R343" s="105">
        <f ca="1">MAX(Tabel3[[#This Row],[jour]]+$R$3,IF(ROW()-ROW(Tabel3[[#Headers],[debut]])=1,DATE(2025,9,1)+$R$3,OFFSET(Tabel3[[#This Row],[fin]],-1,)))</f>
        <v>45951.488784722271</v>
      </c>
      <c r="S3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45951.506284722273</v>
      </c>
      <c r="T343" s="102">
        <f ca="1">--(Tabel3[[#This Row],[jour]]&lt;&gt;TRUNC(Tabel3[[#This Row],[fin]]))</f>
        <v>1</v>
      </c>
      <c r="U343" s="102">
        <f ca="1">IF(Tabel3[[#This Row],[Type]]="j0",0,--(TRUNC(Tabel3[[#This Row],[debut]])-TRUNC(Tabel3[[#This Row],[fin precedent]])&lt;Tabel3[[#This Row],[delai]]))</f>
        <v>0</v>
      </c>
    </row>
    <row r="344" spans="12:21" ht="18" customHeight="1" x14ac:dyDescent="0.2">
      <c r="L344" s="98" t="s">
        <v>131</v>
      </c>
      <c r="M344" s="98" t="s">
        <v>40</v>
      </c>
      <c r="N344" s="104">
        <v>45934</v>
      </c>
      <c r="O344" s="98">
        <v>25.2</v>
      </c>
      <c r="P344" s="98">
        <f>INDEX($C$1:$I$1,MATCH(Tabel3[[#This Row],[Type]],Devoirs[[#Headers],[J0]:[J60]],0))</f>
        <v>5</v>
      </c>
      <c r="Q344" s="105" cm="1">
        <f t="array" aca="1" ref="Q3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45940.574861111134</v>
      </c>
      <c r="R344" s="105">
        <f ca="1">MAX(Tabel3[[#This Row],[jour]]+$R$3,IF(ROW()-ROW(Tabel3[[#Headers],[debut]])=1,DATE(2025,9,1)+$R$3,OFFSET(Tabel3[[#This Row],[fin]],-1,)))</f>
        <v>45951.506284722273</v>
      </c>
      <c r="S3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45951.523784722274</v>
      </c>
      <c r="T344" s="102">
        <f ca="1">--(Tabel3[[#This Row],[jour]]&lt;&gt;TRUNC(Tabel3[[#This Row],[fin]]))</f>
        <v>1</v>
      </c>
      <c r="U344" s="102">
        <f ca="1">IF(Tabel3[[#This Row],[Type]]="j0",0,--(TRUNC(Tabel3[[#This Row],[debut]])-TRUNC(Tabel3[[#This Row],[fin precedent]])&lt;Tabel3[[#This Row],[delai]]))</f>
        <v>0</v>
      </c>
    </row>
    <row r="345" spans="12:21" ht="18" customHeight="1" x14ac:dyDescent="0.2">
      <c r="L345" s="98" t="s">
        <v>52</v>
      </c>
      <c r="M345" s="98" t="s">
        <v>40</v>
      </c>
      <c r="N345" s="104">
        <v>45934</v>
      </c>
      <c r="O345" s="98">
        <v>45.9</v>
      </c>
      <c r="P345" s="98">
        <f>INDEX($C$1:$I$1,MATCH(Tabel3[[#This Row],[Type]],Devoirs[[#Headers],[J0]:[J60]],0))</f>
        <v>5</v>
      </c>
      <c r="Q345" s="105" cm="1">
        <f t="array" aca="1" ref="Q3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45940.617361111137</v>
      </c>
      <c r="R345" s="105">
        <f ca="1">MAX(Tabel3[[#This Row],[jour]]+$R$3,IF(ROW()-ROW(Tabel3[[#Headers],[debut]])=1,DATE(2025,9,1)+$R$3,OFFSET(Tabel3[[#This Row],[fin]],-1,)))</f>
        <v>45951.523784722274</v>
      </c>
      <c r="S3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45951.555659722275</v>
      </c>
      <c r="T345" s="102">
        <f ca="1">--(Tabel3[[#This Row],[jour]]&lt;&gt;TRUNC(Tabel3[[#This Row],[fin]]))</f>
        <v>1</v>
      </c>
      <c r="U345" s="102">
        <f ca="1">IF(Tabel3[[#This Row],[Type]]="j0",0,--(TRUNC(Tabel3[[#This Row],[debut]])-TRUNC(Tabel3[[#This Row],[fin precedent]])&lt;Tabel3[[#This Row],[delai]]))</f>
        <v>0</v>
      </c>
    </row>
    <row r="346" spans="12:21" ht="18" customHeight="1" x14ac:dyDescent="0.2">
      <c r="L346" s="98" t="s">
        <v>375</v>
      </c>
      <c r="M346" s="98" t="s">
        <v>40</v>
      </c>
      <c r="N346" s="104">
        <v>45934</v>
      </c>
      <c r="O346" s="98">
        <v>46.800000000000004</v>
      </c>
      <c r="P346" s="98">
        <f>INDEX($C$1:$I$1,MATCH(Tabel3[[#This Row],[Type]],Devoirs[[#Headers],[J0]:[J60]],0))</f>
        <v>5</v>
      </c>
      <c r="Q346" s="105" cm="1">
        <f t="array" aca="1" ref="Q3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45940.660694444472</v>
      </c>
      <c r="R346" s="105">
        <f ca="1">MAX(Tabel3[[#This Row],[jour]]+$R$3,IF(ROW()-ROW(Tabel3[[#Headers],[debut]])=1,DATE(2025,9,1)+$R$3,OFFSET(Tabel3[[#This Row],[fin]],-1,)))</f>
        <v>45951.555659722275</v>
      </c>
      <c r="S3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45951.588159722276</v>
      </c>
      <c r="T346" s="102">
        <f ca="1">--(Tabel3[[#This Row],[jour]]&lt;&gt;TRUNC(Tabel3[[#This Row],[fin]]))</f>
        <v>1</v>
      </c>
      <c r="U346" s="102">
        <f ca="1">IF(Tabel3[[#This Row],[Type]]="j0",0,--(TRUNC(Tabel3[[#This Row],[debut]])-TRUNC(Tabel3[[#This Row],[fin precedent]])&lt;Tabel3[[#This Row],[delai]]))</f>
        <v>0</v>
      </c>
    </row>
    <row r="347" spans="12:21" ht="18" customHeight="1" x14ac:dyDescent="0.2">
      <c r="L347" s="98" t="s">
        <v>84</v>
      </c>
      <c r="M347" s="98" t="s">
        <v>39</v>
      </c>
      <c r="N347" s="104">
        <v>45934</v>
      </c>
      <c r="O347" s="98">
        <v>24</v>
      </c>
      <c r="P347" s="98">
        <f>INDEX($C$1:$I$1,MATCH(Tabel3[[#This Row],[Type]],Devoirs[[#Headers],[J0]:[J60]],0))</f>
        <v>4</v>
      </c>
      <c r="Q347" s="105" cm="1">
        <f t="array" aca="1" ref="Q3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45943.394722222249</v>
      </c>
      <c r="R347" s="105">
        <f ca="1">MAX(Tabel3[[#This Row],[jour]]+$R$3,IF(ROW()-ROW(Tabel3[[#Headers],[debut]])=1,DATE(2025,9,1)+$R$3,OFFSET(Tabel3[[#This Row],[fin]],-1,)))</f>
        <v>45951.588159722276</v>
      </c>
      <c r="S3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45951.604826388946</v>
      </c>
      <c r="T347" s="102">
        <f ca="1">--(Tabel3[[#This Row],[jour]]&lt;&gt;TRUNC(Tabel3[[#This Row],[fin]]))</f>
        <v>1</v>
      </c>
      <c r="U347" s="102">
        <f ca="1">IF(Tabel3[[#This Row],[Type]]="j0",0,--(TRUNC(Tabel3[[#This Row],[debut]])-TRUNC(Tabel3[[#This Row],[fin precedent]])&lt;Tabel3[[#This Row],[delai]]))</f>
        <v>0</v>
      </c>
    </row>
    <row r="348" spans="12:21" ht="18" customHeight="1" x14ac:dyDescent="0.2">
      <c r="L348" s="98" t="s">
        <v>68</v>
      </c>
      <c r="M348" s="98" t="s">
        <v>39</v>
      </c>
      <c r="N348" s="104">
        <v>45934</v>
      </c>
      <c r="O348" s="98">
        <v>36</v>
      </c>
      <c r="P348" s="98">
        <f>INDEX($C$1:$I$1,MATCH(Tabel3[[#This Row],[Type]],Devoirs[[#Headers],[J0]:[J60]],0))</f>
        <v>4</v>
      </c>
      <c r="Q348" s="105" cm="1">
        <f t="array" aca="1" ref="Q3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45943.425972222249</v>
      </c>
      <c r="R348" s="105">
        <f ca="1">MAX(Tabel3[[#This Row],[jour]]+$R$3,IF(ROW()-ROW(Tabel3[[#Headers],[debut]])=1,DATE(2025,9,1)+$R$3,OFFSET(Tabel3[[#This Row],[fin]],-1,)))</f>
        <v>45951.604826388946</v>
      </c>
      <c r="S3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45951.629826388948</v>
      </c>
      <c r="T348" s="102">
        <f ca="1">--(Tabel3[[#This Row],[jour]]&lt;&gt;TRUNC(Tabel3[[#This Row],[fin]]))</f>
        <v>1</v>
      </c>
      <c r="U348" s="102">
        <f ca="1">IF(Tabel3[[#This Row],[Type]]="j0",0,--(TRUNC(Tabel3[[#This Row],[debut]])-TRUNC(Tabel3[[#This Row],[fin precedent]])&lt;Tabel3[[#This Row],[delai]]))</f>
        <v>0</v>
      </c>
    </row>
    <row r="349" spans="12:21" ht="18" customHeight="1" x14ac:dyDescent="0.2">
      <c r="L349" s="98" t="s">
        <v>121</v>
      </c>
      <c r="M349" s="98" t="s">
        <v>39</v>
      </c>
      <c r="N349" s="104">
        <v>45934</v>
      </c>
      <c r="O349" s="98">
        <v>41.4</v>
      </c>
      <c r="P349" s="98">
        <f>INDEX($C$1:$I$1,MATCH(Tabel3[[#This Row],[Type]],Devoirs[[#Headers],[J0]:[J60]],0))</f>
        <v>4</v>
      </c>
      <c r="Q349" s="105" cm="1">
        <f t="array" aca="1" ref="Q3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45943.461909722246</v>
      </c>
      <c r="R349" s="105">
        <f ca="1">MAX(Tabel3[[#This Row],[jour]]+$R$3,IF(ROW()-ROW(Tabel3[[#Headers],[debut]])=1,DATE(2025,9,1)+$R$3,OFFSET(Tabel3[[#This Row],[fin]],-1,)))</f>
        <v>45951.629826388948</v>
      </c>
      <c r="S3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45951.658576388945</v>
      </c>
      <c r="T349" s="102">
        <f ca="1">--(Tabel3[[#This Row],[jour]]&lt;&gt;TRUNC(Tabel3[[#This Row],[fin]]))</f>
        <v>1</v>
      </c>
      <c r="U349" s="102">
        <f ca="1">IF(Tabel3[[#This Row],[Type]]="j0",0,--(TRUNC(Tabel3[[#This Row],[debut]])-TRUNC(Tabel3[[#This Row],[fin precedent]])&lt;Tabel3[[#This Row],[delai]]))</f>
        <v>0</v>
      </c>
    </row>
    <row r="350" spans="12:21" ht="18" customHeight="1" x14ac:dyDescent="0.2">
      <c r="L350" s="98" t="s">
        <v>112</v>
      </c>
      <c r="M350" s="98" t="s">
        <v>39</v>
      </c>
      <c r="N350" s="104">
        <v>45934</v>
      </c>
      <c r="O350" s="98">
        <v>58.8</v>
      </c>
      <c r="P350" s="98">
        <f>INDEX($C$1:$I$1,MATCH(Tabel3[[#This Row],[Type]],Devoirs[[#Headers],[J0]:[J60]],0))</f>
        <v>4</v>
      </c>
      <c r="Q350" s="105" cm="1">
        <f t="array" aca="1" ref="Q3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45943.512951388911</v>
      </c>
      <c r="R350" s="105">
        <f ca="1">MAX(Tabel3[[#This Row],[jour]]+$R$3,IF(ROW()-ROW(Tabel3[[#Headers],[debut]])=1,DATE(2025,9,1)+$R$3,OFFSET(Tabel3[[#This Row],[fin]],-1,)))</f>
        <v>45951.658576388945</v>
      </c>
      <c r="S3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45951.699409722278</v>
      </c>
      <c r="T350" s="102">
        <f ca="1">--(Tabel3[[#This Row],[jour]]&lt;&gt;TRUNC(Tabel3[[#This Row],[fin]]))</f>
        <v>1</v>
      </c>
      <c r="U350" s="102">
        <f ca="1">IF(Tabel3[[#This Row],[Type]]="j0",0,--(TRUNC(Tabel3[[#This Row],[debut]])-TRUNC(Tabel3[[#This Row],[fin precedent]])&lt;Tabel3[[#This Row],[delai]]))</f>
        <v>0</v>
      </c>
    </row>
    <row r="351" spans="12:21" ht="18" customHeight="1" x14ac:dyDescent="0.2">
      <c r="L351" s="98" t="s">
        <v>100</v>
      </c>
      <c r="M351" s="98" t="s">
        <v>39</v>
      </c>
      <c r="N351" s="104">
        <v>45934</v>
      </c>
      <c r="O351" s="98">
        <v>60</v>
      </c>
      <c r="P351" s="98">
        <f>INDEX($C$1:$I$1,MATCH(Tabel3[[#This Row],[Type]],Devoirs[[#Headers],[J0]:[J60]],0))</f>
        <v>4</v>
      </c>
      <c r="Q351" s="105" cm="1">
        <f t="array" aca="1" ref="Q3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45943.565034722247</v>
      </c>
      <c r="R351" s="105">
        <f ca="1">MAX(Tabel3[[#This Row],[jour]]+$R$3,IF(ROW()-ROW(Tabel3[[#Headers],[debut]])=1,DATE(2025,9,1)+$R$3,OFFSET(Tabel3[[#This Row],[fin]],-1,)))</f>
        <v>45951.699409722278</v>
      </c>
      <c r="S3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45951.741076388942</v>
      </c>
      <c r="T351" s="102">
        <f ca="1">--(Tabel3[[#This Row],[jour]]&lt;&gt;TRUNC(Tabel3[[#This Row],[fin]]))</f>
        <v>1</v>
      </c>
      <c r="U351" s="102">
        <f ca="1">IF(Tabel3[[#This Row],[Type]]="j0",0,--(TRUNC(Tabel3[[#This Row],[debut]])-TRUNC(Tabel3[[#This Row],[fin precedent]])&lt;Tabel3[[#This Row],[delai]]))</f>
        <v>0</v>
      </c>
    </row>
    <row r="352" spans="12:21" ht="18" customHeight="1" x14ac:dyDescent="0.2">
      <c r="L352" s="98" t="s">
        <v>101</v>
      </c>
      <c r="M352" s="98" t="s">
        <v>39</v>
      </c>
      <c r="N352" s="104">
        <v>45934</v>
      </c>
      <c r="O352" s="98">
        <v>60</v>
      </c>
      <c r="P352" s="98">
        <f>INDEX($C$1:$I$1,MATCH(Tabel3[[#This Row],[Type]],Devoirs[[#Headers],[J0]:[J60]],0))</f>
        <v>4</v>
      </c>
      <c r="Q352" s="105" cm="1">
        <f t="array" aca="1" ref="Q3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45943.617118055583</v>
      </c>
      <c r="R352" s="105">
        <f ca="1">MAX(Tabel3[[#This Row],[jour]]+$R$3,IF(ROW()-ROW(Tabel3[[#Headers],[debut]])=1,DATE(2025,9,1)+$R$3,OFFSET(Tabel3[[#This Row],[fin]],-1,)))</f>
        <v>45951.741076388942</v>
      </c>
      <c r="S3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45952.366076388942</v>
      </c>
      <c r="T352" s="102">
        <f ca="1">--(Tabel3[[#This Row],[jour]]&lt;&gt;TRUNC(Tabel3[[#This Row],[fin]]))</f>
        <v>1</v>
      </c>
      <c r="U352" s="102">
        <f ca="1">IF(Tabel3[[#This Row],[Type]]="j0",0,--(TRUNC(Tabel3[[#This Row],[debut]])-TRUNC(Tabel3[[#This Row],[fin precedent]])&lt;Tabel3[[#This Row],[delai]]))</f>
        <v>0</v>
      </c>
    </row>
    <row r="353" spans="12:21" ht="18" customHeight="1" x14ac:dyDescent="0.2">
      <c r="L353" s="98" t="s">
        <v>110</v>
      </c>
      <c r="M353" s="98" t="s">
        <v>39</v>
      </c>
      <c r="N353" s="104">
        <v>45934</v>
      </c>
      <c r="O353" s="98">
        <v>60</v>
      </c>
      <c r="P353" s="98">
        <f>INDEX($C$1:$I$1,MATCH(Tabel3[[#This Row],[Type]],Devoirs[[#Headers],[J0]:[J60]],0))</f>
        <v>4</v>
      </c>
      <c r="Q353" s="105" cm="1">
        <f t="array" aca="1" ref="Q3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45943.669201388919</v>
      </c>
      <c r="R353" s="105">
        <f ca="1">MAX(Tabel3[[#This Row],[jour]]+$R$3,IF(ROW()-ROW(Tabel3[[#Headers],[debut]])=1,DATE(2025,9,1)+$R$3,OFFSET(Tabel3[[#This Row],[fin]],-1,)))</f>
        <v>45952.366076388942</v>
      </c>
      <c r="S3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45952.407743055606</v>
      </c>
      <c r="T353" s="102">
        <f ca="1">--(Tabel3[[#This Row],[jour]]&lt;&gt;TRUNC(Tabel3[[#This Row],[fin]]))</f>
        <v>1</v>
      </c>
      <c r="U353" s="102">
        <f ca="1">IF(Tabel3[[#This Row],[Type]]="j0",0,--(TRUNC(Tabel3[[#This Row],[debut]])-TRUNC(Tabel3[[#This Row],[fin precedent]])&lt;Tabel3[[#This Row],[delai]]))</f>
        <v>0</v>
      </c>
    </row>
    <row r="354" spans="12:21" ht="18" customHeight="1" x14ac:dyDescent="0.2">
      <c r="L354" s="98" t="s">
        <v>122</v>
      </c>
      <c r="M354" s="98" t="s">
        <v>38</v>
      </c>
      <c r="N354" s="104">
        <v>45935</v>
      </c>
      <c r="O354" s="98">
        <v>59.25</v>
      </c>
      <c r="P354" s="98">
        <f>INDEX($C$1:$I$1,MATCH(Tabel3[[#This Row],[Type]],Devoirs[[#Headers],[J0]:[J60]],0))</f>
        <v>4</v>
      </c>
      <c r="Q354" s="105" cm="1">
        <f t="array" aca="1" ref="Q3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45944.73430555559</v>
      </c>
      <c r="R354" s="105">
        <f ca="1">MAX(Tabel3[[#This Row],[jour]]+$R$3,IF(ROW()-ROW(Tabel3[[#Headers],[debut]])=1,DATE(2025,9,1)+$R$3,OFFSET(Tabel3[[#This Row],[fin]],-1,)))</f>
        <v>45952.407743055606</v>
      </c>
      <c r="S3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45952.448888888939</v>
      </c>
      <c r="T354" s="102">
        <f ca="1">--(Tabel3[[#This Row],[jour]]&lt;&gt;TRUNC(Tabel3[[#This Row],[fin]]))</f>
        <v>1</v>
      </c>
      <c r="U354" s="102">
        <f ca="1">IF(Tabel3[[#This Row],[Type]]="j0",0,--(TRUNC(Tabel3[[#This Row],[debut]])-TRUNC(Tabel3[[#This Row],[fin precedent]])&lt;Tabel3[[#This Row],[delai]]))</f>
        <v>0</v>
      </c>
    </row>
    <row r="355" spans="12:21" ht="18" customHeight="1" x14ac:dyDescent="0.2">
      <c r="L355" s="98" t="s">
        <v>77</v>
      </c>
      <c r="M355" s="98" t="s">
        <v>38</v>
      </c>
      <c r="N355" s="104">
        <v>45935</v>
      </c>
      <c r="O355" s="98">
        <v>81</v>
      </c>
      <c r="P355" s="98">
        <f>INDEX($C$1:$I$1,MATCH(Tabel3[[#This Row],[Type]],Devoirs[[#Headers],[J0]:[J60]],0))</f>
        <v>4</v>
      </c>
      <c r="Q355" s="105" cm="1">
        <f t="array" aca="1" ref="Q3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45945.385138888923</v>
      </c>
      <c r="R355" s="105">
        <f ca="1">MAX(Tabel3[[#This Row],[jour]]+$R$3,IF(ROW()-ROW(Tabel3[[#Headers],[debut]])=1,DATE(2025,9,1)+$R$3,OFFSET(Tabel3[[#This Row],[fin]],-1,)))</f>
        <v>45952.448888888939</v>
      </c>
      <c r="S3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45952.505138888941</v>
      </c>
      <c r="T355" s="102">
        <f ca="1">--(Tabel3[[#This Row],[jour]]&lt;&gt;TRUNC(Tabel3[[#This Row],[fin]]))</f>
        <v>1</v>
      </c>
      <c r="U355" s="102">
        <f ca="1">IF(Tabel3[[#This Row],[Type]]="j0",0,--(TRUNC(Tabel3[[#This Row],[debut]])-TRUNC(Tabel3[[#This Row],[fin precedent]])&lt;Tabel3[[#This Row],[delai]]))</f>
        <v>0</v>
      </c>
    </row>
    <row r="356" spans="12:21" ht="18" customHeight="1" x14ac:dyDescent="0.2">
      <c r="L356" s="98" t="s">
        <v>141</v>
      </c>
      <c r="M356" s="98" t="s">
        <v>41</v>
      </c>
      <c r="N356" s="104">
        <v>45935</v>
      </c>
      <c r="O356" s="98">
        <v>18.899999999999999</v>
      </c>
      <c r="P356" s="98">
        <f>INDEX($C$1:$I$1,MATCH(Tabel3[[#This Row],[Type]],Devoirs[[#Headers],[J0]:[J60]],0))</f>
        <v>15</v>
      </c>
      <c r="Q356" s="105" cm="1">
        <f t="array" aca="1" ref="Q3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45925.520694444436</v>
      </c>
      <c r="R356" s="105">
        <f ca="1">MAX(Tabel3[[#This Row],[jour]]+$R$3,IF(ROW()-ROW(Tabel3[[#Headers],[debut]])=1,DATE(2025,9,1)+$R$3,OFFSET(Tabel3[[#This Row],[fin]],-1,)))</f>
        <v>45952.505138888941</v>
      </c>
      <c r="S3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45952.518263888938</v>
      </c>
      <c r="T356" s="102">
        <f ca="1">--(Tabel3[[#This Row],[jour]]&lt;&gt;TRUNC(Tabel3[[#This Row],[fin]]))</f>
        <v>1</v>
      </c>
      <c r="U356" s="102">
        <f ca="1">IF(Tabel3[[#This Row],[Type]]="j0",0,--(TRUNC(Tabel3[[#This Row],[debut]])-TRUNC(Tabel3[[#This Row],[fin precedent]])&lt;Tabel3[[#This Row],[delai]]))</f>
        <v>0</v>
      </c>
    </row>
    <row r="357" spans="12:21" ht="18" customHeight="1" x14ac:dyDescent="0.2">
      <c r="L357" s="98" t="s">
        <v>53</v>
      </c>
      <c r="M357" s="98" t="s">
        <v>37</v>
      </c>
      <c r="N357" s="104">
        <v>45935</v>
      </c>
      <c r="O357" s="98">
        <v>55.800000000000004</v>
      </c>
      <c r="P357" s="98">
        <f>INDEX($C$1:$I$1,MATCH(Tabel3[[#This Row],[Type]],Devoirs[[#Headers],[J0]:[J60]],0))</f>
        <v>2</v>
      </c>
      <c r="Q357" s="105" cm="1">
        <f t="array" aca="1" ref="Q3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45950.656909722267</v>
      </c>
      <c r="R357" s="105">
        <f ca="1">MAX(Tabel3[[#This Row],[jour]]+$R$3,IF(ROW()-ROW(Tabel3[[#Headers],[debut]])=1,DATE(2025,9,1)+$R$3,OFFSET(Tabel3[[#This Row],[fin]],-1,)))</f>
        <v>45952.518263888938</v>
      </c>
      <c r="S3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45952.557013888938</v>
      </c>
      <c r="T357" s="102">
        <f ca="1">--(Tabel3[[#This Row],[jour]]&lt;&gt;TRUNC(Tabel3[[#This Row],[fin]]))</f>
        <v>1</v>
      </c>
      <c r="U357" s="102">
        <f ca="1">IF(Tabel3[[#This Row],[Type]]="j0",0,--(TRUNC(Tabel3[[#This Row],[debut]])-TRUNC(Tabel3[[#This Row],[fin precedent]])&lt;Tabel3[[#This Row],[delai]]))</f>
        <v>0</v>
      </c>
    </row>
    <row r="358" spans="12:21" ht="18" customHeight="1" x14ac:dyDescent="0.2">
      <c r="L358" s="98" t="s">
        <v>111</v>
      </c>
      <c r="M358" s="98" t="s">
        <v>37</v>
      </c>
      <c r="N358" s="104">
        <v>45935</v>
      </c>
      <c r="O358" s="98">
        <v>55.800000000000004</v>
      </c>
      <c r="P358" s="98">
        <f>INDEX($C$1:$I$1,MATCH(Tabel3[[#This Row],[Type]],Devoirs[[#Headers],[J0]:[J60]],0))</f>
        <v>2</v>
      </c>
      <c r="Q358" s="105" cm="1">
        <f t="array" aca="1" ref="Q3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45950.699965277825</v>
      </c>
      <c r="R358" s="105">
        <f ca="1">MAX(Tabel3[[#This Row],[jour]]+$R$3,IF(ROW()-ROW(Tabel3[[#Headers],[debut]])=1,DATE(2025,9,1)+$R$3,OFFSET(Tabel3[[#This Row],[fin]],-1,)))</f>
        <v>45952.557013888938</v>
      </c>
      <c r="S3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45952.595763888938</v>
      </c>
      <c r="T358" s="102">
        <f ca="1">--(Tabel3[[#This Row],[jour]]&lt;&gt;TRUNC(Tabel3[[#This Row],[fin]]))</f>
        <v>1</v>
      </c>
      <c r="U358" s="102">
        <f ca="1">IF(Tabel3[[#This Row],[Type]]="j0",0,--(TRUNC(Tabel3[[#This Row],[debut]])-TRUNC(Tabel3[[#This Row],[fin precedent]])&lt;Tabel3[[#This Row],[delai]]))</f>
        <v>0</v>
      </c>
    </row>
    <row r="359" spans="12:21" ht="18" customHeight="1" x14ac:dyDescent="0.2">
      <c r="L359" s="98" t="s">
        <v>81</v>
      </c>
      <c r="M359" s="98" t="s">
        <v>37</v>
      </c>
      <c r="N359" s="104">
        <v>45935</v>
      </c>
      <c r="O359" s="98">
        <v>95.4</v>
      </c>
      <c r="P359" s="98">
        <f>INDEX($C$1:$I$1,MATCH(Tabel3[[#This Row],[Type]],Devoirs[[#Headers],[J0]:[J60]],0))</f>
        <v>2</v>
      </c>
      <c r="Q359" s="105" cm="1">
        <f t="array" aca="1" ref="Q3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45951.356909722272</v>
      </c>
      <c r="R359" s="105">
        <f ca="1">MAX(Tabel3[[#This Row],[jour]]+$R$3,IF(ROW()-ROW(Tabel3[[#Headers],[debut]])=1,DATE(2025,9,1)+$R$3,OFFSET(Tabel3[[#This Row],[fin]],-1,)))</f>
        <v>45952.595763888938</v>
      </c>
      <c r="S3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45952.662013888941</v>
      </c>
      <c r="T359" s="102">
        <f ca="1">--(Tabel3[[#This Row],[jour]]&lt;&gt;TRUNC(Tabel3[[#This Row],[fin]]))</f>
        <v>1</v>
      </c>
      <c r="U359" s="102">
        <f ca="1">IF(Tabel3[[#This Row],[Type]]="j0",0,--(TRUNC(Tabel3[[#This Row],[debut]])-TRUNC(Tabel3[[#This Row],[fin precedent]])&lt;Tabel3[[#This Row],[delai]]))</f>
        <v>1</v>
      </c>
    </row>
    <row r="360" spans="12:21" ht="18" customHeight="1" x14ac:dyDescent="0.2">
      <c r="L360" s="98" t="s">
        <v>119</v>
      </c>
      <c r="M360" s="98" t="s">
        <v>39</v>
      </c>
      <c r="N360" s="104">
        <v>45935</v>
      </c>
      <c r="O360" s="98">
        <v>20.399999999999999</v>
      </c>
      <c r="P360" s="98">
        <f>INDEX($C$1:$I$1,MATCH(Tabel3[[#This Row],[Type]],Devoirs[[#Headers],[J0]:[J60]],0))</f>
        <v>4</v>
      </c>
      <c r="Q360" s="105" cm="1">
        <f t="array" aca="1" ref="Q3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45944.53763888892</v>
      </c>
      <c r="R360" s="105">
        <f ca="1">MAX(Tabel3[[#This Row],[jour]]+$R$3,IF(ROW()-ROW(Tabel3[[#Headers],[debut]])=1,DATE(2025,9,1)+$R$3,OFFSET(Tabel3[[#This Row],[fin]],-1,)))</f>
        <v>45952.662013888941</v>
      </c>
      <c r="S3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45952.676180555609</v>
      </c>
      <c r="T360" s="102">
        <f ca="1">--(Tabel3[[#This Row],[jour]]&lt;&gt;TRUNC(Tabel3[[#This Row],[fin]]))</f>
        <v>1</v>
      </c>
      <c r="U360" s="102">
        <f ca="1">IF(Tabel3[[#This Row],[Type]]="j0",0,--(TRUNC(Tabel3[[#This Row],[debut]])-TRUNC(Tabel3[[#This Row],[fin precedent]])&lt;Tabel3[[#This Row],[delai]]))</f>
        <v>0</v>
      </c>
    </row>
    <row r="361" spans="12:21" ht="18" customHeight="1" x14ac:dyDescent="0.2">
      <c r="L361" s="98" t="s">
        <v>87</v>
      </c>
      <c r="M361" s="98" t="s">
        <v>39</v>
      </c>
      <c r="N361" s="104">
        <v>45935</v>
      </c>
      <c r="O361" s="98">
        <v>21.599999999999998</v>
      </c>
      <c r="P361" s="98">
        <f>INDEX($C$1:$I$1,MATCH(Tabel3[[#This Row],[Type]],Devoirs[[#Headers],[J0]:[J60]],0))</f>
        <v>4</v>
      </c>
      <c r="Q361" s="105" cm="1">
        <f t="array" aca="1" ref="Q3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45944.556388888923</v>
      </c>
      <c r="R361" s="105">
        <f ca="1">MAX(Tabel3[[#This Row],[jour]]+$R$3,IF(ROW()-ROW(Tabel3[[#Headers],[debut]])=1,DATE(2025,9,1)+$R$3,OFFSET(Tabel3[[#This Row],[fin]],-1,)))</f>
        <v>45952.676180555609</v>
      </c>
      <c r="S3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45952.691180555608</v>
      </c>
      <c r="T361" s="102">
        <f ca="1">--(Tabel3[[#This Row],[jour]]&lt;&gt;TRUNC(Tabel3[[#This Row],[fin]]))</f>
        <v>1</v>
      </c>
      <c r="U361" s="102">
        <f ca="1">IF(Tabel3[[#This Row],[Type]]="j0",0,--(TRUNC(Tabel3[[#This Row],[debut]])-TRUNC(Tabel3[[#This Row],[fin precedent]])&lt;Tabel3[[#This Row],[delai]]))</f>
        <v>0</v>
      </c>
    </row>
    <row r="362" spans="12:21" ht="18" customHeight="1" x14ac:dyDescent="0.2">
      <c r="L362" s="98" t="s">
        <v>94</v>
      </c>
      <c r="M362" s="98" t="s">
        <v>39</v>
      </c>
      <c r="N362" s="104">
        <v>45935</v>
      </c>
      <c r="O362" s="98">
        <v>42</v>
      </c>
      <c r="P362" s="98">
        <f>INDEX($C$1:$I$1,MATCH(Tabel3[[#This Row],[Type]],Devoirs[[#Headers],[J0]:[J60]],0))</f>
        <v>4</v>
      </c>
      <c r="Q362" s="105" cm="1">
        <f t="array" aca="1" ref="Q3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45944.592847222259</v>
      </c>
      <c r="R362" s="105">
        <f ca="1">MAX(Tabel3[[#This Row],[jour]]+$R$3,IF(ROW()-ROW(Tabel3[[#Headers],[debut]])=1,DATE(2025,9,1)+$R$3,OFFSET(Tabel3[[#This Row],[fin]],-1,)))</f>
        <v>45952.691180555608</v>
      </c>
      <c r="S3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45952.720347222275</v>
      </c>
      <c r="T362" s="102">
        <f ca="1">--(Tabel3[[#This Row],[jour]]&lt;&gt;TRUNC(Tabel3[[#This Row],[fin]]))</f>
        <v>1</v>
      </c>
      <c r="U362" s="102">
        <f ca="1">IF(Tabel3[[#This Row],[Type]]="j0",0,--(TRUNC(Tabel3[[#This Row],[debut]])-TRUNC(Tabel3[[#This Row],[fin precedent]])&lt;Tabel3[[#This Row],[delai]]))</f>
        <v>0</v>
      </c>
    </row>
    <row r="363" spans="12:21" ht="18" customHeight="1" x14ac:dyDescent="0.2">
      <c r="L363" s="98" t="s">
        <v>46</v>
      </c>
      <c r="M363" s="98" t="s">
        <v>39</v>
      </c>
      <c r="N363" s="104">
        <v>45935</v>
      </c>
      <c r="O363" s="98">
        <v>45.6</v>
      </c>
      <c r="P363" s="98">
        <f>INDEX($C$1:$I$1,MATCH(Tabel3[[#This Row],[Type]],Devoirs[[#Headers],[J0]:[J60]],0))</f>
        <v>4</v>
      </c>
      <c r="Q363" s="105" cm="1">
        <f t="array" aca="1" ref="Q3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45944.63243055559</v>
      </c>
      <c r="R363" s="105">
        <f ca="1">MAX(Tabel3[[#This Row],[jour]]+$R$3,IF(ROW()-ROW(Tabel3[[#Headers],[debut]])=1,DATE(2025,9,1)+$R$3,OFFSET(Tabel3[[#This Row],[fin]],-1,)))</f>
        <v>45952.720347222275</v>
      </c>
      <c r="S3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45953.335347222281</v>
      </c>
      <c r="T363" s="102">
        <f ca="1">--(Tabel3[[#This Row],[jour]]&lt;&gt;TRUNC(Tabel3[[#This Row],[fin]]))</f>
        <v>1</v>
      </c>
      <c r="U363" s="102">
        <f ca="1">IF(Tabel3[[#This Row],[Type]]="j0",0,--(TRUNC(Tabel3[[#This Row],[debut]])-TRUNC(Tabel3[[#This Row],[fin precedent]])&lt;Tabel3[[#This Row],[delai]]))</f>
        <v>0</v>
      </c>
    </row>
    <row r="364" spans="12:21" ht="18" customHeight="1" x14ac:dyDescent="0.2">
      <c r="L364" s="98" t="s">
        <v>129</v>
      </c>
      <c r="M364" s="98" t="s">
        <v>39</v>
      </c>
      <c r="N364" s="104">
        <v>45935</v>
      </c>
      <c r="O364" s="98">
        <v>52.8</v>
      </c>
      <c r="P364" s="98">
        <f>INDEX($C$1:$I$1,MATCH(Tabel3[[#This Row],[Type]],Devoirs[[#Headers],[J0]:[J60]],0))</f>
        <v>4</v>
      </c>
      <c r="Q364" s="105" cm="1">
        <f t="array" aca="1" ref="Q3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45944.67826388892</v>
      </c>
      <c r="R364" s="105">
        <f ca="1">MAX(Tabel3[[#This Row],[jour]]+$R$3,IF(ROW()-ROW(Tabel3[[#Headers],[debut]])=1,DATE(2025,9,1)+$R$3,OFFSET(Tabel3[[#This Row],[fin]],-1,)))</f>
        <v>45953.335347222281</v>
      </c>
      <c r="S3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45953.372013888948</v>
      </c>
      <c r="T364" s="102">
        <f ca="1">--(Tabel3[[#This Row],[jour]]&lt;&gt;TRUNC(Tabel3[[#This Row],[fin]]))</f>
        <v>1</v>
      </c>
      <c r="U364" s="102">
        <f ca="1">IF(Tabel3[[#This Row],[Type]]="j0",0,--(TRUNC(Tabel3[[#This Row],[debut]])-TRUNC(Tabel3[[#This Row],[fin precedent]])&lt;Tabel3[[#This Row],[delai]]))</f>
        <v>0</v>
      </c>
    </row>
    <row r="365" spans="12:21" ht="18" customHeight="1" x14ac:dyDescent="0.2">
      <c r="L365" s="98" t="s">
        <v>47</v>
      </c>
      <c r="M365" s="98" t="s">
        <v>38</v>
      </c>
      <c r="N365" s="104">
        <v>45936</v>
      </c>
      <c r="O365" s="98">
        <v>44.25</v>
      </c>
      <c r="P365" s="98">
        <f>INDEX($C$1:$I$1,MATCH(Tabel3[[#This Row],[Type]],Devoirs[[#Headers],[J0]:[J60]],0))</f>
        <v>4</v>
      </c>
      <c r="Q365" s="105" cm="1">
        <f t="array" aca="1" ref="Q3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45946.358541666697</v>
      </c>
      <c r="R365" s="105">
        <f ca="1">MAX(Tabel3[[#This Row],[jour]]+$R$3,IF(ROW()-ROW(Tabel3[[#Headers],[debut]])=1,DATE(2025,9,1)+$R$3,OFFSET(Tabel3[[#This Row],[fin]],-1,)))</f>
        <v>45953.372013888948</v>
      </c>
      <c r="S3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45953.402743055616</v>
      </c>
      <c r="T365" s="102">
        <f ca="1">--(Tabel3[[#This Row],[jour]]&lt;&gt;TRUNC(Tabel3[[#This Row],[fin]]))</f>
        <v>1</v>
      </c>
      <c r="U365" s="102">
        <f ca="1">IF(Tabel3[[#This Row],[Type]]="j0",0,--(TRUNC(Tabel3[[#This Row],[debut]])-TRUNC(Tabel3[[#This Row],[fin precedent]])&lt;Tabel3[[#This Row],[delai]]))</f>
        <v>0</v>
      </c>
    </row>
    <row r="366" spans="12:21" ht="18" customHeight="1" x14ac:dyDescent="0.2">
      <c r="L366" s="98" t="s">
        <v>76</v>
      </c>
      <c r="M366" s="98" t="s">
        <v>38</v>
      </c>
      <c r="N366" s="104">
        <v>45936</v>
      </c>
      <c r="O366" s="98">
        <v>85.5</v>
      </c>
      <c r="P366" s="98">
        <f>INDEX($C$1:$I$1,MATCH(Tabel3[[#This Row],[Type]],Devoirs[[#Headers],[J0]:[J60]],0))</f>
        <v>4</v>
      </c>
      <c r="Q366" s="105" cm="1">
        <f t="array" aca="1" ref="Q3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45946.429791666698</v>
      </c>
      <c r="R366" s="105">
        <f ca="1">MAX(Tabel3[[#This Row],[jour]]+$R$3,IF(ROW()-ROW(Tabel3[[#Headers],[debut]])=1,DATE(2025,9,1)+$R$3,OFFSET(Tabel3[[#This Row],[fin]],-1,)))</f>
        <v>45953.402743055616</v>
      </c>
      <c r="S3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45953.462118055613</v>
      </c>
      <c r="T366" s="102">
        <f ca="1">--(Tabel3[[#This Row],[jour]]&lt;&gt;TRUNC(Tabel3[[#This Row],[fin]]))</f>
        <v>1</v>
      </c>
      <c r="U366" s="102">
        <f ca="1">IF(Tabel3[[#This Row],[Type]]="j0",0,--(TRUNC(Tabel3[[#This Row],[debut]])-TRUNC(Tabel3[[#This Row],[fin precedent]])&lt;Tabel3[[#This Row],[delai]]))</f>
        <v>0</v>
      </c>
    </row>
    <row r="367" spans="12:21" ht="18" customHeight="1" x14ac:dyDescent="0.2">
      <c r="L367" s="98" t="s">
        <v>49</v>
      </c>
      <c r="M367" s="98" t="s">
        <v>38</v>
      </c>
      <c r="N367" s="104">
        <v>45936</v>
      </c>
      <c r="O367" s="98">
        <v>88.5</v>
      </c>
      <c r="P367" s="98">
        <f>INDEX($C$1:$I$1,MATCH(Tabel3[[#This Row],[Type]],Devoirs[[#Headers],[J0]:[J60]],0))</f>
        <v>4</v>
      </c>
      <c r="Q367" s="105" cm="1">
        <f t="array" aca="1" ref="Q3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45946.503541666701</v>
      </c>
      <c r="R367" s="105">
        <f ca="1">MAX(Tabel3[[#This Row],[jour]]+$R$3,IF(ROW()-ROW(Tabel3[[#Headers],[debut]])=1,DATE(2025,9,1)+$R$3,OFFSET(Tabel3[[#This Row],[fin]],-1,)))</f>
        <v>45953.462118055613</v>
      </c>
      <c r="S3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45953.523576388943</v>
      </c>
      <c r="T367" s="102">
        <f ca="1">--(Tabel3[[#This Row],[jour]]&lt;&gt;TRUNC(Tabel3[[#This Row],[fin]]))</f>
        <v>1</v>
      </c>
      <c r="U367" s="102">
        <f ca="1">IF(Tabel3[[#This Row],[Type]]="j0",0,--(TRUNC(Tabel3[[#This Row],[debut]])-TRUNC(Tabel3[[#This Row],[fin precedent]])&lt;Tabel3[[#This Row],[delai]]))</f>
        <v>0</v>
      </c>
    </row>
    <row r="368" spans="12:21" ht="18" customHeight="1" x14ac:dyDescent="0.2">
      <c r="L368" s="98" t="s">
        <v>63</v>
      </c>
      <c r="M368" s="98" t="s">
        <v>1</v>
      </c>
      <c r="N368" s="104">
        <v>45936</v>
      </c>
      <c r="O368" s="98">
        <v>71</v>
      </c>
      <c r="P368" s="98">
        <f>INDEX($C$1:$I$1,MATCH(Tabel3[[#This Row],[Type]],Devoirs[[#Headers],[J0]:[J60]],0))</f>
        <v>0</v>
      </c>
      <c r="Q368" s="105" t="str" cm="1">
        <f t="array" ref="Q36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68" s="105">
        <f ca="1">MAX(Tabel3[[#This Row],[jour]]+$R$3,IF(ROW()-ROW(Tabel3[[#Headers],[debut]])=1,DATE(2025,9,1)+$R$3,OFFSET(Tabel3[[#This Row],[fin]],-1,)))</f>
        <v>45953.523576388943</v>
      </c>
      <c r="S3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45953.572881944499</v>
      </c>
      <c r="T368" s="102">
        <f ca="1">--(Tabel3[[#This Row],[jour]]&lt;&gt;TRUNC(Tabel3[[#This Row],[fin]]))</f>
        <v>1</v>
      </c>
      <c r="U368" s="102">
        <f>IF(Tabel3[[#This Row],[Type]]="j0",0,--(TRUNC(Tabel3[[#This Row],[debut]])-TRUNC(Tabel3[[#This Row],[fin precedent]])&lt;Tabel3[[#This Row],[delai]]))</f>
        <v>0</v>
      </c>
    </row>
    <row r="369" spans="12:21" ht="18" customHeight="1" x14ac:dyDescent="0.2">
      <c r="L369" s="98" t="s">
        <v>91</v>
      </c>
      <c r="M369" s="98" t="s">
        <v>1</v>
      </c>
      <c r="N369" s="104">
        <v>45936</v>
      </c>
      <c r="O369" s="98">
        <v>71</v>
      </c>
      <c r="P369" s="98">
        <f>INDEX($C$1:$I$1,MATCH(Tabel3[[#This Row],[Type]],Devoirs[[#Headers],[J0]:[J60]],0))</f>
        <v>0</v>
      </c>
      <c r="Q369" s="105" t="str" cm="1">
        <f t="array" ref="Q36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69" s="105">
        <f ca="1">MAX(Tabel3[[#This Row],[jour]]+$R$3,IF(ROW()-ROW(Tabel3[[#Headers],[debut]])=1,DATE(2025,9,1)+$R$3,OFFSET(Tabel3[[#This Row],[fin]],-1,)))</f>
        <v>45953.572881944499</v>
      </c>
      <c r="S3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45953.622187500056</v>
      </c>
      <c r="T369" s="102">
        <f ca="1">--(Tabel3[[#This Row],[jour]]&lt;&gt;TRUNC(Tabel3[[#This Row],[fin]]))</f>
        <v>1</v>
      </c>
      <c r="U369" s="102">
        <f>IF(Tabel3[[#This Row],[Type]]="j0",0,--(TRUNC(Tabel3[[#This Row],[debut]])-TRUNC(Tabel3[[#This Row],[fin precedent]])&lt;Tabel3[[#This Row],[delai]]))</f>
        <v>0</v>
      </c>
    </row>
    <row r="370" spans="12:21" ht="18" customHeight="1" x14ac:dyDescent="0.2">
      <c r="L370" s="98" t="s">
        <v>124</v>
      </c>
      <c r="M370" s="98" t="s">
        <v>38</v>
      </c>
      <c r="N370" s="104">
        <v>45937</v>
      </c>
      <c r="O370" s="98">
        <v>37.5</v>
      </c>
      <c r="P370" s="98">
        <f>INDEX($C$1:$I$1,MATCH(Tabel3[[#This Row],[Type]],Devoirs[[#Headers],[J0]:[J60]],0))</f>
        <v>4</v>
      </c>
      <c r="Q370" s="105" cm="1">
        <f t="array" aca="1" ref="Q37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45947.552187500027</v>
      </c>
      <c r="R370" s="105">
        <f ca="1">MAX(Tabel3[[#This Row],[jour]]+$R$3,IF(ROW()-ROW(Tabel3[[#Headers],[debut]])=1,DATE(2025,9,1)+$R$3,OFFSET(Tabel3[[#This Row],[fin]],-1,)))</f>
        <v>45953.622187500056</v>
      </c>
      <c r="S3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45953.64822916672</v>
      </c>
      <c r="T370" s="102">
        <f ca="1">--(Tabel3[[#This Row],[jour]]&lt;&gt;TRUNC(Tabel3[[#This Row],[fin]]))</f>
        <v>1</v>
      </c>
      <c r="U370" s="102">
        <f ca="1">IF(Tabel3[[#This Row],[Type]]="j0",0,--(TRUNC(Tabel3[[#This Row],[debut]])-TRUNC(Tabel3[[#This Row],[fin precedent]])&lt;Tabel3[[#This Row],[delai]]))</f>
        <v>0</v>
      </c>
    </row>
    <row r="371" spans="12:21" ht="18" customHeight="1" x14ac:dyDescent="0.2">
      <c r="L371" s="98" t="s">
        <v>56</v>
      </c>
      <c r="M371" s="98" t="s">
        <v>38</v>
      </c>
      <c r="N371" s="104">
        <v>45937</v>
      </c>
      <c r="O371" s="98">
        <v>45</v>
      </c>
      <c r="P371" s="98">
        <f>INDEX($C$1:$I$1,MATCH(Tabel3[[#This Row],[Type]],Devoirs[[#Headers],[J0]:[J60]],0))</f>
        <v>4</v>
      </c>
      <c r="Q371" s="105" cm="1">
        <f t="array" aca="1" ref="Q37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45947.589687500025</v>
      </c>
      <c r="R371" s="105">
        <f ca="1">MAX(Tabel3[[#This Row],[jour]]+$R$3,IF(ROW()-ROW(Tabel3[[#Headers],[debut]])=1,DATE(2025,9,1)+$R$3,OFFSET(Tabel3[[#This Row],[fin]],-1,)))</f>
        <v>45953.64822916672</v>
      </c>
      <c r="S3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45953.67947916672</v>
      </c>
      <c r="T371" s="102">
        <f ca="1">--(Tabel3[[#This Row],[jour]]&lt;&gt;TRUNC(Tabel3[[#This Row],[fin]]))</f>
        <v>1</v>
      </c>
      <c r="U371" s="102">
        <f ca="1">IF(Tabel3[[#This Row],[Type]]="j0",0,--(TRUNC(Tabel3[[#This Row],[debut]])-TRUNC(Tabel3[[#This Row],[fin precedent]])&lt;Tabel3[[#This Row],[delai]]))</f>
        <v>0</v>
      </c>
    </row>
    <row r="372" spans="12:21" ht="18" customHeight="1" x14ac:dyDescent="0.2">
      <c r="L372" s="98" t="s">
        <v>73</v>
      </c>
      <c r="M372" s="98" t="s">
        <v>38</v>
      </c>
      <c r="N372" s="104">
        <v>45937</v>
      </c>
      <c r="O372" s="98">
        <v>66.75</v>
      </c>
      <c r="P372" s="98">
        <f>INDEX($C$1:$I$1,MATCH(Tabel3[[#This Row],[Type]],Devoirs[[#Headers],[J0]:[J60]],0))</f>
        <v>4</v>
      </c>
      <c r="Q372" s="105" cm="1">
        <f t="array" aca="1" ref="Q37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45947.645312500026</v>
      </c>
      <c r="R372" s="105">
        <f ca="1">MAX(Tabel3[[#This Row],[jour]]+$R$3,IF(ROW()-ROW(Tabel3[[#Headers],[debut]])=1,DATE(2025,9,1)+$R$3,OFFSET(Tabel3[[#This Row],[fin]],-1,)))</f>
        <v>45953.67947916672</v>
      </c>
      <c r="S3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45953.725833333388</v>
      </c>
      <c r="T372" s="102">
        <f ca="1">--(Tabel3[[#This Row],[jour]]&lt;&gt;TRUNC(Tabel3[[#This Row],[fin]]))</f>
        <v>1</v>
      </c>
      <c r="U372" s="102">
        <f ca="1">IF(Tabel3[[#This Row],[Type]]="j0",0,--(TRUNC(Tabel3[[#This Row],[debut]])-TRUNC(Tabel3[[#This Row],[fin precedent]])&lt;Tabel3[[#This Row],[delai]]))</f>
        <v>0</v>
      </c>
    </row>
    <row r="373" spans="12:21" ht="18" customHeight="1" x14ac:dyDescent="0.2">
      <c r="L373" s="98" t="s">
        <v>120</v>
      </c>
      <c r="M373" s="98" t="s">
        <v>38</v>
      </c>
      <c r="N373" s="104">
        <v>45937</v>
      </c>
      <c r="O373" s="98">
        <v>76.5</v>
      </c>
      <c r="P373" s="98">
        <f>INDEX($C$1:$I$1,MATCH(Tabel3[[#This Row],[Type]],Devoirs[[#Headers],[J0]:[J60]],0))</f>
        <v>4</v>
      </c>
      <c r="Q373" s="105" cm="1">
        <f t="array" aca="1" ref="Q3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45947.709062500027</v>
      </c>
      <c r="R373" s="105">
        <f ca="1">MAX(Tabel3[[#This Row],[jour]]+$R$3,IF(ROW()-ROW(Tabel3[[#Headers],[debut]])=1,DATE(2025,9,1)+$R$3,OFFSET(Tabel3[[#This Row],[fin]],-1,)))</f>
        <v>45953.725833333388</v>
      </c>
      <c r="S3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45954.362291666723</v>
      </c>
      <c r="T373" s="102">
        <f ca="1">--(Tabel3[[#This Row],[jour]]&lt;&gt;TRUNC(Tabel3[[#This Row],[fin]]))</f>
        <v>1</v>
      </c>
      <c r="U373" s="102">
        <f ca="1">IF(Tabel3[[#This Row],[Type]]="j0",0,--(TRUNC(Tabel3[[#This Row],[debut]])-TRUNC(Tabel3[[#This Row],[fin precedent]])&lt;Tabel3[[#This Row],[delai]]))</f>
        <v>0</v>
      </c>
    </row>
    <row r="374" spans="12:21" ht="18" customHeight="1" x14ac:dyDescent="0.2">
      <c r="L374" s="98" t="s">
        <v>67</v>
      </c>
      <c r="M374" s="98" t="s">
        <v>40</v>
      </c>
      <c r="N374" s="104">
        <v>45937</v>
      </c>
      <c r="O374" s="98">
        <v>14.85</v>
      </c>
      <c r="P374" s="98">
        <f>INDEX($C$1:$I$1,MATCH(Tabel3[[#This Row],[Type]],Devoirs[[#Headers],[J0]:[J60]],0))</f>
        <v>5</v>
      </c>
      <c r="Q374" s="105" cm="1">
        <f t="array" aca="1" ref="Q3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45946.653229166695</v>
      </c>
      <c r="R374" s="105">
        <f ca="1">MAX(Tabel3[[#This Row],[jour]]+$R$3,IF(ROW()-ROW(Tabel3[[#Headers],[debut]])=1,DATE(2025,9,1)+$R$3,OFFSET(Tabel3[[#This Row],[fin]],-1,)))</f>
        <v>45954.362291666723</v>
      </c>
      <c r="S3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45954.372604166725</v>
      </c>
      <c r="T374" s="102">
        <f ca="1">--(Tabel3[[#This Row],[jour]]&lt;&gt;TRUNC(Tabel3[[#This Row],[fin]]))</f>
        <v>1</v>
      </c>
      <c r="U374" s="102">
        <f ca="1">IF(Tabel3[[#This Row],[Type]]="j0",0,--(TRUNC(Tabel3[[#This Row],[debut]])-TRUNC(Tabel3[[#This Row],[fin precedent]])&lt;Tabel3[[#This Row],[delai]]))</f>
        <v>0</v>
      </c>
    </row>
    <row r="375" spans="12:21" ht="18" customHeight="1" x14ac:dyDescent="0.2">
      <c r="L375" s="98" t="s">
        <v>116</v>
      </c>
      <c r="M375" s="98" t="s">
        <v>40</v>
      </c>
      <c r="N375" s="104">
        <v>45937</v>
      </c>
      <c r="O375" s="98">
        <v>49.5</v>
      </c>
      <c r="P375" s="98">
        <f>INDEX($C$1:$I$1,MATCH(Tabel3[[#This Row],[Type]],Devoirs[[#Headers],[J0]:[J60]],0))</f>
        <v>5</v>
      </c>
      <c r="Q375" s="105" cm="1">
        <f t="array" aca="1" ref="Q3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45946.699062500025</v>
      </c>
      <c r="R375" s="105">
        <f ca="1">MAX(Tabel3[[#This Row],[jour]]+$R$3,IF(ROW()-ROW(Tabel3[[#Headers],[debut]])=1,DATE(2025,9,1)+$R$3,OFFSET(Tabel3[[#This Row],[fin]],-1,)))</f>
        <v>45954.372604166725</v>
      </c>
      <c r="S3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45954.406979166728</v>
      </c>
      <c r="T375" s="102">
        <f ca="1">--(Tabel3[[#This Row],[jour]]&lt;&gt;TRUNC(Tabel3[[#This Row],[fin]]))</f>
        <v>1</v>
      </c>
      <c r="U375" s="102">
        <f ca="1">IF(Tabel3[[#This Row],[Type]]="j0",0,--(TRUNC(Tabel3[[#This Row],[debut]])-TRUNC(Tabel3[[#This Row],[fin precedent]])&lt;Tabel3[[#This Row],[delai]]))</f>
        <v>0</v>
      </c>
    </row>
    <row r="376" spans="12:21" ht="18" customHeight="1" x14ac:dyDescent="0.2">
      <c r="L376" s="98" t="s">
        <v>109</v>
      </c>
      <c r="M376" s="98" t="s">
        <v>40</v>
      </c>
      <c r="N376" s="104">
        <v>45937</v>
      </c>
      <c r="O376" s="98">
        <v>50.4</v>
      </c>
      <c r="P376" s="98">
        <f>INDEX($C$1:$I$1,MATCH(Tabel3[[#This Row],[Type]],Devoirs[[#Headers],[J0]:[J60]],0))</f>
        <v>5</v>
      </c>
      <c r="Q376" s="105" cm="1">
        <f t="array" aca="1" ref="Q3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45946.745729166694</v>
      </c>
      <c r="R376" s="105">
        <f ca="1">MAX(Tabel3[[#This Row],[jour]]+$R$3,IF(ROW()-ROW(Tabel3[[#Headers],[debut]])=1,DATE(2025,9,1)+$R$3,OFFSET(Tabel3[[#This Row],[fin]],-1,)))</f>
        <v>45954.406979166728</v>
      </c>
      <c r="S3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45954.441979166731</v>
      </c>
      <c r="T376" s="102">
        <f ca="1">--(Tabel3[[#This Row],[jour]]&lt;&gt;TRUNC(Tabel3[[#This Row],[fin]]))</f>
        <v>1</v>
      </c>
      <c r="U376" s="102">
        <f ca="1">IF(Tabel3[[#This Row],[Type]]="j0",0,--(TRUNC(Tabel3[[#This Row],[debut]])-TRUNC(Tabel3[[#This Row],[fin precedent]])&lt;Tabel3[[#This Row],[delai]]))</f>
        <v>0</v>
      </c>
    </row>
    <row r="377" spans="12:21" ht="18" customHeight="1" x14ac:dyDescent="0.2">
      <c r="L377" s="98" t="s">
        <v>103</v>
      </c>
      <c r="M377" s="98" t="s">
        <v>1</v>
      </c>
      <c r="N377" s="104">
        <v>45937</v>
      </c>
      <c r="O377" s="98">
        <v>36</v>
      </c>
      <c r="P377" s="98">
        <f>INDEX($C$1:$I$1,MATCH(Tabel3[[#This Row],[Type]],Devoirs[[#Headers],[J0]:[J60]],0))</f>
        <v>0</v>
      </c>
      <c r="Q377" s="105" t="str" cm="1">
        <f t="array" ref="Q37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77" s="105">
        <f ca="1">MAX(Tabel3[[#This Row],[jour]]+$R$3,IF(ROW()-ROW(Tabel3[[#Headers],[debut]])=1,DATE(2025,9,1)+$R$3,OFFSET(Tabel3[[#This Row],[fin]],-1,)))</f>
        <v>45954.441979166731</v>
      </c>
      <c r="S3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45954.466979166733</v>
      </c>
      <c r="T377" s="102">
        <f ca="1">--(Tabel3[[#This Row],[jour]]&lt;&gt;TRUNC(Tabel3[[#This Row],[fin]]))</f>
        <v>1</v>
      </c>
      <c r="U377" s="102">
        <f>IF(Tabel3[[#This Row],[Type]]="j0",0,--(TRUNC(Tabel3[[#This Row],[debut]])-TRUNC(Tabel3[[#This Row],[fin precedent]])&lt;Tabel3[[#This Row],[delai]]))</f>
        <v>0</v>
      </c>
    </row>
    <row r="378" spans="12:21" ht="18" customHeight="1" x14ac:dyDescent="0.2">
      <c r="L378" s="98" t="s">
        <v>126</v>
      </c>
      <c r="M378" s="98" t="s">
        <v>1</v>
      </c>
      <c r="N378" s="104">
        <v>45937</v>
      </c>
      <c r="O378" s="98">
        <v>66</v>
      </c>
      <c r="P378" s="98">
        <f>INDEX($C$1:$I$1,MATCH(Tabel3[[#This Row],[Type]],Devoirs[[#Headers],[J0]:[J60]],0))</f>
        <v>0</v>
      </c>
      <c r="Q378" s="105" t="str" cm="1">
        <f t="array" ref="Q37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78" s="105">
        <f ca="1">MAX(Tabel3[[#This Row],[jour]]+$R$3,IF(ROW()-ROW(Tabel3[[#Headers],[debut]])=1,DATE(2025,9,1)+$R$3,OFFSET(Tabel3[[#This Row],[fin]],-1,)))</f>
        <v>45954.466979166733</v>
      </c>
      <c r="S3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45954.512812500063</v>
      </c>
      <c r="T378" s="102">
        <f ca="1">--(Tabel3[[#This Row],[jour]]&lt;&gt;TRUNC(Tabel3[[#This Row],[fin]]))</f>
        <v>1</v>
      </c>
      <c r="U378" s="102">
        <f>IF(Tabel3[[#This Row],[Type]]="j0",0,--(TRUNC(Tabel3[[#This Row],[debut]])-TRUNC(Tabel3[[#This Row],[fin precedent]])&lt;Tabel3[[#This Row],[delai]]))</f>
        <v>0</v>
      </c>
    </row>
    <row r="379" spans="12:21" ht="18" customHeight="1" x14ac:dyDescent="0.2">
      <c r="L379" s="98" t="s">
        <v>70</v>
      </c>
      <c r="M379" s="98" t="s">
        <v>1</v>
      </c>
      <c r="N379" s="104">
        <v>45937</v>
      </c>
      <c r="O379" s="98">
        <v>84</v>
      </c>
      <c r="P379" s="98">
        <f>INDEX($C$1:$I$1,MATCH(Tabel3[[#This Row],[Type]],Devoirs[[#Headers],[J0]:[J60]],0))</f>
        <v>0</v>
      </c>
      <c r="Q379" s="105" t="str" cm="1">
        <f t="array" ref="Q37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79" s="105">
        <f ca="1">MAX(Tabel3[[#This Row],[jour]]+$R$3,IF(ROW()-ROW(Tabel3[[#Headers],[debut]])=1,DATE(2025,9,1)+$R$3,OFFSET(Tabel3[[#This Row],[fin]],-1,)))</f>
        <v>45954.512812500063</v>
      </c>
      <c r="S3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45954.571145833397</v>
      </c>
      <c r="T379" s="102">
        <f ca="1">--(Tabel3[[#This Row],[jour]]&lt;&gt;TRUNC(Tabel3[[#This Row],[fin]]))</f>
        <v>1</v>
      </c>
      <c r="U379" s="102">
        <f>IF(Tabel3[[#This Row],[Type]]="j0",0,--(TRUNC(Tabel3[[#This Row],[debut]])-TRUNC(Tabel3[[#This Row],[fin precedent]])&lt;Tabel3[[#This Row],[delai]]))</f>
        <v>0</v>
      </c>
    </row>
    <row r="380" spans="12:21" ht="18" customHeight="1" x14ac:dyDescent="0.2">
      <c r="L380" s="98" t="s">
        <v>71</v>
      </c>
      <c r="M380" s="98" t="s">
        <v>1</v>
      </c>
      <c r="N380" s="104">
        <v>45937</v>
      </c>
      <c r="O380" s="98">
        <v>101</v>
      </c>
      <c r="P380" s="98">
        <f>INDEX($C$1:$I$1,MATCH(Tabel3[[#This Row],[Type]],Devoirs[[#Headers],[J0]:[J60]],0))</f>
        <v>0</v>
      </c>
      <c r="Q380" s="105" t="str" cm="1">
        <f t="array" ref="Q38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80" s="105">
        <f ca="1">MAX(Tabel3[[#This Row],[jour]]+$R$3,IF(ROW()-ROW(Tabel3[[#Headers],[debut]])=1,DATE(2025,9,1)+$R$3,OFFSET(Tabel3[[#This Row],[fin]],-1,)))</f>
        <v>45954.571145833397</v>
      </c>
      <c r="S3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45954.641284722289</v>
      </c>
      <c r="T380" s="102">
        <f ca="1">--(Tabel3[[#This Row],[jour]]&lt;&gt;TRUNC(Tabel3[[#This Row],[fin]]))</f>
        <v>1</v>
      </c>
      <c r="U380" s="102">
        <f>IF(Tabel3[[#This Row],[Type]]="j0",0,--(TRUNC(Tabel3[[#This Row],[debut]])-TRUNC(Tabel3[[#This Row],[fin precedent]])&lt;Tabel3[[#This Row],[delai]]))</f>
        <v>0</v>
      </c>
    </row>
    <row r="381" spans="12:21" ht="18" customHeight="1" x14ac:dyDescent="0.2">
      <c r="L381" s="98" t="s">
        <v>65</v>
      </c>
      <c r="M381" s="98" t="s">
        <v>1</v>
      </c>
      <c r="N381" s="104">
        <v>45937</v>
      </c>
      <c r="O381" s="98">
        <v>109</v>
      </c>
      <c r="P381" s="98">
        <f>INDEX($C$1:$I$1,MATCH(Tabel3[[#This Row],[Type]],Devoirs[[#Headers],[J0]:[J60]],0))</f>
        <v>0</v>
      </c>
      <c r="Q381" s="105" t="str" cm="1">
        <f t="array" ref="Q38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81" s="105">
        <f ca="1">MAX(Tabel3[[#This Row],[jour]]+$R$3,IF(ROW()-ROW(Tabel3[[#Headers],[debut]])=1,DATE(2025,9,1)+$R$3,OFFSET(Tabel3[[#This Row],[fin]],-1,)))</f>
        <v>45954.641284722289</v>
      </c>
      <c r="S3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45954.716979166733</v>
      </c>
      <c r="T381" s="102">
        <f ca="1">--(Tabel3[[#This Row],[jour]]&lt;&gt;TRUNC(Tabel3[[#This Row],[fin]]))</f>
        <v>1</v>
      </c>
      <c r="U381" s="102">
        <f>IF(Tabel3[[#This Row],[Type]]="j0",0,--(TRUNC(Tabel3[[#This Row],[debut]])-TRUNC(Tabel3[[#This Row],[fin precedent]])&lt;Tabel3[[#This Row],[delai]]))</f>
        <v>0</v>
      </c>
    </row>
    <row r="382" spans="12:21" ht="18" customHeight="1" x14ac:dyDescent="0.2">
      <c r="L382" s="98" t="s">
        <v>123</v>
      </c>
      <c r="M382" s="98" t="s">
        <v>38</v>
      </c>
      <c r="N382" s="104">
        <v>45938</v>
      </c>
      <c r="O382" s="98">
        <v>57</v>
      </c>
      <c r="P382" s="98">
        <f>INDEX($C$1:$I$1,MATCH(Tabel3[[#This Row],[Type]],Devoirs[[#Headers],[J0]:[J60]],0))</f>
        <v>4</v>
      </c>
      <c r="Q382" s="105" cm="1">
        <f t="array" aca="1" ref="Q38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45951.404409722272</v>
      </c>
      <c r="R382" s="105">
        <f ca="1">MAX(Tabel3[[#This Row],[jour]]+$R$3,IF(ROW()-ROW(Tabel3[[#Headers],[debut]])=1,DATE(2025,9,1)+$R$3,OFFSET(Tabel3[[#This Row],[fin]],-1,)))</f>
        <v>45954.716979166733</v>
      </c>
      <c r="S3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45957.3398958334</v>
      </c>
      <c r="T382" s="102">
        <f ca="1">--(Tabel3[[#This Row],[jour]]&lt;&gt;TRUNC(Tabel3[[#This Row],[fin]]))</f>
        <v>1</v>
      </c>
      <c r="U382" s="102">
        <f ca="1">IF(Tabel3[[#This Row],[Type]]="j0",0,--(TRUNC(Tabel3[[#This Row],[debut]])-TRUNC(Tabel3[[#This Row],[fin precedent]])&lt;Tabel3[[#This Row],[delai]]))</f>
        <v>1</v>
      </c>
    </row>
    <row r="383" spans="12:21" ht="18" customHeight="1" x14ac:dyDescent="0.2">
      <c r="L383" s="98" t="s">
        <v>50</v>
      </c>
      <c r="M383" s="98" t="s">
        <v>38</v>
      </c>
      <c r="N383" s="104">
        <v>45938</v>
      </c>
      <c r="O383" s="98">
        <v>89.25</v>
      </c>
      <c r="P383" s="98">
        <f>INDEX($C$1:$I$1,MATCH(Tabel3[[#This Row],[Type]],Devoirs[[#Headers],[J0]:[J60]],0))</f>
        <v>4</v>
      </c>
      <c r="Q383" s="105" cm="1">
        <f t="array" aca="1" ref="Q38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45951.478784722269</v>
      </c>
      <c r="R383" s="105">
        <f ca="1">MAX(Tabel3[[#This Row],[jour]]+$R$3,IF(ROW()-ROW(Tabel3[[#Headers],[debut]])=1,DATE(2025,9,1)+$R$3,OFFSET(Tabel3[[#This Row],[fin]],-1,)))</f>
        <v>45957.3398958334</v>
      </c>
      <c r="S3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45957.401875000069</v>
      </c>
      <c r="T383" s="102">
        <f ca="1">--(Tabel3[[#This Row],[jour]]&lt;&gt;TRUNC(Tabel3[[#This Row],[fin]]))</f>
        <v>1</v>
      </c>
      <c r="U383" s="102">
        <f ca="1">IF(Tabel3[[#This Row],[Type]]="j0",0,--(TRUNC(Tabel3[[#This Row],[debut]])-TRUNC(Tabel3[[#This Row],[fin precedent]])&lt;Tabel3[[#This Row],[delai]]))</f>
        <v>0</v>
      </c>
    </row>
    <row r="384" spans="12:21" ht="18" customHeight="1" x14ac:dyDescent="0.2">
      <c r="L384" s="98" t="s">
        <v>140</v>
      </c>
      <c r="M384" s="98" t="s">
        <v>41</v>
      </c>
      <c r="N384" s="104">
        <v>45938</v>
      </c>
      <c r="O384" s="98">
        <v>20.7</v>
      </c>
      <c r="P384" s="98">
        <f>INDEX($C$1:$I$1,MATCH(Tabel3[[#This Row],[Type]],Devoirs[[#Headers],[J0]:[J60]],0))</f>
        <v>15</v>
      </c>
      <c r="Q384" s="105" cm="1">
        <f t="array" aca="1" ref="Q38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45929.732881944452</v>
      </c>
      <c r="R384" s="105">
        <f ca="1">MAX(Tabel3[[#This Row],[jour]]+$R$3,IF(ROW()-ROW(Tabel3[[#Headers],[debut]])=1,DATE(2025,9,1)+$R$3,OFFSET(Tabel3[[#This Row],[fin]],-1,)))</f>
        <v>45957.401875000069</v>
      </c>
      <c r="S3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45957.416250000068</v>
      </c>
      <c r="T384" s="102">
        <f ca="1">--(Tabel3[[#This Row],[jour]]&lt;&gt;TRUNC(Tabel3[[#This Row],[fin]]))</f>
        <v>1</v>
      </c>
      <c r="U384" s="102">
        <f ca="1">IF(Tabel3[[#This Row],[Type]]="j0",0,--(TRUNC(Tabel3[[#This Row],[debut]])-TRUNC(Tabel3[[#This Row],[fin precedent]])&lt;Tabel3[[#This Row],[delai]]))</f>
        <v>0</v>
      </c>
    </row>
    <row r="385" spans="12:21" ht="18" customHeight="1" x14ac:dyDescent="0.2">
      <c r="L385" s="98" t="s">
        <v>133</v>
      </c>
      <c r="M385" s="98" t="s">
        <v>41</v>
      </c>
      <c r="N385" s="104">
        <v>45938</v>
      </c>
      <c r="O385" s="98">
        <v>23.4</v>
      </c>
      <c r="P385" s="98">
        <f>INDEX($C$1:$I$1,MATCH(Tabel3[[#This Row],[Type]],Devoirs[[#Headers],[J0]:[J60]],0))</f>
        <v>15</v>
      </c>
      <c r="Q385" s="105" cm="1">
        <f t="array" aca="1" ref="Q38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45930.340590277789</v>
      </c>
      <c r="R385" s="105">
        <f ca="1">MAX(Tabel3[[#This Row],[jour]]+$R$3,IF(ROW()-ROW(Tabel3[[#Headers],[debut]])=1,DATE(2025,9,1)+$R$3,OFFSET(Tabel3[[#This Row],[fin]],-1,)))</f>
        <v>45957.416250000068</v>
      </c>
      <c r="S3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45957.432500000068</v>
      </c>
      <c r="T385" s="102">
        <f ca="1">--(Tabel3[[#This Row],[jour]]&lt;&gt;TRUNC(Tabel3[[#This Row],[fin]]))</f>
        <v>1</v>
      </c>
      <c r="U385" s="102">
        <f ca="1">IF(Tabel3[[#This Row],[Type]]="j0",0,--(TRUNC(Tabel3[[#This Row],[debut]])-TRUNC(Tabel3[[#This Row],[fin precedent]])&lt;Tabel3[[#This Row],[delai]]))</f>
        <v>0</v>
      </c>
    </row>
    <row r="386" spans="12:21" ht="18" customHeight="1" x14ac:dyDescent="0.2">
      <c r="L386" s="98" t="s">
        <v>376</v>
      </c>
      <c r="M386" s="98" t="s">
        <v>41</v>
      </c>
      <c r="N386" s="104">
        <v>45938</v>
      </c>
      <c r="O386" s="98">
        <v>24.9</v>
      </c>
      <c r="P386" s="98">
        <f>INDEX($C$1:$I$1,MATCH(Tabel3[[#This Row],[Type]],Devoirs[[#Headers],[J0]:[J60]],0))</f>
        <v>15</v>
      </c>
      <c r="Q386" s="105" cm="1">
        <f t="array" aca="1" ref="Q38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45930.366527777791</v>
      </c>
      <c r="R386" s="105">
        <f ca="1">MAX(Tabel3[[#This Row],[jour]]+$R$3,IF(ROW()-ROW(Tabel3[[#Headers],[debut]])=1,DATE(2025,9,1)+$R$3,OFFSET(Tabel3[[#This Row],[fin]],-1,)))</f>
        <v>45957.432500000068</v>
      </c>
      <c r="S3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45957.449791666731</v>
      </c>
      <c r="T386" s="102">
        <f ca="1">--(Tabel3[[#This Row],[jour]]&lt;&gt;TRUNC(Tabel3[[#This Row],[fin]]))</f>
        <v>1</v>
      </c>
      <c r="U386" s="102">
        <f ca="1">IF(Tabel3[[#This Row],[Type]]="j0",0,--(TRUNC(Tabel3[[#This Row],[debut]])-TRUNC(Tabel3[[#This Row],[fin precedent]])&lt;Tabel3[[#This Row],[delai]]))</f>
        <v>0</v>
      </c>
    </row>
    <row r="387" spans="12:21" ht="18" customHeight="1" x14ac:dyDescent="0.2">
      <c r="L387" s="98" t="s">
        <v>115</v>
      </c>
      <c r="M387" s="98" t="s">
        <v>41</v>
      </c>
      <c r="N387" s="104">
        <v>45938</v>
      </c>
      <c r="O387" s="98">
        <v>25.5</v>
      </c>
      <c r="P387" s="98">
        <f>INDEX($C$1:$I$1,MATCH(Tabel3[[#This Row],[Type]],Devoirs[[#Headers],[J0]:[J60]],0))</f>
        <v>15</v>
      </c>
      <c r="Q387" s="105" cm="1">
        <f t="array" aca="1" ref="Q38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45930.393090277794</v>
      </c>
      <c r="R387" s="105">
        <f ca="1">MAX(Tabel3[[#This Row],[jour]]+$R$3,IF(ROW()-ROW(Tabel3[[#Headers],[debut]])=1,DATE(2025,9,1)+$R$3,OFFSET(Tabel3[[#This Row],[fin]],-1,)))</f>
        <v>45957.449791666731</v>
      </c>
      <c r="S3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45957.467500000064</v>
      </c>
      <c r="T387" s="102">
        <f ca="1">--(Tabel3[[#This Row],[jour]]&lt;&gt;TRUNC(Tabel3[[#This Row],[fin]]))</f>
        <v>1</v>
      </c>
      <c r="U387" s="102">
        <f ca="1">IF(Tabel3[[#This Row],[Type]]="j0",0,--(TRUNC(Tabel3[[#This Row],[debut]])-TRUNC(Tabel3[[#This Row],[fin precedent]])&lt;Tabel3[[#This Row],[delai]]))</f>
        <v>0</v>
      </c>
    </row>
    <row r="388" spans="12:21" ht="18" customHeight="1" x14ac:dyDescent="0.2">
      <c r="L388" s="98" t="s">
        <v>113</v>
      </c>
      <c r="M388" s="98" t="s">
        <v>41</v>
      </c>
      <c r="N388" s="104">
        <v>45938</v>
      </c>
      <c r="O388" s="98">
        <v>27.9</v>
      </c>
      <c r="P388" s="98">
        <f>INDEX($C$1:$I$1,MATCH(Tabel3[[#This Row],[Type]],Devoirs[[#Headers],[J0]:[J60]],0))</f>
        <v>15</v>
      </c>
      <c r="Q388" s="105" cm="1">
        <f t="array" aca="1" ref="Q38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45930.422152777792</v>
      </c>
      <c r="R388" s="105">
        <f ca="1">MAX(Tabel3[[#This Row],[jour]]+$R$3,IF(ROW()-ROW(Tabel3[[#Headers],[debut]])=1,DATE(2025,9,1)+$R$3,OFFSET(Tabel3[[#This Row],[fin]],-1,)))</f>
        <v>45957.467500000064</v>
      </c>
      <c r="S3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45957.486875000068</v>
      </c>
      <c r="T388" s="102">
        <f ca="1">--(Tabel3[[#This Row],[jour]]&lt;&gt;TRUNC(Tabel3[[#This Row],[fin]]))</f>
        <v>1</v>
      </c>
      <c r="U388" s="102">
        <f ca="1">IF(Tabel3[[#This Row],[Type]]="j0",0,--(TRUNC(Tabel3[[#This Row],[debut]])-TRUNC(Tabel3[[#This Row],[fin precedent]])&lt;Tabel3[[#This Row],[delai]]))</f>
        <v>0</v>
      </c>
    </row>
    <row r="389" spans="12:21" ht="18" customHeight="1" x14ac:dyDescent="0.2">
      <c r="L389" s="98" t="s">
        <v>130</v>
      </c>
      <c r="M389" s="98" t="s">
        <v>41</v>
      </c>
      <c r="N389" s="104">
        <v>45938</v>
      </c>
      <c r="O389" s="98">
        <v>30.299999999999997</v>
      </c>
      <c r="P389" s="98">
        <f>INDEX($C$1:$I$1,MATCH(Tabel3[[#This Row],[Type]],Devoirs[[#Headers],[J0]:[J60]],0))</f>
        <v>15</v>
      </c>
      <c r="Q389" s="105" cm="1">
        <f t="array" aca="1" ref="Q38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45930.453715277792</v>
      </c>
      <c r="R389" s="105">
        <f ca="1">MAX(Tabel3[[#This Row],[jour]]+$R$3,IF(ROW()-ROW(Tabel3[[#Headers],[debut]])=1,DATE(2025,9,1)+$R$3,OFFSET(Tabel3[[#This Row],[fin]],-1,)))</f>
        <v>45957.486875000068</v>
      </c>
      <c r="S3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45957.507916666735</v>
      </c>
      <c r="T389" s="102">
        <f ca="1">--(Tabel3[[#This Row],[jour]]&lt;&gt;TRUNC(Tabel3[[#This Row],[fin]]))</f>
        <v>1</v>
      </c>
      <c r="U389" s="102">
        <f ca="1">IF(Tabel3[[#This Row],[Type]]="j0",0,--(TRUNC(Tabel3[[#This Row],[debut]])-TRUNC(Tabel3[[#This Row],[fin precedent]])&lt;Tabel3[[#This Row],[delai]]))</f>
        <v>0</v>
      </c>
    </row>
    <row r="390" spans="12:21" ht="18" customHeight="1" x14ac:dyDescent="0.2">
      <c r="L390" s="98" t="s">
        <v>106</v>
      </c>
      <c r="M390" s="98" t="s">
        <v>41</v>
      </c>
      <c r="N390" s="104">
        <v>45938</v>
      </c>
      <c r="O390" s="98">
        <v>31.799999999999997</v>
      </c>
      <c r="P390" s="98">
        <f>INDEX($C$1:$I$1,MATCH(Tabel3[[#This Row],[Type]],Devoirs[[#Headers],[J0]:[J60]],0))</f>
        <v>15</v>
      </c>
      <c r="Q390" s="105" cm="1">
        <f t="array" aca="1" ref="Q39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45930.486840277794</v>
      </c>
      <c r="R390" s="105">
        <f ca="1">MAX(Tabel3[[#This Row],[jour]]+$R$3,IF(ROW()-ROW(Tabel3[[#Headers],[debut]])=1,DATE(2025,9,1)+$R$3,OFFSET(Tabel3[[#This Row],[fin]],-1,)))</f>
        <v>45957.507916666735</v>
      </c>
      <c r="S3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45957.530000000072</v>
      </c>
      <c r="T390" s="102">
        <f ca="1">--(Tabel3[[#This Row],[jour]]&lt;&gt;TRUNC(Tabel3[[#This Row],[fin]]))</f>
        <v>1</v>
      </c>
      <c r="U390" s="102">
        <f ca="1">IF(Tabel3[[#This Row],[Type]]="j0",0,--(TRUNC(Tabel3[[#This Row],[debut]])-TRUNC(Tabel3[[#This Row],[fin precedent]])&lt;Tabel3[[#This Row],[delai]]))</f>
        <v>0</v>
      </c>
    </row>
    <row r="391" spans="12:21" ht="18" customHeight="1" x14ac:dyDescent="0.2">
      <c r="L391" s="98" t="s">
        <v>63</v>
      </c>
      <c r="M391" s="98" t="s">
        <v>37</v>
      </c>
      <c r="N391" s="104">
        <v>45938</v>
      </c>
      <c r="O391" s="98">
        <v>63.9</v>
      </c>
      <c r="P391" s="98">
        <f>INDEX($C$1:$I$1,MATCH(Tabel3[[#This Row],[Type]],Devoirs[[#Headers],[J0]:[J60]],0))</f>
        <v>2</v>
      </c>
      <c r="Q391" s="105" cm="1">
        <f t="array" aca="1" ref="Q3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45953.572881944499</v>
      </c>
      <c r="R391" s="105">
        <f ca="1">MAX(Tabel3[[#This Row],[jour]]+$R$3,IF(ROW()-ROW(Tabel3[[#Headers],[debut]])=1,DATE(2025,9,1)+$R$3,OFFSET(Tabel3[[#This Row],[fin]],-1,)))</f>
        <v>45957.530000000072</v>
      </c>
      <c r="S3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45957.574375000069</v>
      </c>
      <c r="T391" s="102">
        <f ca="1">--(Tabel3[[#This Row],[jour]]&lt;&gt;TRUNC(Tabel3[[#This Row],[fin]]))</f>
        <v>1</v>
      </c>
      <c r="U391" s="102">
        <f ca="1">IF(Tabel3[[#This Row],[Type]]="j0",0,--(TRUNC(Tabel3[[#This Row],[debut]])-TRUNC(Tabel3[[#This Row],[fin precedent]])&lt;Tabel3[[#This Row],[delai]]))</f>
        <v>0</v>
      </c>
    </row>
    <row r="392" spans="12:21" ht="18" customHeight="1" x14ac:dyDescent="0.2">
      <c r="L392" s="98" t="s">
        <v>91</v>
      </c>
      <c r="M392" s="98" t="s">
        <v>37</v>
      </c>
      <c r="N392" s="104">
        <v>45938</v>
      </c>
      <c r="O392" s="98">
        <v>63.9</v>
      </c>
      <c r="P392" s="98">
        <f>INDEX($C$1:$I$1,MATCH(Tabel3[[#This Row],[Type]],Devoirs[[#Headers],[J0]:[J60]],0))</f>
        <v>2</v>
      </c>
      <c r="Q392" s="105" cm="1">
        <f t="array" aca="1" ref="Q3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45953.622187500056</v>
      </c>
      <c r="R392" s="105">
        <f ca="1">MAX(Tabel3[[#This Row],[jour]]+$R$3,IF(ROW()-ROW(Tabel3[[#Headers],[debut]])=1,DATE(2025,9,1)+$R$3,OFFSET(Tabel3[[#This Row],[fin]],-1,)))</f>
        <v>45957.574375000069</v>
      </c>
      <c r="S3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45957.618750000067</v>
      </c>
      <c r="T392" s="102">
        <f ca="1">--(Tabel3[[#This Row],[jour]]&lt;&gt;TRUNC(Tabel3[[#This Row],[fin]]))</f>
        <v>1</v>
      </c>
      <c r="U392" s="102">
        <f ca="1">IF(Tabel3[[#This Row],[Type]]="j0",0,--(TRUNC(Tabel3[[#This Row],[debut]])-TRUNC(Tabel3[[#This Row],[fin precedent]])&lt;Tabel3[[#This Row],[delai]]))</f>
        <v>0</v>
      </c>
    </row>
    <row r="393" spans="12:21" ht="18" customHeight="1" x14ac:dyDescent="0.2">
      <c r="L393" s="98" t="s">
        <v>136</v>
      </c>
      <c r="M393" s="98" t="s">
        <v>40</v>
      </c>
      <c r="N393" s="104">
        <v>45938</v>
      </c>
      <c r="O393" s="98">
        <v>26.1</v>
      </c>
      <c r="P393" s="98">
        <f>INDEX($C$1:$I$1,MATCH(Tabel3[[#This Row],[Type]],Devoirs[[#Headers],[J0]:[J60]],0))</f>
        <v>5</v>
      </c>
      <c r="Q393" s="105" cm="1">
        <f t="array" aca="1" ref="Q3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45950.504687500041</v>
      </c>
      <c r="R393" s="105">
        <f ca="1">MAX(Tabel3[[#This Row],[jour]]+$R$3,IF(ROW()-ROW(Tabel3[[#Headers],[debut]])=1,DATE(2025,9,1)+$R$3,OFFSET(Tabel3[[#This Row],[fin]],-1,)))</f>
        <v>45957.618750000067</v>
      </c>
      <c r="S3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45957.636875000069</v>
      </c>
      <c r="T393" s="102">
        <f ca="1">--(Tabel3[[#This Row],[jour]]&lt;&gt;TRUNC(Tabel3[[#This Row],[fin]]))</f>
        <v>1</v>
      </c>
      <c r="U393" s="102">
        <f ca="1">IF(Tabel3[[#This Row],[Type]]="j0",0,--(TRUNC(Tabel3[[#This Row],[debut]])-TRUNC(Tabel3[[#This Row],[fin precedent]])&lt;Tabel3[[#This Row],[delai]]))</f>
        <v>0</v>
      </c>
    </row>
    <row r="394" spans="12:21" ht="18" customHeight="1" x14ac:dyDescent="0.2">
      <c r="L394" s="98" t="s">
        <v>93</v>
      </c>
      <c r="M394" s="98" t="s">
        <v>40</v>
      </c>
      <c r="N394" s="104">
        <v>45938</v>
      </c>
      <c r="O394" s="98">
        <v>35.1</v>
      </c>
      <c r="P394" s="98">
        <f>INDEX($C$1:$I$1,MATCH(Tabel3[[#This Row],[Type]],Devoirs[[#Headers],[J0]:[J60]],0))</f>
        <v>5</v>
      </c>
      <c r="Q394" s="105" cm="1">
        <f t="array" aca="1" ref="Q3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45950.537187500042</v>
      </c>
      <c r="R394" s="105">
        <f ca="1">MAX(Tabel3[[#This Row],[jour]]+$R$3,IF(ROW()-ROW(Tabel3[[#Headers],[debut]])=1,DATE(2025,9,1)+$R$3,OFFSET(Tabel3[[#This Row],[fin]],-1,)))</f>
        <v>45957.636875000069</v>
      </c>
      <c r="S3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45957.66125000007</v>
      </c>
      <c r="T394" s="102">
        <f ca="1">--(Tabel3[[#This Row],[jour]]&lt;&gt;TRUNC(Tabel3[[#This Row],[fin]]))</f>
        <v>1</v>
      </c>
      <c r="U394" s="102">
        <f ca="1">IF(Tabel3[[#This Row],[Type]]="j0",0,--(TRUNC(Tabel3[[#This Row],[debut]])-TRUNC(Tabel3[[#This Row],[fin precedent]])&lt;Tabel3[[#This Row],[delai]]))</f>
        <v>0</v>
      </c>
    </row>
    <row r="395" spans="12:21" ht="18" customHeight="1" x14ac:dyDescent="0.2">
      <c r="L395" s="98" t="s">
        <v>45</v>
      </c>
      <c r="M395" s="98" t="s">
        <v>40</v>
      </c>
      <c r="N395" s="104">
        <v>45938</v>
      </c>
      <c r="O395" s="98">
        <v>36.9</v>
      </c>
      <c r="P395" s="98">
        <f>INDEX($C$1:$I$1,MATCH(Tabel3[[#This Row],[Type]],Devoirs[[#Headers],[J0]:[J60]],0))</f>
        <v>5</v>
      </c>
      <c r="Q395" s="105" cm="1">
        <f t="array" aca="1" ref="Q3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45950.571354166706</v>
      </c>
      <c r="R395" s="105">
        <f ca="1">MAX(Tabel3[[#This Row],[jour]]+$R$3,IF(ROW()-ROW(Tabel3[[#Headers],[debut]])=1,DATE(2025,9,1)+$R$3,OFFSET(Tabel3[[#This Row],[fin]],-1,)))</f>
        <v>45957.66125000007</v>
      </c>
      <c r="S3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45957.686875000072</v>
      </c>
      <c r="T395" s="102">
        <f ca="1">--(Tabel3[[#This Row],[jour]]&lt;&gt;TRUNC(Tabel3[[#This Row],[fin]]))</f>
        <v>1</v>
      </c>
      <c r="U395" s="102">
        <f ca="1">IF(Tabel3[[#This Row],[Type]]="j0",0,--(TRUNC(Tabel3[[#This Row],[debut]])-TRUNC(Tabel3[[#This Row],[fin precedent]])&lt;Tabel3[[#This Row],[delai]]))</f>
        <v>0</v>
      </c>
    </row>
    <row r="396" spans="12:21" ht="18" customHeight="1" x14ac:dyDescent="0.2">
      <c r="L396" s="98" t="s">
        <v>134</v>
      </c>
      <c r="M396" s="98" t="s">
        <v>40</v>
      </c>
      <c r="N396" s="104">
        <v>45938</v>
      </c>
      <c r="O396" s="98">
        <v>45.9</v>
      </c>
      <c r="P396" s="98">
        <f>INDEX($C$1:$I$1,MATCH(Tabel3[[#This Row],[Type]],Devoirs[[#Headers],[J0]:[J60]],0))</f>
        <v>5</v>
      </c>
      <c r="Q396" s="105" cm="1">
        <f t="array" aca="1" ref="Q3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45950.61385416671</v>
      </c>
      <c r="R396" s="105">
        <f ca="1">MAX(Tabel3[[#This Row],[jour]]+$R$3,IF(ROW()-ROW(Tabel3[[#Headers],[debut]])=1,DATE(2025,9,1)+$R$3,OFFSET(Tabel3[[#This Row],[fin]],-1,)))</f>
        <v>45957.686875000072</v>
      </c>
      <c r="S3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45957.718750000073</v>
      </c>
      <c r="T396" s="102">
        <f ca="1">--(Tabel3[[#This Row],[jour]]&lt;&gt;TRUNC(Tabel3[[#This Row],[fin]]))</f>
        <v>1</v>
      </c>
      <c r="U396" s="102">
        <f ca="1">IF(Tabel3[[#This Row],[Type]]="j0",0,--(TRUNC(Tabel3[[#This Row],[debut]])-TRUNC(Tabel3[[#This Row],[fin precedent]])&lt;Tabel3[[#This Row],[delai]]))</f>
        <v>0</v>
      </c>
    </row>
    <row r="397" spans="12:21" ht="18" customHeight="1" x14ac:dyDescent="0.2">
      <c r="L397" s="98" t="s">
        <v>60</v>
      </c>
      <c r="M397" s="98" t="s">
        <v>1</v>
      </c>
      <c r="N397" s="104">
        <v>45938</v>
      </c>
      <c r="O397" s="98">
        <v>40</v>
      </c>
      <c r="P397" s="98">
        <f>INDEX($C$1:$I$1,MATCH(Tabel3[[#This Row],[Type]],Devoirs[[#Headers],[J0]:[J60]],0))</f>
        <v>0</v>
      </c>
      <c r="Q397" s="105" t="str" cm="1">
        <f t="array" ref="Q397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97" s="105">
        <f ca="1">MAX(Tabel3[[#This Row],[jour]]+$R$3,IF(ROW()-ROW(Tabel3[[#Headers],[debut]])=1,DATE(2025,9,1)+$R$3,OFFSET(Tabel3[[#This Row],[fin]],-1,)))</f>
        <v>45957.718750000073</v>
      </c>
      <c r="S3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45957.746527777854</v>
      </c>
      <c r="T397" s="102">
        <f ca="1">--(Tabel3[[#This Row],[jour]]&lt;&gt;TRUNC(Tabel3[[#This Row],[fin]]))</f>
        <v>1</v>
      </c>
      <c r="U397" s="102">
        <f>IF(Tabel3[[#This Row],[Type]]="j0",0,--(TRUNC(Tabel3[[#This Row],[debut]])-TRUNC(Tabel3[[#This Row],[fin precedent]])&lt;Tabel3[[#This Row],[delai]]))</f>
        <v>0</v>
      </c>
    </row>
    <row r="398" spans="12:21" ht="18" customHeight="1" x14ac:dyDescent="0.2">
      <c r="L398" s="98" t="s">
        <v>79</v>
      </c>
      <c r="M398" s="98" t="s">
        <v>1</v>
      </c>
      <c r="N398" s="104">
        <v>45938</v>
      </c>
      <c r="O398" s="98">
        <v>81</v>
      </c>
      <c r="P398" s="98">
        <f>INDEX($C$1:$I$1,MATCH(Tabel3[[#This Row],[Type]],Devoirs[[#Headers],[J0]:[J60]],0))</f>
        <v>0</v>
      </c>
      <c r="Q398" s="105" t="str" cm="1">
        <f t="array" ref="Q398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398" s="105">
        <f ca="1">MAX(Tabel3[[#This Row],[jour]]+$R$3,IF(ROW()-ROW(Tabel3[[#Headers],[debut]])=1,DATE(2025,9,1)+$R$3,OFFSET(Tabel3[[#This Row],[fin]],-1,)))</f>
        <v>45957.746527777854</v>
      </c>
      <c r="S3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45958.386111111191</v>
      </c>
      <c r="T398" s="102">
        <f ca="1">--(Tabel3[[#This Row],[jour]]&lt;&gt;TRUNC(Tabel3[[#This Row],[fin]]))</f>
        <v>1</v>
      </c>
      <c r="U398" s="102">
        <f>IF(Tabel3[[#This Row],[Type]]="j0",0,--(TRUNC(Tabel3[[#This Row],[debut]])-TRUNC(Tabel3[[#This Row],[fin precedent]])&lt;Tabel3[[#This Row],[delai]]))</f>
        <v>0</v>
      </c>
    </row>
    <row r="399" spans="12:21" ht="18" customHeight="1" x14ac:dyDescent="0.2">
      <c r="L399" s="98" t="s">
        <v>53</v>
      </c>
      <c r="M399" s="98" t="s">
        <v>38</v>
      </c>
      <c r="N399" s="104">
        <v>45939</v>
      </c>
      <c r="O399" s="98">
        <v>46.5</v>
      </c>
      <c r="P399" s="98">
        <f>INDEX($C$1:$I$1,MATCH(Tabel3[[#This Row],[Type]],Devoirs[[#Headers],[J0]:[J60]],0))</f>
        <v>4</v>
      </c>
      <c r="Q399" s="105" cm="1">
        <f t="array" aca="1" ref="Q39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45952.557013888938</v>
      </c>
      <c r="R399" s="105">
        <f ca="1">MAX(Tabel3[[#This Row],[jour]]+$R$3,IF(ROW()-ROW(Tabel3[[#Headers],[debut]])=1,DATE(2025,9,1)+$R$3,OFFSET(Tabel3[[#This Row],[fin]],-1,)))</f>
        <v>45958.386111111191</v>
      </c>
      <c r="S3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45958.418402777861</v>
      </c>
      <c r="T399" s="102">
        <f ca="1">--(Tabel3[[#This Row],[jour]]&lt;&gt;TRUNC(Tabel3[[#This Row],[fin]]))</f>
        <v>1</v>
      </c>
      <c r="U399" s="102">
        <f ca="1">IF(Tabel3[[#This Row],[Type]]="j0",0,--(TRUNC(Tabel3[[#This Row],[debut]])-TRUNC(Tabel3[[#This Row],[fin precedent]])&lt;Tabel3[[#This Row],[delai]]))</f>
        <v>0</v>
      </c>
    </row>
    <row r="400" spans="12:21" ht="18" customHeight="1" x14ac:dyDescent="0.2">
      <c r="L400" s="98" t="s">
        <v>111</v>
      </c>
      <c r="M400" s="98" t="s">
        <v>38</v>
      </c>
      <c r="N400" s="104">
        <v>45939</v>
      </c>
      <c r="O400" s="98">
        <v>46.5</v>
      </c>
      <c r="P400" s="98">
        <f>INDEX($C$1:$I$1,MATCH(Tabel3[[#This Row],[Type]],Devoirs[[#Headers],[J0]:[J60]],0))</f>
        <v>4</v>
      </c>
      <c r="Q400" s="105" cm="1">
        <f t="array" aca="1" ref="Q40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45952.595763888938</v>
      </c>
      <c r="R400" s="105">
        <f ca="1">MAX(Tabel3[[#This Row],[jour]]+$R$3,IF(ROW()-ROW(Tabel3[[#Headers],[debut]])=1,DATE(2025,9,1)+$R$3,OFFSET(Tabel3[[#This Row],[fin]],-1,)))</f>
        <v>45958.418402777861</v>
      </c>
      <c r="S4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45958.450694444531</v>
      </c>
      <c r="T400" s="102">
        <f ca="1">--(Tabel3[[#This Row],[jour]]&lt;&gt;TRUNC(Tabel3[[#This Row],[fin]]))</f>
        <v>1</v>
      </c>
      <c r="U400" s="102">
        <f ca="1">IF(Tabel3[[#This Row],[Type]]="j0",0,--(TRUNC(Tabel3[[#This Row],[debut]])-TRUNC(Tabel3[[#This Row],[fin precedent]])&lt;Tabel3[[#This Row],[delai]]))</f>
        <v>0</v>
      </c>
    </row>
    <row r="401" spans="12:21" ht="18" customHeight="1" x14ac:dyDescent="0.2">
      <c r="L401" s="98" t="s">
        <v>81</v>
      </c>
      <c r="M401" s="98" t="s">
        <v>38</v>
      </c>
      <c r="N401" s="104">
        <v>45939</v>
      </c>
      <c r="O401" s="98">
        <v>79.5</v>
      </c>
      <c r="P401" s="98">
        <f>INDEX($C$1:$I$1,MATCH(Tabel3[[#This Row],[Type]],Devoirs[[#Headers],[J0]:[J60]],0))</f>
        <v>4</v>
      </c>
      <c r="Q401" s="105" cm="1">
        <f t="array" aca="1" ref="Q40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45952.662013888941</v>
      </c>
      <c r="R401" s="105">
        <f ca="1">MAX(Tabel3[[#This Row],[jour]]+$R$3,IF(ROW()-ROW(Tabel3[[#Headers],[debut]])=1,DATE(2025,9,1)+$R$3,OFFSET(Tabel3[[#This Row],[fin]],-1,)))</f>
        <v>45958.450694444531</v>
      </c>
      <c r="S4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45958.505902777863</v>
      </c>
      <c r="T401" s="102">
        <f ca="1">--(Tabel3[[#This Row],[jour]]&lt;&gt;TRUNC(Tabel3[[#This Row],[fin]]))</f>
        <v>1</v>
      </c>
      <c r="U401" s="102">
        <f ca="1">IF(Tabel3[[#This Row],[Type]]="j0",0,--(TRUNC(Tabel3[[#This Row],[debut]])-TRUNC(Tabel3[[#This Row],[fin precedent]])&lt;Tabel3[[#This Row],[delai]]))</f>
        <v>0</v>
      </c>
    </row>
    <row r="402" spans="12:21" ht="18" customHeight="1" x14ac:dyDescent="0.2">
      <c r="L402" s="98" t="s">
        <v>128</v>
      </c>
      <c r="M402" s="98" t="s">
        <v>41</v>
      </c>
      <c r="N402" s="104">
        <v>45939</v>
      </c>
      <c r="O402" s="98">
        <v>21</v>
      </c>
      <c r="P402" s="98">
        <f>INDEX($C$1:$I$1,MATCH(Tabel3[[#This Row],[Type]],Devoirs[[#Headers],[J0]:[J60]],0))</f>
        <v>15</v>
      </c>
      <c r="Q402" s="105" cm="1">
        <f t="array" aca="1" ref="Q40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45932.370520833341</v>
      </c>
      <c r="R402" s="105">
        <f ca="1">MAX(Tabel3[[#This Row],[jour]]+$R$3,IF(ROW()-ROW(Tabel3[[#Headers],[debut]])=1,DATE(2025,9,1)+$R$3,OFFSET(Tabel3[[#This Row],[fin]],-1,)))</f>
        <v>45958.505902777863</v>
      </c>
      <c r="S4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45958.520486111192</v>
      </c>
      <c r="T402" s="102">
        <f ca="1">--(Tabel3[[#This Row],[jour]]&lt;&gt;TRUNC(Tabel3[[#This Row],[fin]]))</f>
        <v>1</v>
      </c>
      <c r="U402" s="102">
        <f ca="1">IF(Tabel3[[#This Row],[Type]]="j0",0,--(TRUNC(Tabel3[[#This Row],[debut]])-TRUNC(Tabel3[[#This Row],[fin precedent]])&lt;Tabel3[[#This Row],[delai]]))</f>
        <v>0</v>
      </c>
    </row>
    <row r="403" spans="12:21" ht="18" customHeight="1" x14ac:dyDescent="0.2">
      <c r="L403" s="98" t="s">
        <v>373</v>
      </c>
      <c r="M403" s="98" t="s">
        <v>41</v>
      </c>
      <c r="N403" s="104">
        <v>45939</v>
      </c>
      <c r="O403" s="98">
        <v>32.4</v>
      </c>
      <c r="P403" s="98">
        <f>INDEX($C$1:$I$1,MATCH(Tabel3[[#This Row],[Type]],Devoirs[[#Headers],[J0]:[J60]],0))</f>
        <v>15</v>
      </c>
      <c r="Q403" s="105" cm="1">
        <f t="array" aca="1" ref="Q40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45932.404270833344</v>
      </c>
      <c r="R403" s="105">
        <f ca="1">MAX(Tabel3[[#This Row],[jour]]+$R$3,IF(ROW()-ROW(Tabel3[[#Headers],[debut]])=1,DATE(2025,9,1)+$R$3,OFFSET(Tabel3[[#This Row],[fin]],-1,)))</f>
        <v>45958.520486111192</v>
      </c>
      <c r="S4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45958.542986111192</v>
      </c>
      <c r="T403" s="102">
        <f ca="1">--(Tabel3[[#This Row],[jour]]&lt;&gt;TRUNC(Tabel3[[#This Row],[fin]]))</f>
        <v>1</v>
      </c>
      <c r="U403" s="102">
        <f ca="1">IF(Tabel3[[#This Row],[Type]]="j0",0,--(TRUNC(Tabel3[[#This Row],[debut]])-TRUNC(Tabel3[[#This Row],[fin precedent]])&lt;Tabel3[[#This Row],[delai]]))</f>
        <v>0</v>
      </c>
    </row>
    <row r="404" spans="12:21" ht="18" customHeight="1" x14ac:dyDescent="0.2">
      <c r="L404" s="98" t="s">
        <v>83</v>
      </c>
      <c r="M404" s="98" t="s">
        <v>41</v>
      </c>
      <c r="N404" s="104">
        <v>45939</v>
      </c>
      <c r="O404" s="98">
        <v>33.299999999999997</v>
      </c>
      <c r="P404" s="98">
        <f>INDEX($C$1:$I$1,MATCH(Tabel3[[#This Row],[Type]],Devoirs[[#Headers],[J0]:[J60]],0))</f>
        <v>15</v>
      </c>
      <c r="Q404" s="105" cm="1">
        <f t="array" aca="1" ref="Q40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45932.438958333347</v>
      </c>
      <c r="R404" s="105">
        <f ca="1">MAX(Tabel3[[#This Row],[jour]]+$R$3,IF(ROW()-ROW(Tabel3[[#Headers],[debut]])=1,DATE(2025,9,1)+$R$3,OFFSET(Tabel3[[#This Row],[fin]],-1,)))</f>
        <v>45958.542986111192</v>
      </c>
      <c r="S4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45958.566111111191</v>
      </c>
      <c r="T404" s="102">
        <f ca="1">--(Tabel3[[#This Row],[jour]]&lt;&gt;TRUNC(Tabel3[[#This Row],[fin]]))</f>
        <v>1</v>
      </c>
      <c r="U404" s="102">
        <f ca="1">IF(Tabel3[[#This Row],[Type]]="j0",0,--(TRUNC(Tabel3[[#This Row],[debut]])-TRUNC(Tabel3[[#This Row],[fin precedent]])&lt;Tabel3[[#This Row],[delai]]))</f>
        <v>0</v>
      </c>
    </row>
    <row r="405" spans="12:21" ht="18" customHeight="1" x14ac:dyDescent="0.2">
      <c r="L405" s="98" t="s">
        <v>103</v>
      </c>
      <c r="M405" s="98" t="s">
        <v>37</v>
      </c>
      <c r="N405" s="104">
        <v>45939</v>
      </c>
      <c r="O405" s="98">
        <v>32.4</v>
      </c>
      <c r="P405" s="98">
        <f>INDEX($C$1:$I$1,MATCH(Tabel3[[#This Row],[Type]],Devoirs[[#Headers],[J0]:[J60]],0))</f>
        <v>2</v>
      </c>
      <c r="Q405" s="105" cm="1">
        <f t="array" aca="1" ref="Q40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45954.466979166733</v>
      </c>
      <c r="R405" s="105">
        <f ca="1">MAX(Tabel3[[#This Row],[jour]]+$R$3,IF(ROW()-ROW(Tabel3[[#Headers],[debut]])=1,DATE(2025,9,1)+$R$3,OFFSET(Tabel3[[#This Row],[fin]],-1,)))</f>
        <v>45958.566111111191</v>
      </c>
      <c r="S4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45958.58861111119</v>
      </c>
      <c r="T405" s="102">
        <f ca="1">--(Tabel3[[#This Row],[jour]]&lt;&gt;TRUNC(Tabel3[[#This Row],[fin]]))</f>
        <v>1</v>
      </c>
      <c r="U405" s="102">
        <f ca="1">IF(Tabel3[[#This Row],[Type]]="j0",0,--(TRUNC(Tabel3[[#This Row],[debut]])-TRUNC(Tabel3[[#This Row],[fin precedent]])&lt;Tabel3[[#This Row],[delai]]))</f>
        <v>0</v>
      </c>
    </row>
    <row r="406" spans="12:21" ht="18" customHeight="1" x14ac:dyDescent="0.2">
      <c r="L406" s="98" t="s">
        <v>126</v>
      </c>
      <c r="M406" s="98" t="s">
        <v>37</v>
      </c>
      <c r="N406" s="104">
        <v>45939</v>
      </c>
      <c r="O406" s="98">
        <v>59.4</v>
      </c>
      <c r="P406" s="98">
        <f>INDEX($C$1:$I$1,MATCH(Tabel3[[#This Row],[Type]],Devoirs[[#Headers],[J0]:[J60]],0))</f>
        <v>2</v>
      </c>
      <c r="Q406" s="105" cm="1">
        <f t="array" aca="1" ref="Q40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45954.512812500063</v>
      </c>
      <c r="R406" s="105">
        <f ca="1">MAX(Tabel3[[#This Row],[jour]]+$R$3,IF(ROW()-ROW(Tabel3[[#Headers],[debut]])=1,DATE(2025,9,1)+$R$3,OFFSET(Tabel3[[#This Row],[fin]],-1,)))</f>
        <v>45958.58861111119</v>
      </c>
      <c r="S4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45958.629861111192</v>
      </c>
      <c r="T406" s="102">
        <f ca="1">--(Tabel3[[#This Row],[jour]]&lt;&gt;TRUNC(Tabel3[[#This Row],[fin]]))</f>
        <v>1</v>
      </c>
      <c r="U406" s="102">
        <f ca="1">IF(Tabel3[[#This Row],[Type]]="j0",0,--(TRUNC(Tabel3[[#This Row],[debut]])-TRUNC(Tabel3[[#This Row],[fin precedent]])&lt;Tabel3[[#This Row],[delai]]))</f>
        <v>0</v>
      </c>
    </row>
    <row r="407" spans="12:21" ht="18" customHeight="1" x14ac:dyDescent="0.2">
      <c r="L407" s="98" t="s">
        <v>70</v>
      </c>
      <c r="M407" s="98" t="s">
        <v>37</v>
      </c>
      <c r="N407" s="104">
        <v>45939</v>
      </c>
      <c r="O407" s="98">
        <v>75.600000000000009</v>
      </c>
      <c r="P407" s="98">
        <f>INDEX($C$1:$I$1,MATCH(Tabel3[[#This Row],[Type]],Devoirs[[#Headers],[J0]:[J60]],0))</f>
        <v>2</v>
      </c>
      <c r="Q407" s="105" cm="1">
        <f t="array" aca="1" ref="Q40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45954.571145833397</v>
      </c>
      <c r="R407" s="105">
        <f ca="1">MAX(Tabel3[[#This Row],[jour]]+$R$3,IF(ROW()-ROW(Tabel3[[#Headers],[debut]])=1,DATE(2025,9,1)+$R$3,OFFSET(Tabel3[[#This Row],[fin]],-1,)))</f>
        <v>45958.629861111192</v>
      </c>
      <c r="S4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45958.68236111119</v>
      </c>
      <c r="T407" s="102">
        <f ca="1">--(Tabel3[[#This Row],[jour]]&lt;&gt;TRUNC(Tabel3[[#This Row],[fin]]))</f>
        <v>1</v>
      </c>
      <c r="U407" s="102">
        <f ca="1">IF(Tabel3[[#This Row],[Type]]="j0",0,--(TRUNC(Tabel3[[#This Row],[debut]])-TRUNC(Tabel3[[#This Row],[fin precedent]])&lt;Tabel3[[#This Row],[delai]]))</f>
        <v>0</v>
      </c>
    </row>
    <row r="408" spans="12:21" ht="18" customHeight="1" x14ac:dyDescent="0.2">
      <c r="L408" s="98" t="s">
        <v>71</v>
      </c>
      <c r="M408" s="98" t="s">
        <v>37</v>
      </c>
      <c r="N408" s="104">
        <v>45939</v>
      </c>
      <c r="O408" s="98">
        <v>90.9</v>
      </c>
      <c r="P408" s="98">
        <f>INDEX($C$1:$I$1,MATCH(Tabel3[[#This Row],[Type]],Devoirs[[#Headers],[J0]:[J60]],0))</f>
        <v>2</v>
      </c>
      <c r="Q408" s="105" cm="1">
        <f t="array" aca="1" ref="Q4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45954.641284722289</v>
      </c>
      <c r="R408" s="105">
        <f ca="1">MAX(Tabel3[[#This Row],[jour]]+$R$3,IF(ROW()-ROW(Tabel3[[#Headers],[debut]])=1,DATE(2025,9,1)+$R$3,OFFSET(Tabel3[[#This Row],[fin]],-1,)))</f>
        <v>45958.68236111119</v>
      </c>
      <c r="S4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45958.745486111191</v>
      </c>
      <c r="T408" s="102">
        <f ca="1">--(Tabel3[[#This Row],[jour]]&lt;&gt;TRUNC(Tabel3[[#This Row],[fin]]))</f>
        <v>1</v>
      </c>
      <c r="U408" s="102">
        <f ca="1">IF(Tabel3[[#This Row],[Type]]="j0",0,--(TRUNC(Tabel3[[#This Row],[debut]])-TRUNC(Tabel3[[#This Row],[fin precedent]])&lt;Tabel3[[#This Row],[delai]]))</f>
        <v>0</v>
      </c>
    </row>
    <row r="409" spans="12:21" ht="18" customHeight="1" x14ac:dyDescent="0.2">
      <c r="L409" s="98" t="s">
        <v>65</v>
      </c>
      <c r="M409" s="98" t="s">
        <v>37</v>
      </c>
      <c r="N409" s="104">
        <v>45939</v>
      </c>
      <c r="O409" s="98">
        <v>98.100000000000009</v>
      </c>
      <c r="P409" s="98">
        <f>INDEX($C$1:$I$1,MATCH(Tabel3[[#This Row],[Type]],Devoirs[[#Headers],[J0]:[J60]],0))</f>
        <v>2</v>
      </c>
      <c r="Q409" s="105" cm="1">
        <f t="array" aca="1" ref="Q4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45954.716979166733</v>
      </c>
      <c r="R409" s="105">
        <f ca="1">MAX(Tabel3[[#This Row],[jour]]+$R$3,IF(ROW()-ROW(Tabel3[[#Headers],[debut]])=1,DATE(2025,9,1)+$R$3,OFFSET(Tabel3[[#This Row],[fin]],-1,)))</f>
        <v>45958.745486111191</v>
      </c>
      <c r="S4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45959.396944444525</v>
      </c>
      <c r="T409" s="102">
        <f ca="1">--(Tabel3[[#This Row],[jour]]&lt;&gt;TRUNC(Tabel3[[#This Row],[fin]]))</f>
        <v>1</v>
      </c>
      <c r="U409" s="102">
        <f ca="1">IF(Tabel3[[#This Row],[Type]]="j0",0,--(TRUNC(Tabel3[[#This Row],[debut]])-TRUNC(Tabel3[[#This Row],[fin precedent]])&lt;Tabel3[[#This Row],[delai]]))</f>
        <v>0</v>
      </c>
    </row>
    <row r="410" spans="12:21" ht="18" customHeight="1" x14ac:dyDescent="0.2">
      <c r="L410" s="98" t="s">
        <v>84</v>
      </c>
      <c r="M410" s="98" t="s">
        <v>40</v>
      </c>
      <c r="N410" s="104">
        <v>45939</v>
      </c>
      <c r="O410" s="98">
        <v>18</v>
      </c>
      <c r="P410" s="98">
        <f>INDEX($C$1:$I$1,MATCH(Tabel3[[#This Row],[Type]],Devoirs[[#Headers],[J0]:[J60]],0))</f>
        <v>5</v>
      </c>
      <c r="Q410" s="105" cm="1">
        <f t="array" aca="1" ref="Q4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45951.604826388946</v>
      </c>
      <c r="R410" s="105">
        <f ca="1">MAX(Tabel3[[#This Row],[jour]]+$R$3,IF(ROW()-ROW(Tabel3[[#Headers],[debut]])=1,DATE(2025,9,1)+$R$3,OFFSET(Tabel3[[#This Row],[fin]],-1,)))</f>
        <v>45959.396944444525</v>
      </c>
      <c r="S4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45959.409444444522</v>
      </c>
      <c r="T410" s="102">
        <f ca="1">--(Tabel3[[#This Row],[jour]]&lt;&gt;TRUNC(Tabel3[[#This Row],[fin]]))</f>
        <v>1</v>
      </c>
      <c r="U410" s="102">
        <f ca="1">IF(Tabel3[[#This Row],[Type]]="j0",0,--(TRUNC(Tabel3[[#This Row],[debut]])-TRUNC(Tabel3[[#This Row],[fin precedent]])&lt;Tabel3[[#This Row],[delai]]))</f>
        <v>0</v>
      </c>
    </row>
    <row r="411" spans="12:21" ht="18" customHeight="1" x14ac:dyDescent="0.2">
      <c r="L411" s="98" t="s">
        <v>68</v>
      </c>
      <c r="M411" s="98" t="s">
        <v>40</v>
      </c>
      <c r="N411" s="104">
        <v>45939</v>
      </c>
      <c r="O411" s="98">
        <v>27</v>
      </c>
      <c r="P411" s="98">
        <f>INDEX($C$1:$I$1,MATCH(Tabel3[[#This Row],[Type]],Devoirs[[#Headers],[J0]:[J60]],0))</f>
        <v>5</v>
      </c>
      <c r="Q411" s="105" cm="1">
        <f t="array" aca="1" ref="Q4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45951.629826388948</v>
      </c>
      <c r="R411" s="105">
        <f ca="1">MAX(Tabel3[[#This Row],[jour]]+$R$3,IF(ROW()-ROW(Tabel3[[#Headers],[debut]])=1,DATE(2025,9,1)+$R$3,OFFSET(Tabel3[[#This Row],[fin]],-1,)))</f>
        <v>45959.409444444522</v>
      </c>
      <c r="S4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45959.428194444525</v>
      </c>
      <c r="T411" s="102">
        <f ca="1">--(Tabel3[[#This Row],[jour]]&lt;&gt;TRUNC(Tabel3[[#This Row],[fin]]))</f>
        <v>1</v>
      </c>
      <c r="U411" s="102">
        <f ca="1">IF(Tabel3[[#This Row],[Type]]="j0",0,--(TRUNC(Tabel3[[#This Row],[debut]])-TRUNC(Tabel3[[#This Row],[fin precedent]])&lt;Tabel3[[#This Row],[delai]]))</f>
        <v>0</v>
      </c>
    </row>
    <row r="412" spans="12:21" ht="18" customHeight="1" x14ac:dyDescent="0.2">
      <c r="L412" s="98" t="s">
        <v>121</v>
      </c>
      <c r="M412" s="98" t="s">
        <v>40</v>
      </c>
      <c r="N412" s="104">
        <v>45939</v>
      </c>
      <c r="O412" s="98">
        <v>31.05</v>
      </c>
      <c r="P412" s="98">
        <f>INDEX($C$1:$I$1,MATCH(Tabel3[[#This Row],[Type]],Devoirs[[#Headers],[J0]:[J60]],0))</f>
        <v>5</v>
      </c>
      <c r="Q412" s="105" cm="1">
        <f t="array" aca="1" ref="Q4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45951.658576388945</v>
      </c>
      <c r="R412" s="105">
        <f ca="1">MAX(Tabel3[[#This Row],[jour]]+$R$3,IF(ROW()-ROW(Tabel3[[#Headers],[debut]])=1,DATE(2025,9,1)+$R$3,OFFSET(Tabel3[[#This Row],[fin]],-1,)))</f>
        <v>45959.428194444525</v>
      </c>
      <c r="S4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45959.449756944523</v>
      </c>
      <c r="T412" s="102">
        <f ca="1">--(Tabel3[[#This Row],[jour]]&lt;&gt;TRUNC(Tabel3[[#This Row],[fin]]))</f>
        <v>1</v>
      </c>
      <c r="U412" s="102">
        <f ca="1">IF(Tabel3[[#This Row],[Type]]="j0",0,--(TRUNC(Tabel3[[#This Row],[debut]])-TRUNC(Tabel3[[#This Row],[fin precedent]])&lt;Tabel3[[#This Row],[delai]]))</f>
        <v>0</v>
      </c>
    </row>
    <row r="413" spans="12:21" ht="18" customHeight="1" x14ac:dyDescent="0.2">
      <c r="L413" s="98" t="s">
        <v>112</v>
      </c>
      <c r="M413" s="98" t="s">
        <v>40</v>
      </c>
      <c r="N413" s="104">
        <v>45939</v>
      </c>
      <c r="O413" s="98">
        <v>44.1</v>
      </c>
      <c r="P413" s="98">
        <f>INDEX($C$1:$I$1,MATCH(Tabel3[[#This Row],[Type]],Devoirs[[#Headers],[J0]:[J60]],0))</f>
        <v>5</v>
      </c>
      <c r="Q413" s="105" cm="1">
        <f t="array" aca="1" ref="Q4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45951.699409722278</v>
      </c>
      <c r="R413" s="105">
        <f ca="1">MAX(Tabel3[[#This Row],[jour]]+$R$3,IF(ROW()-ROW(Tabel3[[#Headers],[debut]])=1,DATE(2025,9,1)+$R$3,OFFSET(Tabel3[[#This Row],[fin]],-1,)))</f>
        <v>45959.449756944523</v>
      </c>
      <c r="S4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45959.480381944522</v>
      </c>
      <c r="T413" s="102">
        <f ca="1">--(Tabel3[[#This Row],[jour]]&lt;&gt;TRUNC(Tabel3[[#This Row],[fin]]))</f>
        <v>1</v>
      </c>
      <c r="U413" s="102">
        <f ca="1">IF(Tabel3[[#This Row],[Type]]="j0",0,--(TRUNC(Tabel3[[#This Row],[debut]])-TRUNC(Tabel3[[#This Row],[fin precedent]])&lt;Tabel3[[#This Row],[delai]]))</f>
        <v>0</v>
      </c>
    </row>
    <row r="414" spans="12:21" ht="18" customHeight="1" x14ac:dyDescent="0.2">
      <c r="L414" s="98" t="s">
        <v>100</v>
      </c>
      <c r="M414" s="98" t="s">
        <v>40</v>
      </c>
      <c r="N414" s="104">
        <v>45939</v>
      </c>
      <c r="O414" s="98">
        <v>45</v>
      </c>
      <c r="P414" s="98">
        <f>INDEX($C$1:$I$1,MATCH(Tabel3[[#This Row],[Type]],Devoirs[[#Headers],[J0]:[J60]],0))</f>
        <v>5</v>
      </c>
      <c r="Q414" s="105" cm="1">
        <f t="array" aca="1" ref="Q4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45951.741076388942</v>
      </c>
      <c r="R414" s="105">
        <f ca="1">MAX(Tabel3[[#This Row],[jour]]+$R$3,IF(ROW()-ROW(Tabel3[[#Headers],[debut]])=1,DATE(2025,9,1)+$R$3,OFFSET(Tabel3[[#This Row],[fin]],-1,)))</f>
        <v>45959.480381944522</v>
      </c>
      <c r="S4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45959.511631944522</v>
      </c>
      <c r="T414" s="102">
        <f ca="1">--(Tabel3[[#This Row],[jour]]&lt;&gt;TRUNC(Tabel3[[#This Row],[fin]]))</f>
        <v>1</v>
      </c>
      <c r="U414" s="102">
        <f ca="1">IF(Tabel3[[#This Row],[Type]]="j0",0,--(TRUNC(Tabel3[[#This Row],[debut]])-TRUNC(Tabel3[[#This Row],[fin precedent]])&lt;Tabel3[[#This Row],[delai]]))</f>
        <v>0</v>
      </c>
    </row>
    <row r="415" spans="12:21" ht="18" customHeight="1" x14ac:dyDescent="0.2">
      <c r="L415" s="98" t="s">
        <v>101</v>
      </c>
      <c r="M415" s="98" t="s">
        <v>40</v>
      </c>
      <c r="N415" s="104">
        <v>45939</v>
      </c>
      <c r="O415" s="98">
        <v>45</v>
      </c>
      <c r="P415" s="98">
        <f>INDEX($C$1:$I$1,MATCH(Tabel3[[#This Row],[Type]],Devoirs[[#Headers],[J0]:[J60]],0))</f>
        <v>5</v>
      </c>
      <c r="Q415" s="105" cm="1">
        <f t="array" aca="1" ref="Q4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45952.366076388942</v>
      </c>
      <c r="R415" s="105">
        <f ca="1">MAX(Tabel3[[#This Row],[jour]]+$R$3,IF(ROW()-ROW(Tabel3[[#Headers],[debut]])=1,DATE(2025,9,1)+$R$3,OFFSET(Tabel3[[#This Row],[fin]],-1,)))</f>
        <v>45959.511631944522</v>
      </c>
      <c r="S4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45959.542881944522</v>
      </c>
      <c r="T415" s="102">
        <f ca="1">--(Tabel3[[#This Row],[jour]]&lt;&gt;TRUNC(Tabel3[[#This Row],[fin]]))</f>
        <v>1</v>
      </c>
      <c r="U415" s="102">
        <f ca="1">IF(Tabel3[[#This Row],[Type]]="j0",0,--(TRUNC(Tabel3[[#This Row],[debut]])-TRUNC(Tabel3[[#This Row],[fin precedent]])&lt;Tabel3[[#This Row],[delai]]))</f>
        <v>0</v>
      </c>
    </row>
    <row r="416" spans="12:21" ht="18" customHeight="1" x14ac:dyDescent="0.2">
      <c r="L416" s="98" t="s">
        <v>110</v>
      </c>
      <c r="M416" s="98" t="s">
        <v>40</v>
      </c>
      <c r="N416" s="104">
        <v>45939</v>
      </c>
      <c r="O416" s="98">
        <v>45</v>
      </c>
      <c r="P416" s="98">
        <f>INDEX($C$1:$I$1,MATCH(Tabel3[[#This Row],[Type]],Devoirs[[#Headers],[J0]:[J60]],0))</f>
        <v>5</v>
      </c>
      <c r="Q416" s="105" cm="1">
        <f t="array" aca="1" ref="Q4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45952.407743055606</v>
      </c>
      <c r="R416" s="105">
        <f ca="1">MAX(Tabel3[[#This Row],[jour]]+$R$3,IF(ROW()-ROW(Tabel3[[#Headers],[debut]])=1,DATE(2025,9,1)+$R$3,OFFSET(Tabel3[[#This Row],[fin]],-1,)))</f>
        <v>45959.542881944522</v>
      </c>
      <c r="S4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45959.574131944522</v>
      </c>
      <c r="T416" s="102">
        <f ca="1">--(Tabel3[[#This Row],[jour]]&lt;&gt;TRUNC(Tabel3[[#This Row],[fin]]))</f>
        <v>1</v>
      </c>
      <c r="U416" s="102">
        <f ca="1">IF(Tabel3[[#This Row],[Type]]="j0",0,--(TRUNC(Tabel3[[#This Row],[debut]])-TRUNC(Tabel3[[#This Row],[fin precedent]])&lt;Tabel3[[#This Row],[delai]]))</f>
        <v>0</v>
      </c>
    </row>
    <row r="417" spans="12:21" ht="18" customHeight="1" x14ac:dyDescent="0.2">
      <c r="L417" s="98" t="s">
        <v>122</v>
      </c>
      <c r="M417" s="98" t="s">
        <v>39</v>
      </c>
      <c r="N417" s="104">
        <v>45939</v>
      </c>
      <c r="O417" s="98">
        <v>47.4</v>
      </c>
      <c r="P417" s="98">
        <f>INDEX($C$1:$I$1,MATCH(Tabel3[[#This Row],[Type]],Devoirs[[#Headers],[J0]:[J60]],0))</f>
        <v>4</v>
      </c>
      <c r="Q417" s="105" cm="1">
        <f t="array" aca="1" ref="Q4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45952.448888888939</v>
      </c>
      <c r="R417" s="105">
        <f ca="1">MAX(Tabel3[[#This Row],[jour]]+$R$3,IF(ROW()-ROW(Tabel3[[#Headers],[debut]])=1,DATE(2025,9,1)+$R$3,OFFSET(Tabel3[[#This Row],[fin]],-1,)))</f>
        <v>45959.574131944522</v>
      </c>
      <c r="S4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45959.607048611186</v>
      </c>
      <c r="T417" s="102">
        <f ca="1">--(Tabel3[[#This Row],[jour]]&lt;&gt;TRUNC(Tabel3[[#This Row],[fin]]))</f>
        <v>1</v>
      </c>
      <c r="U417" s="102">
        <f ca="1">IF(Tabel3[[#This Row],[Type]]="j0",0,--(TRUNC(Tabel3[[#This Row],[debut]])-TRUNC(Tabel3[[#This Row],[fin precedent]])&lt;Tabel3[[#This Row],[delai]]))</f>
        <v>0</v>
      </c>
    </row>
    <row r="418" spans="12:21" ht="18" customHeight="1" x14ac:dyDescent="0.2">
      <c r="L418" s="98" t="s">
        <v>77</v>
      </c>
      <c r="M418" s="98" t="s">
        <v>39</v>
      </c>
      <c r="N418" s="104">
        <v>45939</v>
      </c>
      <c r="O418" s="98">
        <v>64.8</v>
      </c>
      <c r="P418" s="98">
        <f>INDEX($C$1:$I$1,MATCH(Tabel3[[#This Row],[Type]],Devoirs[[#Headers],[J0]:[J60]],0))</f>
        <v>4</v>
      </c>
      <c r="Q418" s="105" cm="1">
        <f t="array" aca="1" ref="Q4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45952.505138888941</v>
      </c>
      <c r="R418" s="105">
        <f ca="1">MAX(Tabel3[[#This Row],[jour]]+$R$3,IF(ROW()-ROW(Tabel3[[#Headers],[debut]])=1,DATE(2025,9,1)+$R$3,OFFSET(Tabel3[[#This Row],[fin]],-1,)))</f>
        <v>45959.607048611186</v>
      </c>
      <c r="S4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45959.652048611184</v>
      </c>
      <c r="T418" s="102">
        <f ca="1">--(Tabel3[[#This Row],[jour]]&lt;&gt;TRUNC(Tabel3[[#This Row],[fin]]))</f>
        <v>1</v>
      </c>
      <c r="U418" s="102">
        <f ca="1">IF(Tabel3[[#This Row],[Type]]="j0",0,--(TRUNC(Tabel3[[#This Row],[debut]])-TRUNC(Tabel3[[#This Row],[fin precedent]])&lt;Tabel3[[#This Row],[delai]]))</f>
        <v>0</v>
      </c>
    </row>
    <row r="419" spans="12:21" ht="18" customHeight="1" x14ac:dyDescent="0.2">
      <c r="L419" s="98" t="s">
        <v>54</v>
      </c>
      <c r="M419" s="98" t="s">
        <v>1</v>
      </c>
      <c r="N419" s="104">
        <v>45939</v>
      </c>
      <c r="O419" s="98">
        <v>66</v>
      </c>
      <c r="P419" s="98">
        <f>INDEX($C$1:$I$1,MATCH(Tabel3[[#This Row],[Type]],Devoirs[[#Headers],[J0]:[J60]],0))</f>
        <v>0</v>
      </c>
      <c r="Q419" s="105" t="str" cm="1">
        <f t="array" ref="Q419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419" s="105">
        <f ca="1">MAX(Tabel3[[#This Row],[jour]]+$R$3,IF(ROW()-ROW(Tabel3[[#Headers],[debut]])=1,DATE(2025,9,1)+$R$3,OFFSET(Tabel3[[#This Row],[fin]],-1,)))</f>
        <v>45959.652048611184</v>
      </c>
      <c r="S4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45959.697881944514</v>
      </c>
      <c r="T419" s="102">
        <f ca="1">--(Tabel3[[#This Row],[jour]]&lt;&gt;TRUNC(Tabel3[[#This Row],[fin]]))</f>
        <v>1</v>
      </c>
      <c r="U419" s="102">
        <f>IF(Tabel3[[#This Row],[Type]]="j0",0,--(TRUNC(Tabel3[[#This Row],[debut]])-TRUNC(Tabel3[[#This Row],[fin precedent]])&lt;Tabel3[[#This Row],[delai]]))</f>
        <v>0</v>
      </c>
    </row>
    <row r="420" spans="12:21" ht="18" customHeight="1" x14ac:dyDescent="0.2">
      <c r="L420" s="98" t="s">
        <v>97</v>
      </c>
      <c r="M420" s="98" t="s">
        <v>1</v>
      </c>
      <c r="N420" s="104">
        <v>45939</v>
      </c>
      <c r="O420" s="98">
        <v>110</v>
      </c>
      <c r="P420" s="98">
        <f>INDEX($C$1:$I$1,MATCH(Tabel3[[#This Row],[Type]],Devoirs[[#Headers],[J0]:[J60]],0))</f>
        <v>0</v>
      </c>
      <c r="Q420" s="105" t="str" cm="1">
        <f t="array" ref="Q420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420" s="105">
        <f ca="1">MAX(Tabel3[[#This Row],[jour]]+$R$3,IF(ROW()-ROW(Tabel3[[#Headers],[debut]])=1,DATE(2025,9,1)+$R$3,OFFSET(Tabel3[[#This Row],[fin]],-1,)))</f>
        <v>45959.697881944514</v>
      </c>
      <c r="S4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45960.35760416674</v>
      </c>
      <c r="T420" s="102">
        <f ca="1">--(Tabel3[[#This Row],[jour]]&lt;&gt;TRUNC(Tabel3[[#This Row],[fin]]))</f>
        <v>1</v>
      </c>
      <c r="U420" s="102">
        <f>IF(Tabel3[[#This Row],[Type]]="j0",0,--(TRUNC(Tabel3[[#This Row],[debut]])-TRUNC(Tabel3[[#This Row],[fin precedent]])&lt;Tabel3[[#This Row],[delai]]))</f>
        <v>0</v>
      </c>
    </row>
    <row r="421" spans="12:21" ht="18" customHeight="1" x14ac:dyDescent="0.2">
      <c r="L421" s="98" t="s">
        <v>60</v>
      </c>
      <c r="M421" s="98" t="s">
        <v>37</v>
      </c>
      <c r="N421" s="104">
        <v>45940</v>
      </c>
      <c r="O421" s="98">
        <v>36</v>
      </c>
      <c r="P421" s="98">
        <f>INDEX($C$1:$I$1,MATCH(Tabel3[[#This Row],[Type]],Devoirs[[#Headers],[J0]:[J60]],0))</f>
        <v>2</v>
      </c>
      <c r="Q421" s="105" cm="1">
        <f t="array" aca="1" ref="Q42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45957.746527777854</v>
      </c>
      <c r="R421" s="105">
        <f ca="1">MAX(Tabel3[[#This Row],[jour]]+$R$3,IF(ROW()-ROW(Tabel3[[#Headers],[debut]])=1,DATE(2025,9,1)+$R$3,OFFSET(Tabel3[[#This Row],[fin]],-1,)))</f>
        <v>45960.35760416674</v>
      </c>
      <c r="S4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45960.382604166742</v>
      </c>
      <c r="T421" s="102">
        <f ca="1">--(Tabel3[[#This Row],[jour]]&lt;&gt;TRUNC(Tabel3[[#This Row],[fin]]))</f>
        <v>1</v>
      </c>
      <c r="U421" s="102">
        <f ca="1">IF(Tabel3[[#This Row],[Type]]="j0",0,--(TRUNC(Tabel3[[#This Row],[debut]])-TRUNC(Tabel3[[#This Row],[fin precedent]])&lt;Tabel3[[#This Row],[delai]]))</f>
        <v>0</v>
      </c>
    </row>
    <row r="422" spans="12:21" ht="18" customHeight="1" x14ac:dyDescent="0.2">
      <c r="L422" s="98" t="s">
        <v>79</v>
      </c>
      <c r="M422" s="98" t="s">
        <v>37</v>
      </c>
      <c r="N422" s="104">
        <v>45940</v>
      </c>
      <c r="O422" s="98">
        <v>72.900000000000006</v>
      </c>
      <c r="P422" s="98">
        <f>INDEX($C$1:$I$1,MATCH(Tabel3[[#This Row],[Type]],Devoirs[[#Headers],[J0]:[J60]],0))</f>
        <v>2</v>
      </c>
      <c r="Q422" s="105" cm="1">
        <f t="array" aca="1" ref="Q42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45958.386111111191</v>
      </c>
      <c r="R422" s="105">
        <f ca="1">MAX(Tabel3[[#This Row],[jour]]+$R$3,IF(ROW()-ROW(Tabel3[[#Headers],[debut]])=1,DATE(2025,9,1)+$R$3,OFFSET(Tabel3[[#This Row],[fin]],-1,)))</f>
        <v>45960.382604166742</v>
      </c>
      <c r="S4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45960.433229166745</v>
      </c>
      <c r="T422" s="102">
        <f ca="1">--(Tabel3[[#This Row],[jour]]&lt;&gt;TRUNC(Tabel3[[#This Row],[fin]]))</f>
        <v>1</v>
      </c>
      <c r="U422" s="102">
        <f ca="1">IF(Tabel3[[#This Row],[Type]]="j0",0,--(TRUNC(Tabel3[[#This Row],[debut]])-TRUNC(Tabel3[[#This Row],[fin precedent]])&lt;Tabel3[[#This Row],[delai]]))</f>
        <v>0</v>
      </c>
    </row>
    <row r="423" spans="12:21" ht="18" customHeight="1" x14ac:dyDescent="0.2">
      <c r="L423" s="98" t="s">
        <v>119</v>
      </c>
      <c r="M423" s="98" t="s">
        <v>40</v>
      </c>
      <c r="N423" s="104">
        <v>45940</v>
      </c>
      <c r="O423" s="98">
        <v>15.3</v>
      </c>
      <c r="P423" s="98">
        <f>INDEX($C$1:$I$1,MATCH(Tabel3[[#This Row],[Type]],Devoirs[[#Headers],[J0]:[J60]],0))</f>
        <v>5</v>
      </c>
      <c r="Q423" s="105" cm="1">
        <f t="array" aca="1" ref="Q42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45952.676180555609</v>
      </c>
      <c r="R423" s="105">
        <f ca="1">MAX(Tabel3[[#This Row],[jour]]+$R$3,IF(ROW()-ROW(Tabel3[[#Headers],[debut]])=1,DATE(2025,9,1)+$R$3,OFFSET(Tabel3[[#This Row],[fin]],-1,)))</f>
        <v>45960.433229166745</v>
      </c>
      <c r="S4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45960.443854166748</v>
      </c>
      <c r="T423" s="102">
        <f ca="1">--(Tabel3[[#This Row],[jour]]&lt;&gt;TRUNC(Tabel3[[#This Row],[fin]]))</f>
        <v>1</v>
      </c>
      <c r="U423" s="102">
        <f ca="1">IF(Tabel3[[#This Row],[Type]]="j0",0,--(TRUNC(Tabel3[[#This Row],[debut]])-TRUNC(Tabel3[[#This Row],[fin precedent]])&lt;Tabel3[[#This Row],[delai]]))</f>
        <v>0</v>
      </c>
    </row>
    <row r="424" spans="12:21" ht="18" customHeight="1" x14ac:dyDescent="0.2">
      <c r="L424" s="98" t="s">
        <v>87</v>
      </c>
      <c r="M424" s="98" t="s">
        <v>40</v>
      </c>
      <c r="N424" s="104">
        <v>45940</v>
      </c>
      <c r="O424" s="98">
        <v>16.2</v>
      </c>
      <c r="P424" s="98">
        <f>INDEX($C$1:$I$1,MATCH(Tabel3[[#This Row],[Type]],Devoirs[[#Headers],[J0]:[J60]],0))</f>
        <v>5</v>
      </c>
      <c r="Q424" s="105" cm="1">
        <f t="array" aca="1" ref="Q4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45952.691180555608</v>
      </c>
      <c r="R424" s="105">
        <f ca="1">MAX(Tabel3[[#This Row],[jour]]+$R$3,IF(ROW()-ROW(Tabel3[[#Headers],[debut]])=1,DATE(2025,9,1)+$R$3,OFFSET(Tabel3[[#This Row],[fin]],-1,)))</f>
        <v>45960.443854166748</v>
      </c>
      <c r="S4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45960.455104166751</v>
      </c>
      <c r="T424" s="102">
        <f ca="1">--(Tabel3[[#This Row],[jour]]&lt;&gt;TRUNC(Tabel3[[#This Row],[fin]]))</f>
        <v>1</v>
      </c>
      <c r="U424" s="102">
        <f ca="1">IF(Tabel3[[#This Row],[Type]]="j0",0,--(TRUNC(Tabel3[[#This Row],[debut]])-TRUNC(Tabel3[[#This Row],[fin precedent]])&lt;Tabel3[[#This Row],[delai]]))</f>
        <v>0</v>
      </c>
    </row>
    <row r="425" spans="12:21" ht="18" customHeight="1" x14ac:dyDescent="0.2">
      <c r="L425" s="98" t="s">
        <v>94</v>
      </c>
      <c r="M425" s="98" t="s">
        <v>40</v>
      </c>
      <c r="N425" s="104">
        <v>45940</v>
      </c>
      <c r="O425" s="98">
        <v>31.5</v>
      </c>
      <c r="P425" s="98">
        <f>INDEX($C$1:$I$1,MATCH(Tabel3[[#This Row],[Type]],Devoirs[[#Headers],[J0]:[J60]],0))</f>
        <v>5</v>
      </c>
      <c r="Q425" s="105" cm="1">
        <f t="array" aca="1" ref="Q4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45952.720347222275</v>
      </c>
      <c r="R425" s="105">
        <f ca="1">MAX(Tabel3[[#This Row],[jour]]+$R$3,IF(ROW()-ROW(Tabel3[[#Headers],[debut]])=1,DATE(2025,9,1)+$R$3,OFFSET(Tabel3[[#This Row],[fin]],-1,)))</f>
        <v>45960.455104166751</v>
      </c>
      <c r="S4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45960.47697916675</v>
      </c>
      <c r="T425" s="102">
        <f ca="1">--(Tabel3[[#This Row],[jour]]&lt;&gt;TRUNC(Tabel3[[#This Row],[fin]]))</f>
        <v>1</v>
      </c>
      <c r="U425" s="102">
        <f ca="1">IF(Tabel3[[#This Row],[Type]]="j0",0,--(TRUNC(Tabel3[[#This Row],[debut]])-TRUNC(Tabel3[[#This Row],[fin precedent]])&lt;Tabel3[[#This Row],[delai]]))</f>
        <v>0</v>
      </c>
    </row>
    <row r="426" spans="12:21" ht="18" customHeight="1" x14ac:dyDescent="0.2">
      <c r="L426" s="98" t="s">
        <v>46</v>
      </c>
      <c r="M426" s="98" t="s">
        <v>40</v>
      </c>
      <c r="N426" s="104">
        <v>45940</v>
      </c>
      <c r="O426" s="98">
        <v>34.200000000000003</v>
      </c>
      <c r="P426" s="98">
        <f>INDEX($C$1:$I$1,MATCH(Tabel3[[#This Row],[Type]],Devoirs[[#Headers],[J0]:[J60]],0))</f>
        <v>5</v>
      </c>
      <c r="Q426" s="105" cm="1">
        <f t="array" aca="1" ref="Q4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45953.335347222281</v>
      </c>
      <c r="R426" s="105">
        <f ca="1">MAX(Tabel3[[#This Row],[jour]]+$R$3,IF(ROW()-ROW(Tabel3[[#Headers],[debut]])=1,DATE(2025,9,1)+$R$3,OFFSET(Tabel3[[#This Row],[fin]],-1,)))</f>
        <v>45960.47697916675</v>
      </c>
      <c r="S4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45960.50072916675</v>
      </c>
      <c r="T426" s="102">
        <f ca="1">--(Tabel3[[#This Row],[jour]]&lt;&gt;TRUNC(Tabel3[[#This Row],[fin]]))</f>
        <v>1</v>
      </c>
      <c r="U426" s="102">
        <f ca="1">IF(Tabel3[[#This Row],[Type]]="j0",0,--(TRUNC(Tabel3[[#This Row],[debut]])-TRUNC(Tabel3[[#This Row],[fin precedent]])&lt;Tabel3[[#This Row],[delai]]))</f>
        <v>0</v>
      </c>
    </row>
    <row r="427" spans="12:21" ht="18" customHeight="1" x14ac:dyDescent="0.2">
      <c r="L427" s="98" t="s">
        <v>129</v>
      </c>
      <c r="M427" s="98" t="s">
        <v>40</v>
      </c>
      <c r="N427" s="104">
        <v>45940</v>
      </c>
      <c r="O427" s="98">
        <v>39.6</v>
      </c>
      <c r="P427" s="98">
        <f>INDEX($C$1:$I$1,MATCH(Tabel3[[#This Row],[Type]],Devoirs[[#Headers],[J0]:[J60]],0))</f>
        <v>5</v>
      </c>
      <c r="Q427" s="105" cm="1">
        <f t="array" aca="1" ref="Q4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45953.372013888948</v>
      </c>
      <c r="R427" s="105">
        <f ca="1">MAX(Tabel3[[#This Row],[jour]]+$R$3,IF(ROW()-ROW(Tabel3[[#Headers],[debut]])=1,DATE(2025,9,1)+$R$3,OFFSET(Tabel3[[#This Row],[fin]],-1,)))</f>
        <v>45960.50072916675</v>
      </c>
      <c r="S4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45960.528229166746</v>
      </c>
      <c r="T427" s="102">
        <f ca="1">--(Tabel3[[#This Row],[jour]]&lt;&gt;TRUNC(Tabel3[[#This Row],[fin]]))</f>
        <v>1</v>
      </c>
      <c r="U427" s="102">
        <f ca="1">IF(Tabel3[[#This Row],[Type]]="j0",0,--(TRUNC(Tabel3[[#This Row],[debut]])-TRUNC(Tabel3[[#This Row],[fin precedent]])&lt;Tabel3[[#This Row],[delai]]))</f>
        <v>0</v>
      </c>
    </row>
    <row r="428" spans="12:21" ht="18" customHeight="1" x14ac:dyDescent="0.2">
      <c r="L428" s="98" t="s">
        <v>47</v>
      </c>
      <c r="M428" s="98" t="s">
        <v>39</v>
      </c>
      <c r="N428" s="104">
        <v>45940</v>
      </c>
      <c r="O428" s="98">
        <v>35.4</v>
      </c>
      <c r="P428" s="98">
        <f>INDEX($C$1:$I$1,MATCH(Tabel3[[#This Row],[Type]],Devoirs[[#Headers],[J0]:[J60]],0))</f>
        <v>4</v>
      </c>
      <c r="Q428" s="105" cm="1">
        <f t="array" aca="1" ref="Q42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45953.402743055616</v>
      </c>
      <c r="R428" s="105">
        <f ca="1">MAX(Tabel3[[#This Row],[jour]]+$R$3,IF(ROW()-ROW(Tabel3[[#Headers],[debut]])=1,DATE(2025,9,1)+$R$3,OFFSET(Tabel3[[#This Row],[fin]],-1,)))</f>
        <v>45960.528229166746</v>
      </c>
      <c r="S4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45960.552812500078</v>
      </c>
      <c r="T428" s="102">
        <f ca="1">--(Tabel3[[#This Row],[jour]]&lt;&gt;TRUNC(Tabel3[[#This Row],[fin]]))</f>
        <v>1</v>
      </c>
      <c r="U428" s="102">
        <f ca="1">IF(Tabel3[[#This Row],[Type]]="j0",0,--(TRUNC(Tabel3[[#This Row],[debut]])-TRUNC(Tabel3[[#This Row],[fin precedent]])&lt;Tabel3[[#This Row],[delai]]))</f>
        <v>0</v>
      </c>
    </row>
    <row r="429" spans="12:21" ht="18" customHeight="1" x14ac:dyDescent="0.2">
      <c r="L429" s="98" t="s">
        <v>76</v>
      </c>
      <c r="M429" s="98" t="s">
        <v>39</v>
      </c>
      <c r="N429" s="104">
        <v>45940</v>
      </c>
      <c r="O429" s="98">
        <v>68.399999999999991</v>
      </c>
      <c r="P429" s="98">
        <f>INDEX($C$1:$I$1,MATCH(Tabel3[[#This Row],[Type]],Devoirs[[#Headers],[J0]:[J60]],0))</f>
        <v>4</v>
      </c>
      <c r="Q429" s="105" cm="1">
        <f t="array" aca="1" ref="Q42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45953.462118055613</v>
      </c>
      <c r="R429" s="105">
        <f ca="1">MAX(Tabel3[[#This Row],[jour]]+$R$3,IF(ROW()-ROW(Tabel3[[#Headers],[debut]])=1,DATE(2025,9,1)+$R$3,OFFSET(Tabel3[[#This Row],[fin]],-1,)))</f>
        <v>45960.552812500078</v>
      </c>
      <c r="S4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45960.600312500079</v>
      </c>
      <c r="T429" s="102">
        <f ca="1">--(Tabel3[[#This Row],[jour]]&lt;&gt;TRUNC(Tabel3[[#This Row],[fin]]))</f>
        <v>1</v>
      </c>
      <c r="U429" s="102">
        <f ca="1">IF(Tabel3[[#This Row],[Type]]="j0",0,--(TRUNC(Tabel3[[#This Row],[debut]])-TRUNC(Tabel3[[#This Row],[fin precedent]])&lt;Tabel3[[#This Row],[delai]]))</f>
        <v>0</v>
      </c>
    </row>
    <row r="430" spans="12:21" ht="18" customHeight="1" x14ac:dyDescent="0.2">
      <c r="L430" s="98" t="s">
        <v>49</v>
      </c>
      <c r="M430" s="98" t="s">
        <v>39</v>
      </c>
      <c r="N430" s="104">
        <v>45940</v>
      </c>
      <c r="O430" s="98">
        <v>70.8</v>
      </c>
      <c r="P430" s="98">
        <f>INDEX($C$1:$I$1,MATCH(Tabel3[[#This Row],[Type]],Devoirs[[#Headers],[J0]:[J60]],0))</f>
        <v>4</v>
      </c>
      <c r="Q430" s="105" cm="1">
        <f t="array" aca="1" ref="Q4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45953.523576388943</v>
      </c>
      <c r="R430" s="105">
        <f ca="1">MAX(Tabel3[[#This Row],[jour]]+$R$3,IF(ROW()-ROW(Tabel3[[#Headers],[debut]])=1,DATE(2025,9,1)+$R$3,OFFSET(Tabel3[[#This Row],[fin]],-1,)))</f>
        <v>45960.600312500079</v>
      </c>
      <c r="S4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45960.649479166743</v>
      </c>
      <c r="T430" s="102">
        <f ca="1">--(Tabel3[[#This Row],[jour]]&lt;&gt;TRUNC(Tabel3[[#This Row],[fin]]))</f>
        <v>1</v>
      </c>
      <c r="U430" s="102">
        <f ca="1">IF(Tabel3[[#This Row],[Type]]="j0",0,--(TRUNC(Tabel3[[#This Row],[debut]])-TRUNC(Tabel3[[#This Row],[fin precedent]])&lt;Tabel3[[#This Row],[delai]]))</f>
        <v>0</v>
      </c>
    </row>
    <row r="431" spans="12:21" ht="18" customHeight="1" x14ac:dyDescent="0.2">
      <c r="L431" s="98" t="s">
        <v>132</v>
      </c>
      <c r="M431" s="98" t="s">
        <v>1</v>
      </c>
      <c r="N431" s="104">
        <v>45940</v>
      </c>
      <c r="O431" s="98">
        <v>81</v>
      </c>
      <c r="P431" s="98">
        <f>INDEX($C$1:$I$1,MATCH(Tabel3[[#This Row],[Type]],Devoirs[[#Headers],[J0]:[J60]],0))</f>
        <v>0</v>
      </c>
      <c r="Q431" s="105" t="str" cm="1">
        <f t="array" ref="Q43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431" s="105">
        <f ca="1">MAX(Tabel3[[#This Row],[jour]]+$R$3,IF(ROW()-ROW(Tabel3[[#Headers],[debut]])=1,DATE(2025,9,1)+$R$3,OFFSET(Tabel3[[#This Row],[fin]],-1,)))</f>
        <v>45960.649479166743</v>
      </c>
      <c r="S4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45960.705729166744</v>
      </c>
      <c r="T431" s="102">
        <f ca="1">--(Tabel3[[#This Row],[jour]]&lt;&gt;TRUNC(Tabel3[[#This Row],[fin]]))</f>
        <v>1</v>
      </c>
      <c r="U431" s="102">
        <f>IF(Tabel3[[#This Row],[Type]]="j0",0,--(TRUNC(Tabel3[[#This Row],[debut]])-TRUNC(Tabel3[[#This Row],[fin precedent]])&lt;Tabel3[[#This Row],[delai]]))</f>
        <v>0</v>
      </c>
    </row>
    <row r="432" spans="12:21" ht="18" customHeight="1" x14ac:dyDescent="0.2">
      <c r="L432" s="98" t="s">
        <v>139</v>
      </c>
      <c r="M432" s="98" t="s">
        <v>1</v>
      </c>
      <c r="N432" s="104">
        <v>45940</v>
      </c>
      <c r="O432" s="98">
        <v>108</v>
      </c>
      <c r="P432" s="98">
        <f>INDEX($C$1:$I$1,MATCH(Tabel3[[#This Row],[Type]],Devoirs[[#Headers],[J0]:[J60]],0))</f>
        <v>0</v>
      </c>
      <c r="Q432" s="105" t="str" cm="1">
        <f t="array" ref="Q432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-</v>
      </c>
      <c r="R432" s="105">
        <f ca="1">MAX(Tabel3[[#This Row],[jour]]+$R$3,IF(ROW()-ROW(Tabel3[[#Headers],[debut]])=1,DATE(2025,9,1)+$R$3,OFFSET(Tabel3[[#This Row],[fin]],-1,)))</f>
        <v>45960.705729166744</v>
      </c>
      <c r="S4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45961.364062500077</v>
      </c>
      <c r="T432" s="102">
        <f ca="1">--(Tabel3[[#This Row],[jour]]&lt;&gt;TRUNC(Tabel3[[#This Row],[fin]]))</f>
        <v>1</v>
      </c>
      <c r="U432" s="102">
        <f>IF(Tabel3[[#This Row],[Type]]="j0",0,--(TRUNC(Tabel3[[#This Row],[debut]])-TRUNC(Tabel3[[#This Row],[fin precedent]])&lt;Tabel3[[#This Row],[delai]]))</f>
        <v>0</v>
      </c>
    </row>
    <row r="433" spans="12:21" ht="18" customHeight="1" x14ac:dyDescent="0.2">
      <c r="L433" s="98" t="s">
        <v>374</v>
      </c>
      <c r="M433" s="98" t="s">
        <v>41</v>
      </c>
      <c r="N433" s="104">
        <v>45941</v>
      </c>
      <c r="O433" s="98">
        <v>16.2</v>
      </c>
      <c r="P433" s="98">
        <f>INDEX($C$1:$I$1,MATCH(Tabel3[[#This Row],[Type]],Devoirs[[#Headers],[J0]:[J60]],0))</f>
        <v>15</v>
      </c>
      <c r="Q433" s="105" cm="1">
        <f t="array" aca="1" ref="Q4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45937.634444444469</v>
      </c>
      <c r="R433" s="105">
        <f ca="1">MAX(Tabel3[[#This Row],[jour]]+$R$3,IF(ROW()-ROW(Tabel3[[#Headers],[debut]])=1,DATE(2025,9,1)+$R$3,OFFSET(Tabel3[[#This Row],[fin]],-1,)))</f>
        <v>45961.364062500077</v>
      </c>
      <c r="S4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45961.37531250008</v>
      </c>
      <c r="T433" s="102">
        <f ca="1">--(Tabel3[[#This Row],[jour]]&lt;&gt;TRUNC(Tabel3[[#This Row],[fin]]))</f>
        <v>1</v>
      </c>
      <c r="U433" s="102">
        <f ca="1">IF(Tabel3[[#This Row],[Type]]="j0",0,--(TRUNC(Tabel3[[#This Row],[debut]])-TRUNC(Tabel3[[#This Row],[fin precedent]])&lt;Tabel3[[#This Row],[delai]]))</f>
        <v>0</v>
      </c>
    </row>
    <row r="434" spans="12:21" ht="18" customHeight="1" x14ac:dyDescent="0.2">
      <c r="L434" s="98" t="s">
        <v>61</v>
      </c>
      <c r="M434" s="98" t="s">
        <v>41</v>
      </c>
      <c r="N434" s="104">
        <v>45941</v>
      </c>
      <c r="O434" s="98">
        <v>18.899999999999999</v>
      </c>
      <c r="P434" s="98">
        <f>INDEX($C$1:$I$1,MATCH(Tabel3[[#This Row],[Type]],Devoirs[[#Headers],[J0]:[J60]],0))</f>
        <v>15</v>
      </c>
      <c r="Q434" s="105" cm="1">
        <f t="array" aca="1" ref="Q4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45937.654131944466</v>
      </c>
      <c r="R434" s="105">
        <f ca="1">MAX(Tabel3[[#This Row],[jour]]+$R$3,IF(ROW()-ROW(Tabel3[[#Headers],[debut]])=1,DATE(2025,9,1)+$R$3,OFFSET(Tabel3[[#This Row],[fin]],-1,)))</f>
        <v>45961.37531250008</v>
      </c>
      <c r="S4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45961.388437500078</v>
      </c>
      <c r="T434" s="102">
        <f ca="1">--(Tabel3[[#This Row],[jour]]&lt;&gt;TRUNC(Tabel3[[#This Row],[fin]]))</f>
        <v>1</v>
      </c>
      <c r="U434" s="102">
        <f ca="1">IF(Tabel3[[#This Row],[Type]]="j0",0,--(TRUNC(Tabel3[[#This Row],[debut]])-TRUNC(Tabel3[[#This Row],[fin precedent]])&lt;Tabel3[[#This Row],[delai]]))</f>
        <v>0</v>
      </c>
    </row>
    <row r="435" spans="12:21" ht="18" customHeight="1" x14ac:dyDescent="0.2">
      <c r="L435" s="98" t="s">
        <v>54</v>
      </c>
      <c r="M435" s="98" t="s">
        <v>37</v>
      </c>
      <c r="N435" s="104">
        <v>45941</v>
      </c>
      <c r="O435" s="98">
        <v>59.4</v>
      </c>
      <c r="P435" s="98">
        <f>INDEX($C$1:$I$1,MATCH(Tabel3[[#This Row],[Type]],Devoirs[[#Headers],[J0]:[J60]],0))</f>
        <v>2</v>
      </c>
      <c r="Q435" s="105" cm="1">
        <f t="array" aca="1" ref="Q4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45959.697881944514</v>
      </c>
      <c r="R435" s="105">
        <f ca="1">MAX(Tabel3[[#This Row],[jour]]+$R$3,IF(ROW()-ROW(Tabel3[[#Headers],[debut]])=1,DATE(2025,9,1)+$R$3,OFFSET(Tabel3[[#This Row],[fin]],-1,)))</f>
        <v>45961.388437500078</v>
      </c>
      <c r="S4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45961.42968750008</v>
      </c>
      <c r="T435" s="102">
        <f ca="1">--(Tabel3[[#This Row],[jour]]&lt;&gt;TRUNC(Tabel3[[#This Row],[fin]]))</f>
        <v>1</v>
      </c>
      <c r="U435" s="102">
        <f ca="1">IF(Tabel3[[#This Row],[Type]]="j0",0,--(TRUNC(Tabel3[[#This Row],[debut]])-TRUNC(Tabel3[[#This Row],[fin precedent]])&lt;Tabel3[[#This Row],[delai]]))</f>
        <v>0</v>
      </c>
    </row>
    <row r="436" spans="12:21" ht="18" customHeight="1" x14ac:dyDescent="0.2">
      <c r="L436" s="98" t="s">
        <v>97</v>
      </c>
      <c r="M436" s="98" t="s">
        <v>37</v>
      </c>
      <c r="N436" s="104">
        <v>45941</v>
      </c>
      <c r="O436" s="98">
        <v>99</v>
      </c>
      <c r="P436" s="98">
        <f>INDEX($C$1:$I$1,MATCH(Tabel3[[#This Row],[Type]],Devoirs[[#Headers],[J0]:[J60]],0))</f>
        <v>2</v>
      </c>
      <c r="Q436" s="105" cm="1">
        <f t="array" aca="1" ref="Q4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45960.35760416674</v>
      </c>
      <c r="R436" s="105">
        <f ca="1">MAX(Tabel3[[#This Row],[jour]]+$R$3,IF(ROW()-ROW(Tabel3[[#Headers],[debut]])=1,DATE(2025,9,1)+$R$3,OFFSET(Tabel3[[#This Row],[fin]],-1,)))</f>
        <v>45961.42968750008</v>
      </c>
      <c r="S4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45961.498437500079</v>
      </c>
      <c r="T436" s="102">
        <f ca="1">--(Tabel3[[#This Row],[jour]]&lt;&gt;TRUNC(Tabel3[[#This Row],[fin]]))</f>
        <v>1</v>
      </c>
      <c r="U436" s="102">
        <f ca="1">IF(Tabel3[[#This Row],[Type]]="j0",0,--(TRUNC(Tabel3[[#This Row],[debut]])-TRUNC(Tabel3[[#This Row],[fin precedent]])&lt;Tabel3[[#This Row],[delai]]))</f>
        <v>1</v>
      </c>
    </row>
    <row r="437" spans="12:21" ht="18" customHeight="1" x14ac:dyDescent="0.2">
      <c r="L437" s="98" t="s">
        <v>124</v>
      </c>
      <c r="M437" s="98" t="s">
        <v>39</v>
      </c>
      <c r="N437" s="104">
        <v>45941</v>
      </c>
      <c r="O437" s="98">
        <v>30</v>
      </c>
      <c r="P437" s="98">
        <f>INDEX($C$1:$I$1,MATCH(Tabel3[[#This Row],[Type]],Devoirs[[#Headers],[J0]:[J60]],0))</f>
        <v>4</v>
      </c>
      <c r="Q437" s="105" cm="1">
        <f t="array" aca="1" ref="Q43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45953.64822916672</v>
      </c>
      <c r="R437" s="105">
        <f ca="1">MAX(Tabel3[[#This Row],[jour]]+$R$3,IF(ROW()-ROW(Tabel3[[#Headers],[debut]])=1,DATE(2025,9,1)+$R$3,OFFSET(Tabel3[[#This Row],[fin]],-1,)))</f>
        <v>45961.498437500079</v>
      </c>
      <c r="S4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45961.519270833414</v>
      </c>
      <c r="T437" s="102">
        <f ca="1">--(Tabel3[[#This Row],[jour]]&lt;&gt;TRUNC(Tabel3[[#This Row],[fin]]))</f>
        <v>1</v>
      </c>
      <c r="U437" s="102">
        <f ca="1">IF(Tabel3[[#This Row],[Type]]="j0",0,--(TRUNC(Tabel3[[#This Row],[debut]])-TRUNC(Tabel3[[#This Row],[fin precedent]])&lt;Tabel3[[#This Row],[delai]]))</f>
        <v>0</v>
      </c>
    </row>
    <row r="438" spans="12:21" ht="18" customHeight="1" x14ac:dyDescent="0.2">
      <c r="L438" s="98" t="s">
        <v>56</v>
      </c>
      <c r="M438" s="98" t="s">
        <v>39</v>
      </c>
      <c r="N438" s="104">
        <v>45941</v>
      </c>
      <c r="O438" s="98">
        <v>36</v>
      </c>
      <c r="P438" s="98">
        <f>INDEX($C$1:$I$1,MATCH(Tabel3[[#This Row],[Type]],Devoirs[[#Headers],[J0]:[J60]],0))</f>
        <v>4</v>
      </c>
      <c r="Q438" s="105" cm="1">
        <f t="array" aca="1" ref="Q43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45953.67947916672</v>
      </c>
      <c r="R438" s="105">
        <f ca="1">MAX(Tabel3[[#This Row],[jour]]+$R$3,IF(ROW()-ROW(Tabel3[[#Headers],[debut]])=1,DATE(2025,9,1)+$R$3,OFFSET(Tabel3[[#This Row],[fin]],-1,)))</f>
        <v>45961.519270833414</v>
      </c>
      <c r="S4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45961.544270833416</v>
      </c>
      <c r="T438" s="102">
        <f ca="1">--(Tabel3[[#This Row],[jour]]&lt;&gt;TRUNC(Tabel3[[#This Row],[fin]]))</f>
        <v>1</v>
      </c>
      <c r="U438" s="102">
        <f ca="1">IF(Tabel3[[#This Row],[Type]]="j0",0,--(TRUNC(Tabel3[[#This Row],[debut]])-TRUNC(Tabel3[[#This Row],[fin precedent]])&lt;Tabel3[[#This Row],[delai]]))</f>
        <v>0</v>
      </c>
    </row>
    <row r="439" spans="12:21" ht="18" customHeight="1" x14ac:dyDescent="0.2">
      <c r="L439" s="98" t="s">
        <v>73</v>
      </c>
      <c r="M439" s="98" t="s">
        <v>39</v>
      </c>
      <c r="N439" s="104">
        <v>45941</v>
      </c>
      <c r="O439" s="98">
        <v>53.4</v>
      </c>
      <c r="P439" s="98">
        <f>INDEX($C$1:$I$1,MATCH(Tabel3[[#This Row],[Type]],Devoirs[[#Headers],[J0]:[J60]],0))</f>
        <v>4</v>
      </c>
      <c r="Q439" s="105" cm="1">
        <f t="array" aca="1" ref="Q43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45953.725833333388</v>
      </c>
      <c r="R439" s="105">
        <f ca="1">MAX(Tabel3[[#This Row],[jour]]+$R$3,IF(ROW()-ROW(Tabel3[[#Headers],[debut]])=1,DATE(2025,9,1)+$R$3,OFFSET(Tabel3[[#This Row],[fin]],-1,)))</f>
        <v>45961.544270833416</v>
      </c>
      <c r="S4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45961.581354166752</v>
      </c>
      <c r="T439" s="102">
        <f ca="1">--(Tabel3[[#This Row],[jour]]&lt;&gt;TRUNC(Tabel3[[#This Row],[fin]]))</f>
        <v>1</v>
      </c>
      <c r="U439" s="102">
        <f ca="1">IF(Tabel3[[#This Row],[Type]]="j0",0,--(TRUNC(Tabel3[[#This Row],[debut]])-TRUNC(Tabel3[[#This Row],[fin precedent]])&lt;Tabel3[[#This Row],[delai]]))</f>
        <v>0</v>
      </c>
    </row>
    <row r="440" spans="12:21" ht="18" customHeight="1" x14ac:dyDescent="0.2">
      <c r="L440" s="98" t="s">
        <v>120</v>
      </c>
      <c r="M440" s="98" t="s">
        <v>39</v>
      </c>
      <c r="N440" s="104">
        <v>45941</v>
      </c>
      <c r="O440" s="98">
        <v>61.199999999999996</v>
      </c>
      <c r="P440" s="98">
        <f>INDEX($C$1:$I$1,MATCH(Tabel3[[#This Row],[Type]],Devoirs[[#Headers],[J0]:[J60]],0))</f>
        <v>4</v>
      </c>
      <c r="Q440" s="105" cm="1">
        <f t="array" aca="1" ref="Q44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45954.362291666723</v>
      </c>
      <c r="R440" s="105">
        <f ca="1">MAX(Tabel3[[#This Row],[jour]]+$R$3,IF(ROW()-ROW(Tabel3[[#Headers],[debut]])=1,DATE(2025,9,1)+$R$3,OFFSET(Tabel3[[#This Row],[fin]],-1,)))</f>
        <v>45961.581354166752</v>
      </c>
      <c r="S4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45961.623854166755</v>
      </c>
      <c r="T440" s="102">
        <f ca="1">--(Tabel3[[#This Row],[jour]]&lt;&gt;TRUNC(Tabel3[[#This Row],[fin]]))</f>
        <v>1</v>
      </c>
      <c r="U440" s="102">
        <f ca="1">IF(Tabel3[[#This Row],[Type]]="j0",0,--(TRUNC(Tabel3[[#This Row],[debut]])-TRUNC(Tabel3[[#This Row],[fin precedent]])&lt;Tabel3[[#This Row],[delai]]))</f>
        <v>0</v>
      </c>
    </row>
    <row r="441" spans="12:21" ht="18" customHeight="1" x14ac:dyDescent="0.2">
      <c r="L441" s="98" t="s">
        <v>63</v>
      </c>
      <c r="M441" s="98" t="s">
        <v>38</v>
      </c>
      <c r="N441" s="104">
        <v>45942</v>
      </c>
      <c r="O441" s="98">
        <v>53.25</v>
      </c>
      <c r="P441" s="98">
        <f>INDEX($C$1:$I$1,MATCH(Tabel3[[#This Row],[Type]],Devoirs[[#Headers],[J0]:[J60]],0))</f>
        <v>4</v>
      </c>
      <c r="Q441" s="105" cm="1">
        <f t="array" aca="1" ref="Q4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45957.574375000069</v>
      </c>
      <c r="R441" s="105">
        <f ca="1">MAX(Tabel3[[#This Row],[jour]]+$R$3,IF(ROW()-ROW(Tabel3[[#Headers],[debut]])=1,DATE(2025,9,1)+$R$3,OFFSET(Tabel3[[#This Row],[fin]],-1,)))</f>
        <v>45961.623854166755</v>
      </c>
      <c r="S4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45961.660833333422</v>
      </c>
      <c r="T441" s="102">
        <f ca="1">--(Tabel3[[#This Row],[jour]]&lt;&gt;TRUNC(Tabel3[[#This Row],[fin]]))</f>
        <v>1</v>
      </c>
      <c r="U441" s="102">
        <f ca="1">IF(Tabel3[[#This Row],[Type]]="j0",0,--(TRUNC(Tabel3[[#This Row],[debut]])-TRUNC(Tabel3[[#This Row],[fin precedent]])&lt;Tabel3[[#This Row],[delai]]))</f>
        <v>0</v>
      </c>
    </row>
    <row r="442" spans="12:21" ht="18" customHeight="1" x14ac:dyDescent="0.2">
      <c r="L442" s="98" t="s">
        <v>91</v>
      </c>
      <c r="M442" s="98" t="s">
        <v>38</v>
      </c>
      <c r="N442" s="104">
        <v>45942</v>
      </c>
      <c r="O442" s="98">
        <v>53.25</v>
      </c>
      <c r="P442" s="98">
        <f>INDEX($C$1:$I$1,MATCH(Tabel3[[#This Row],[Type]],Devoirs[[#Headers],[J0]:[J60]],0))</f>
        <v>4</v>
      </c>
      <c r="Q442" s="105" cm="1">
        <f t="array" aca="1" ref="Q4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45957.618750000067</v>
      </c>
      <c r="R442" s="105">
        <f ca="1">MAX(Tabel3[[#This Row],[jour]]+$R$3,IF(ROW()-ROW(Tabel3[[#Headers],[debut]])=1,DATE(2025,9,1)+$R$3,OFFSET(Tabel3[[#This Row],[fin]],-1,)))</f>
        <v>45961.660833333422</v>
      </c>
      <c r="S4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45961.69781250009</v>
      </c>
      <c r="T442" s="102">
        <f ca="1">--(Tabel3[[#This Row],[jour]]&lt;&gt;TRUNC(Tabel3[[#This Row],[fin]]))</f>
        <v>1</v>
      </c>
      <c r="U442" s="102">
        <f ca="1">IF(Tabel3[[#This Row],[Type]]="j0",0,--(TRUNC(Tabel3[[#This Row],[debut]])-TRUNC(Tabel3[[#This Row],[fin precedent]])&lt;Tabel3[[#This Row],[delai]]))</f>
        <v>0</v>
      </c>
    </row>
    <row r="443" spans="12:21" ht="18" customHeight="1" x14ac:dyDescent="0.2">
      <c r="L443" s="98" t="s">
        <v>118</v>
      </c>
      <c r="M443" s="98" t="s">
        <v>41</v>
      </c>
      <c r="N443" s="104">
        <v>45942</v>
      </c>
      <c r="O443" s="98">
        <v>13.5</v>
      </c>
      <c r="P443" s="98">
        <f>INDEX($C$1:$I$1,MATCH(Tabel3[[#This Row],[Type]],Devoirs[[#Headers],[J0]:[J60]],0))</f>
        <v>15</v>
      </c>
      <c r="Q443" s="105" cm="1">
        <f t="array" aca="1" ref="Q4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45938.540694444462</v>
      </c>
      <c r="R443" s="105">
        <f ca="1">MAX(Tabel3[[#This Row],[jour]]+$R$3,IF(ROW()-ROW(Tabel3[[#Headers],[debut]])=1,DATE(2025,9,1)+$R$3,OFFSET(Tabel3[[#This Row],[fin]],-1,)))</f>
        <v>45961.69781250009</v>
      </c>
      <c r="S4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45961.707187500091</v>
      </c>
      <c r="T443" s="102">
        <f ca="1">--(Tabel3[[#This Row],[jour]]&lt;&gt;TRUNC(Tabel3[[#This Row],[fin]]))</f>
        <v>1</v>
      </c>
      <c r="U443" s="102">
        <f ca="1">IF(Tabel3[[#This Row],[Type]]="j0",0,--(TRUNC(Tabel3[[#This Row],[debut]])-TRUNC(Tabel3[[#This Row],[fin precedent]])&lt;Tabel3[[#This Row],[delai]]))</f>
        <v>0</v>
      </c>
    </row>
    <row r="444" spans="12:21" ht="18" customHeight="1" x14ac:dyDescent="0.2">
      <c r="L444" s="98" t="s">
        <v>96</v>
      </c>
      <c r="M444" s="98" t="s">
        <v>41</v>
      </c>
      <c r="N444" s="104">
        <v>45942</v>
      </c>
      <c r="O444" s="98">
        <v>19.2</v>
      </c>
      <c r="P444" s="98">
        <f>INDEX($C$1:$I$1,MATCH(Tabel3[[#This Row],[Type]],Devoirs[[#Headers],[J0]:[J60]],0))</f>
        <v>15</v>
      </c>
      <c r="Q444" s="105" cm="1">
        <f t="array" aca="1" ref="Q4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45938.560694444459</v>
      </c>
      <c r="R444" s="105">
        <f ca="1">MAX(Tabel3[[#This Row],[jour]]+$R$3,IF(ROW()-ROW(Tabel3[[#Headers],[debut]])=1,DATE(2025,9,1)+$R$3,OFFSET(Tabel3[[#This Row],[fin]],-1,)))</f>
        <v>45961.707187500091</v>
      </c>
      <c r="S4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45961.720520833427</v>
      </c>
      <c r="T444" s="102">
        <f ca="1">--(Tabel3[[#This Row],[jour]]&lt;&gt;TRUNC(Tabel3[[#This Row],[fin]]))</f>
        <v>1</v>
      </c>
      <c r="U444" s="102">
        <f ca="1">IF(Tabel3[[#This Row],[Type]]="j0",0,--(TRUNC(Tabel3[[#This Row],[debut]])-TRUNC(Tabel3[[#This Row],[fin precedent]])&lt;Tabel3[[#This Row],[delai]]))</f>
        <v>0</v>
      </c>
    </row>
    <row r="445" spans="12:21" ht="18" customHeight="1" x14ac:dyDescent="0.2">
      <c r="L445" s="98" t="s">
        <v>78</v>
      </c>
      <c r="M445" s="98" t="s">
        <v>41</v>
      </c>
      <c r="N445" s="104">
        <v>45942</v>
      </c>
      <c r="O445" s="98">
        <v>26.099999999999998</v>
      </c>
      <c r="P445" s="98">
        <f>INDEX($C$1:$I$1,MATCH(Tabel3[[#This Row],[Type]],Devoirs[[#Headers],[J0]:[J60]],0))</f>
        <v>15</v>
      </c>
      <c r="Q445" s="105" cm="1">
        <f t="array" aca="1" ref="Q4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45938.587881944462</v>
      </c>
      <c r="R445" s="105">
        <f ca="1">MAX(Tabel3[[#This Row],[jour]]+$R$3,IF(ROW()-ROW(Tabel3[[#Headers],[debut]])=1,DATE(2025,9,1)+$R$3,OFFSET(Tabel3[[#This Row],[fin]],-1,)))</f>
        <v>45961.720520833427</v>
      </c>
      <c r="S4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45961.738645833429</v>
      </c>
      <c r="T445" s="102">
        <f ca="1">--(Tabel3[[#This Row],[jour]]&lt;&gt;TRUNC(Tabel3[[#This Row],[fin]]))</f>
        <v>1</v>
      </c>
      <c r="U445" s="102">
        <f ca="1">IF(Tabel3[[#This Row],[Type]]="j0",0,--(TRUNC(Tabel3[[#This Row],[debut]])-TRUNC(Tabel3[[#This Row],[fin precedent]])&lt;Tabel3[[#This Row],[delai]]))</f>
        <v>0</v>
      </c>
    </row>
    <row r="446" spans="12:21" ht="18" customHeight="1" x14ac:dyDescent="0.2">
      <c r="L446" s="98" t="s">
        <v>66</v>
      </c>
      <c r="M446" s="98" t="s">
        <v>41</v>
      </c>
      <c r="N446" s="104">
        <v>45942</v>
      </c>
      <c r="O446" s="98">
        <v>27.599999999999998</v>
      </c>
      <c r="P446" s="98">
        <f>INDEX($C$1:$I$1,MATCH(Tabel3[[#This Row],[Type]],Devoirs[[#Headers],[J0]:[J60]],0))</f>
        <v>15</v>
      </c>
      <c r="Q446" s="105" cm="1">
        <f t="array" aca="1" ref="Q4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45938.61663194446</v>
      </c>
      <c r="R446" s="105">
        <f ca="1">MAX(Tabel3[[#This Row],[jour]]+$R$3,IF(ROW()-ROW(Tabel3[[#Headers],[debut]])=1,DATE(2025,9,1)+$R$3,OFFSET(Tabel3[[#This Row],[fin]],-1,)))</f>
        <v>45961.738645833429</v>
      </c>
      <c r="S4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45964.34114583343</v>
      </c>
      <c r="T446" s="102">
        <f ca="1">--(Tabel3[[#This Row],[jour]]&lt;&gt;TRUNC(Tabel3[[#This Row],[fin]]))</f>
        <v>1</v>
      </c>
      <c r="U446" s="102">
        <f ca="1">IF(Tabel3[[#This Row],[Type]]="j0",0,--(TRUNC(Tabel3[[#This Row],[debut]])-TRUNC(Tabel3[[#This Row],[fin precedent]])&lt;Tabel3[[#This Row],[delai]]))</f>
        <v>0</v>
      </c>
    </row>
    <row r="447" spans="12:21" ht="18" customHeight="1" x14ac:dyDescent="0.2">
      <c r="L447" s="98" t="s">
        <v>132</v>
      </c>
      <c r="M447" s="98" t="s">
        <v>37</v>
      </c>
      <c r="N447" s="104">
        <v>45942</v>
      </c>
      <c r="O447" s="98">
        <v>72.900000000000006</v>
      </c>
      <c r="P447" s="98">
        <f>INDEX($C$1:$I$1,MATCH(Tabel3[[#This Row],[Type]],Devoirs[[#Headers],[J0]:[J60]],0))</f>
        <v>2</v>
      </c>
      <c r="Q447" s="105" cm="1">
        <f t="array" aca="1" ref="Q4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45960.705729166744</v>
      </c>
      <c r="R447" s="105">
        <f ca="1">MAX(Tabel3[[#This Row],[jour]]+$R$3,IF(ROW()-ROW(Tabel3[[#Headers],[debut]])=1,DATE(2025,9,1)+$R$3,OFFSET(Tabel3[[#This Row],[fin]],-1,)))</f>
        <v>45964.34114583343</v>
      </c>
      <c r="S4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45964.391770833434</v>
      </c>
      <c r="T447" s="102">
        <f ca="1">--(Tabel3[[#This Row],[jour]]&lt;&gt;TRUNC(Tabel3[[#This Row],[fin]]))</f>
        <v>1</v>
      </c>
      <c r="U447" s="102">
        <f ca="1">IF(Tabel3[[#This Row],[Type]]="j0",0,--(TRUNC(Tabel3[[#This Row],[debut]])-TRUNC(Tabel3[[#This Row],[fin precedent]])&lt;Tabel3[[#This Row],[delai]]))</f>
        <v>0</v>
      </c>
    </row>
    <row r="448" spans="12:21" ht="18" customHeight="1" x14ac:dyDescent="0.2">
      <c r="L448" s="98" t="s">
        <v>139</v>
      </c>
      <c r="M448" s="98" t="s">
        <v>37</v>
      </c>
      <c r="N448" s="104">
        <v>45942</v>
      </c>
      <c r="O448" s="98">
        <v>97.2</v>
      </c>
      <c r="P448" s="98">
        <f>INDEX($C$1:$I$1,MATCH(Tabel3[[#This Row],[Type]],Devoirs[[#Headers],[J0]:[J60]],0))</f>
        <v>2</v>
      </c>
      <c r="Q448" s="105" cm="1">
        <f t="array" aca="1" ref="Q4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45961.364062500077</v>
      </c>
      <c r="R448" s="105">
        <f ca="1">MAX(Tabel3[[#This Row],[jour]]+$R$3,IF(ROW()-ROW(Tabel3[[#Headers],[debut]])=1,DATE(2025,9,1)+$R$3,OFFSET(Tabel3[[#This Row],[fin]],-1,)))</f>
        <v>45964.391770833434</v>
      </c>
      <c r="S4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45964.459270833431</v>
      </c>
      <c r="T448" s="102">
        <f ca="1">--(Tabel3[[#This Row],[jour]]&lt;&gt;TRUNC(Tabel3[[#This Row],[fin]]))</f>
        <v>1</v>
      </c>
      <c r="U448" s="102">
        <f ca="1">IF(Tabel3[[#This Row],[Type]]="j0",0,--(TRUNC(Tabel3[[#This Row],[debut]])-TRUNC(Tabel3[[#This Row],[fin precedent]])&lt;Tabel3[[#This Row],[delai]]))</f>
        <v>0</v>
      </c>
    </row>
    <row r="449" spans="12:21" ht="18" customHeight="1" x14ac:dyDescent="0.2">
      <c r="L449" s="98" t="s">
        <v>123</v>
      </c>
      <c r="M449" s="98" t="s">
        <v>39</v>
      </c>
      <c r="N449" s="104">
        <v>45942</v>
      </c>
      <c r="O449" s="98">
        <v>45.6</v>
      </c>
      <c r="P449" s="98">
        <f>INDEX($C$1:$I$1,MATCH(Tabel3[[#This Row],[Type]],Devoirs[[#Headers],[J0]:[J60]],0))</f>
        <v>4</v>
      </c>
      <c r="Q449" s="105" cm="1">
        <f t="array" aca="1" ref="Q4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45957.3398958334</v>
      </c>
      <c r="R449" s="105">
        <f ca="1">MAX(Tabel3[[#This Row],[jour]]+$R$3,IF(ROW()-ROW(Tabel3[[#Headers],[debut]])=1,DATE(2025,9,1)+$R$3,OFFSET(Tabel3[[#This Row],[fin]],-1,)))</f>
        <v>45964.459270833431</v>
      </c>
      <c r="S4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45964.490937500101</v>
      </c>
      <c r="T449" s="102">
        <f ca="1">--(Tabel3[[#This Row],[jour]]&lt;&gt;TRUNC(Tabel3[[#This Row],[fin]]))</f>
        <v>1</v>
      </c>
      <c r="U449" s="102">
        <f ca="1">IF(Tabel3[[#This Row],[Type]]="j0",0,--(TRUNC(Tabel3[[#This Row],[debut]])-TRUNC(Tabel3[[#This Row],[fin precedent]])&lt;Tabel3[[#This Row],[delai]]))</f>
        <v>0</v>
      </c>
    </row>
    <row r="450" spans="12:21" ht="18" customHeight="1" x14ac:dyDescent="0.2">
      <c r="L450" s="98" t="s">
        <v>50</v>
      </c>
      <c r="M450" s="98" t="s">
        <v>39</v>
      </c>
      <c r="N450" s="104">
        <v>45942</v>
      </c>
      <c r="O450" s="98">
        <v>71.399999999999991</v>
      </c>
      <c r="P450" s="98">
        <f>INDEX($C$1:$I$1,MATCH(Tabel3[[#This Row],[Type]],Devoirs[[#Headers],[J0]:[J60]],0))</f>
        <v>4</v>
      </c>
      <c r="Q450" s="105" cm="1">
        <f t="array" aca="1" ref="Q4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45957.401875000069</v>
      </c>
      <c r="R450" s="105">
        <f ca="1">MAX(Tabel3[[#This Row],[jour]]+$R$3,IF(ROW()-ROW(Tabel3[[#Headers],[debut]])=1,DATE(2025,9,1)+$R$3,OFFSET(Tabel3[[#This Row],[fin]],-1,)))</f>
        <v>45964.490937500101</v>
      </c>
      <c r="S4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45964.540520833434</v>
      </c>
      <c r="T450" s="102">
        <f ca="1">--(Tabel3[[#This Row],[jour]]&lt;&gt;TRUNC(Tabel3[[#This Row],[fin]]))</f>
        <v>1</v>
      </c>
      <c r="U450" s="102">
        <f ca="1">IF(Tabel3[[#This Row],[Type]]="j0",0,--(TRUNC(Tabel3[[#This Row],[debut]])-TRUNC(Tabel3[[#This Row],[fin precedent]])&lt;Tabel3[[#This Row],[delai]]))</f>
        <v>0</v>
      </c>
    </row>
    <row r="451" spans="12:21" ht="18" customHeight="1" x14ac:dyDescent="0.2">
      <c r="L451" s="98" t="s">
        <v>103</v>
      </c>
      <c r="M451" s="98" t="s">
        <v>38</v>
      </c>
      <c r="N451" s="104">
        <v>45943</v>
      </c>
      <c r="O451" s="98">
        <v>27</v>
      </c>
      <c r="P451" s="98">
        <f>INDEX($C$1:$I$1,MATCH(Tabel3[[#This Row],[Type]],Devoirs[[#Headers],[J0]:[J60]],0))</f>
        <v>4</v>
      </c>
      <c r="Q451" s="105" cm="1">
        <f t="array" aca="1" ref="Q4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45958.58861111119</v>
      </c>
      <c r="R451" s="105">
        <f ca="1">MAX(Tabel3[[#This Row],[jour]]+$R$3,IF(ROW()-ROW(Tabel3[[#Headers],[debut]])=1,DATE(2025,9,1)+$R$3,OFFSET(Tabel3[[#This Row],[fin]],-1,)))</f>
        <v>45964.540520833434</v>
      </c>
      <c r="S4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45964.559270833437</v>
      </c>
      <c r="T451" s="102">
        <f ca="1">--(Tabel3[[#This Row],[jour]]&lt;&gt;TRUNC(Tabel3[[#This Row],[fin]]))</f>
        <v>1</v>
      </c>
      <c r="U451" s="102">
        <f ca="1">IF(Tabel3[[#This Row],[Type]]="j0",0,--(TRUNC(Tabel3[[#This Row],[debut]])-TRUNC(Tabel3[[#This Row],[fin precedent]])&lt;Tabel3[[#This Row],[delai]]))</f>
        <v>0</v>
      </c>
    </row>
    <row r="452" spans="12:21" ht="18" customHeight="1" x14ac:dyDescent="0.2">
      <c r="L452" s="98" t="s">
        <v>126</v>
      </c>
      <c r="M452" s="98" t="s">
        <v>38</v>
      </c>
      <c r="N452" s="104">
        <v>45943</v>
      </c>
      <c r="O452" s="98">
        <v>49.5</v>
      </c>
      <c r="P452" s="98">
        <f>INDEX($C$1:$I$1,MATCH(Tabel3[[#This Row],[Type]],Devoirs[[#Headers],[J0]:[J60]],0))</f>
        <v>4</v>
      </c>
      <c r="Q452" s="105" cm="1">
        <f t="array" aca="1" ref="Q4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45958.629861111192</v>
      </c>
      <c r="R452" s="105">
        <f ca="1">MAX(Tabel3[[#This Row],[jour]]+$R$3,IF(ROW()-ROW(Tabel3[[#Headers],[debut]])=1,DATE(2025,9,1)+$R$3,OFFSET(Tabel3[[#This Row],[fin]],-1,)))</f>
        <v>45964.559270833437</v>
      </c>
      <c r="S4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45964.59364583344</v>
      </c>
      <c r="T452" s="102">
        <f ca="1">--(Tabel3[[#This Row],[jour]]&lt;&gt;TRUNC(Tabel3[[#This Row],[fin]]))</f>
        <v>1</v>
      </c>
      <c r="U452" s="102">
        <f ca="1">IF(Tabel3[[#This Row],[Type]]="j0",0,--(TRUNC(Tabel3[[#This Row],[debut]])-TRUNC(Tabel3[[#This Row],[fin precedent]])&lt;Tabel3[[#This Row],[delai]]))</f>
        <v>0</v>
      </c>
    </row>
    <row r="453" spans="12:21" ht="18" customHeight="1" x14ac:dyDescent="0.2">
      <c r="L453" s="98" t="s">
        <v>70</v>
      </c>
      <c r="M453" s="98" t="s">
        <v>38</v>
      </c>
      <c r="N453" s="104">
        <v>45943</v>
      </c>
      <c r="O453" s="98">
        <v>63</v>
      </c>
      <c r="P453" s="98">
        <f>INDEX($C$1:$I$1,MATCH(Tabel3[[#This Row],[Type]],Devoirs[[#Headers],[J0]:[J60]],0))</f>
        <v>4</v>
      </c>
      <c r="Q453" s="105" cm="1">
        <f t="array" aca="1" ref="Q4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45958.68236111119</v>
      </c>
      <c r="R453" s="105">
        <f ca="1">MAX(Tabel3[[#This Row],[jour]]+$R$3,IF(ROW()-ROW(Tabel3[[#Headers],[debut]])=1,DATE(2025,9,1)+$R$3,OFFSET(Tabel3[[#This Row],[fin]],-1,)))</f>
        <v>45964.59364583344</v>
      </c>
      <c r="S4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45964.637395833437</v>
      </c>
      <c r="T453" s="102">
        <f ca="1">--(Tabel3[[#This Row],[jour]]&lt;&gt;TRUNC(Tabel3[[#This Row],[fin]]))</f>
        <v>1</v>
      </c>
      <c r="U453" s="102">
        <f ca="1">IF(Tabel3[[#This Row],[Type]]="j0",0,--(TRUNC(Tabel3[[#This Row],[debut]])-TRUNC(Tabel3[[#This Row],[fin precedent]])&lt;Tabel3[[#This Row],[delai]]))</f>
        <v>0</v>
      </c>
    </row>
    <row r="454" spans="12:21" ht="18" customHeight="1" x14ac:dyDescent="0.2">
      <c r="L454" s="98" t="s">
        <v>71</v>
      </c>
      <c r="M454" s="98" t="s">
        <v>38</v>
      </c>
      <c r="N454" s="104">
        <v>45943</v>
      </c>
      <c r="O454" s="98">
        <v>75.75</v>
      </c>
      <c r="P454" s="98">
        <f>INDEX($C$1:$I$1,MATCH(Tabel3[[#This Row],[Type]],Devoirs[[#Headers],[J0]:[J60]],0))</f>
        <v>4</v>
      </c>
      <c r="Q454" s="105" cm="1">
        <f t="array" aca="1" ref="Q4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45958.745486111191</v>
      </c>
      <c r="R454" s="105">
        <f ca="1">MAX(Tabel3[[#This Row],[jour]]+$R$3,IF(ROW()-ROW(Tabel3[[#Headers],[debut]])=1,DATE(2025,9,1)+$R$3,OFFSET(Tabel3[[#This Row],[fin]],-1,)))</f>
        <v>45964.637395833437</v>
      </c>
      <c r="S4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45964.690000000104</v>
      </c>
      <c r="T454" s="102">
        <f ca="1">--(Tabel3[[#This Row],[jour]]&lt;&gt;TRUNC(Tabel3[[#This Row],[fin]]))</f>
        <v>1</v>
      </c>
      <c r="U454" s="102">
        <f ca="1">IF(Tabel3[[#This Row],[Type]]="j0",0,--(TRUNC(Tabel3[[#This Row],[debut]])-TRUNC(Tabel3[[#This Row],[fin precedent]])&lt;Tabel3[[#This Row],[delai]]))</f>
        <v>0</v>
      </c>
    </row>
    <row r="455" spans="12:21" ht="18" customHeight="1" x14ac:dyDescent="0.2">
      <c r="L455" s="98" t="s">
        <v>65</v>
      </c>
      <c r="M455" s="98" t="s">
        <v>38</v>
      </c>
      <c r="N455" s="104">
        <v>45943</v>
      </c>
      <c r="O455" s="98">
        <v>81.75</v>
      </c>
      <c r="P455" s="98">
        <f>INDEX($C$1:$I$1,MATCH(Tabel3[[#This Row],[Type]],Devoirs[[#Headers],[J0]:[J60]],0))</f>
        <v>4</v>
      </c>
      <c r="Q455" s="105" cm="1">
        <f t="array" aca="1" ref="Q4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45959.396944444525</v>
      </c>
      <c r="R455" s="105">
        <f ca="1">MAX(Tabel3[[#This Row],[jour]]+$R$3,IF(ROW()-ROW(Tabel3[[#Headers],[debut]])=1,DATE(2025,9,1)+$R$3,OFFSET(Tabel3[[#This Row],[fin]],-1,)))</f>
        <v>45964.690000000104</v>
      </c>
      <c r="S4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45964.746770833437</v>
      </c>
      <c r="T455" s="102">
        <f ca="1">--(Tabel3[[#This Row],[jour]]&lt;&gt;TRUNC(Tabel3[[#This Row],[fin]]))</f>
        <v>1</v>
      </c>
      <c r="U455" s="102">
        <f ca="1">IF(Tabel3[[#This Row],[Type]]="j0",0,--(TRUNC(Tabel3[[#This Row],[debut]])-TRUNC(Tabel3[[#This Row],[fin precedent]])&lt;Tabel3[[#This Row],[delai]]))</f>
        <v>0</v>
      </c>
    </row>
    <row r="456" spans="12:21" ht="18" customHeight="1" x14ac:dyDescent="0.2">
      <c r="L456" s="98" t="s">
        <v>53</v>
      </c>
      <c r="M456" s="98" t="s">
        <v>39</v>
      </c>
      <c r="N456" s="104">
        <v>45943</v>
      </c>
      <c r="O456" s="98">
        <v>37.199999999999996</v>
      </c>
      <c r="P456" s="98">
        <f>INDEX($C$1:$I$1,MATCH(Tabel3[[#This Row],[Type]],Devoirs[[#Headers],[J0]:[J60]],0))</f>
        <v>4</v>
      </c>
      <c r="Q456" s="105" cm="1">
        <f t="array" aca="1" ref="Q4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45958.418402777861</v>
      </c>
      <c r="R456" s="105">
        <f ca="1">MAX(Tabel3[[#This Row],[jour]]+$R$3,IF(ROW()-ROW(Tabel3[[#Headers],[debut]])=1,DATE(2025,9,1)+$R$3,OFFSET(Tabel3[[#This Row],[fin]],-1,)))</f>
        <v>45964.746770833437</v>
      </c>
      <c r="S4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45965.355937500106</v>
      </c>
      <c r="T456" s="102">
        <f ca="1">--(Tabel3[[#This Row],[jour]]&lt;&gt;TRUNC(Tabel3[[#This Row],[fin]]))</f>
        <v>1</v>
      </c>
      <c r="U456" s="102">
        <f ca="1">IF(Tabel3[[#This Row],[Type]]="j0",0,--(TRUNC(Tabel3[[#This Row],[debut]])-TRUNC(Tabel3[[#This Row],[fin precedent]])&lt;Tabel3[[#This Row],[delai]]))</f>
        <v>0</v>
      </c>
    </row>
    <row r="457" spans="12:21" ht="18" customHeight="1" x14ac:dyDescent="0.2">
      <c r="L457" s="98" t="s">
        <v>111</v>
      </c>
      <c r="M457" s="98" t="s">
        <v>39</v>
      </c>
      <c r="N457" s="104">
        <v>45943</v>
      </c>
      <c r="O457" s="98">
        <v>37.199999999999996</v>
      </c>
      <c r="P457" s="98">
        <f>INDEX($C$1:$I$1,MATCH(Tabel3[[#This Row],[Type]],Devoirs[[#Headers],[J0]:[J60]],0))</f>
        <v>4</v>
      </c>
      <c r="Q457" s="105" cm="1">
        <f t="array" aca="1" ref="Q4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45958.450694444531</v>
      </c>
      <c r="R457" s="105">
        <f ca="1">MAX(Tabel3[[#This Row],[jour]]+$R$3,IF(ROW()-ROW(Tabel3[[#Headers],[debut]])=1,DATE(2025,9,1)+$R$3,OFFSET(Tabel3[[#This Row],[fin]],-1,)))</f>
        <v>45965.355937500106</v>
      </c>
      <c r="S4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45965.381770833439</v>
      </c>
      <c r="T457" s="102">
        <f ca="1">--(Tabel3[[#This Row],[jour]]&lt;&gt;TRUNC(Tabel3[[#This Row],[fin]]))</f>
        <v>1</v>
      </c>
      <c r="U457" s="102">
        <f ca="1">IF(Tabel3[[#This Row],[Type]]="j0",0,--(TRUNC(Tabel3[[#This Row],[debut]])-TRUNC(Tabel3[[#This Row],[fin precedent]])&lt;Tabel3[[#This Row],[delai]]))</f>
        <v>0</v>
      </c>
    </row>
    <row r="458" spans="12:21" ht="18" customHeight="1" x14ac:dyDescent="0.2">
      <c r="L458" s="98" t="s">
        <v>81</v>
      </c>
      <c r="M458" s="98" t="s">
        <v>39</v>
      </c>
      <c r="N458" s="104">
        <v>45943</v>
      </c>
      <c r="O458" s="98">
        <v>63.599999999999994</v>
      </c>
      <c r="P458" s="98">
        <f>INDEX($C$1:$I$1,MATCH(Tabel3[[#This Row],[Type]],Devoirs[[#Headers],[J0]:[J60]],0))</f>
        <v>4</v>
      </c>
      <c r="Q458" s="105" cm="1">
        <f t="array" aca="1" ref="Q4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45958.505902777863</v>
      </c>
      <c r="R458" s="105">
        <f ca="1">MAX(Tabel3[[#This Row],[jour]]+$R$3,IF(ROW()-ROW(Tabel3[[#Headers],[debut]])=1,DATE(2025,9,1)+$R$3,OFFSET(Tabel3[[#This Row],[fin]],-1,)))</f>
        <v>45965.381770833439</v>
      </c>
      <c r="S4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45965.425937500106</v>
      </c>
      <c r="T458" s="102">
        <f ca="1">--(Tabel3[[#This Row],[jour]]&lt;&gt;TRUNC(Tabel3[[#This Row],[fin]]))</f>
        <v>1</v>
      </c>
      <c r="U458" s="102">
        <f ca="1">IF(Tabel3[[#This Row],[Type]]="j0",0,--(TRUNC(Tabel3[[#This Row],[debut]])-TRUNC(Tabel3[[#This Row],[fin precedent]])&lt;Tabel3[[#This Row],[delai]]))</f>
        <v>0</v>
      </c>
    </row>
    <row r="459" spans="12:21" ht="18" customHeight="1" x14ac:dyDescent="0.2">
      <c r="L459" s="98" t="s">
        <v>60</v>
      </c>
      <c r="M459" s="98" t="s">
        <v>38</v>
      </c>
      <c r="N459" s="104">
        <v>45944</v>
      </c>
      <c r="O459" s="98">
        <v>30</v>
      </c>
      <c r="P459" s="98">
        <f>INDEX($C$1:$I$1,MATCH(Tabel3[[#This Row],[Type]],Devoirs[[#Headers],[J0]:[J60]],0))</f>
        <v>4</v>
      </c>
      <c r="Q459" s="105" cm="1">
        <f t="array" aca="1" ref="Q4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45960.382604166742</v>
      </c>
      <c r="R459" s="105">
        <f ca="1">MAX(Tabel3[[#This Row],[jour]]+$R$3,IF(ROW()-ROW(Tabel3[[#Headers],[debut]])=1,DATE(2025,9,1)+$R$3,OFFSET(Tabel3[[#This Row],[fin]],-1,)))</f>
        <v>45965.425937500106</v>
      </c>
      <c r="S4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45965.446770833441</v>
      </c>
      <c r="T459" s="102">
        <f ca="1">--(Tabel3[[#This Row],[jour]]&lt;&gt;TRUNC(Tabel3[[#This Row],[fin]]))</f>
        <v>1</v>
      </c>
      <c r="U459" s="102">
        <f ca="1">IF(Tabel3[[#This Row],[Type]]="j0",0,--(TRUNC(Tabel3[[#This Row],[debut]])-TRUNC(Tabel3[[#This Row],[fin precedent]])&lt;Tabel3[[#This Row],[delai]]))</f>
        <v>0</v>
      </c>
    </row>
    <row r="460" spans="12:21" ht="18" customHeight="1" x14ac:dyDescent="0.2">
      <c r="L460" s="98" t="s">
        <v>79</v>
      </c>
      <c r="M460" s="98" t="s">
        <v>38</v>
      </c>
      <c r="N460" s="104">
        <v>45944</v>
      </c>
      <c r="O460" s="98">
        <v>60.75</v>
      </c>
      <c r="P460" s="98">
        <f>INDEX($C$1:$I$1,MATCH(Tabel3[[#This Row],[Type]],Devoirs[[#Headers],[J0]:[J60]],0))</f>
        <v>4</v>
      </c>
      <c r="Q460" s="105" cm="1">
        <f t="array" aca="1" ref="Q4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45960.433229166745</v>
      </c>
      <c r="R460" s="105">
        <f ca="1">MAX(Tabel3[[#This Row],[jour]]+$R$3,IF(ROW()-ROW(Tabel3[[#Headers],[debut]])=1,DATE(2025,9,1)+$R$3,OFFSET(Tabel3[[#This Row],[fin]],-1,)))</f>
        <v>45965.446770833441</v>
      </c>
      <c r="S4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45965.488958333444</v>
      </c>
      <c r="T460" s="102">
        <f ca="1">--(Tabel3[[#This Row],[jour]]&lt;&gt;TRUNC(Tabel3[[#This Row],[fin]]))</f>
        <v>1</v>
      </c>
      <c r="U460" s="102">
        <f ca="1">IF(Tabel3[[#This Row],[Type]]="j0",0,--(TRUNC(Tabel3[[#This Row],[debut]])-TRUNC(Tabel3[[#This Row],[fin precedent]])&lt;Tabel3[[#This Row],[delai]]))</f>
        <v>0</v>
      </c>
    </row>
    <row r="461" spans="12:21" ht="18" customHeight="1" x14ac:dyDescent="0.2">
      <c r="L461" s="98" t="s">
        <v>122</v>
      </c>
      <c r="M461" s="98" t="s">
        <v>40</v>
      </c>
      <c r="N461" s="104">
        <v>45944</v>
      </c>
      <c r="O461" s="98">
        <v>35.550000000000004</v>
      </c>
      <c r="P461" s="98">
        <f>INDEX($C$1:$I$1,MATCH(Tabel3[[#This Row],[Type]],Devoirs[[#Headers],[J0]:[J60]],0))</f>
        <v>5</v>
      </c>
      <c r="Q461" s="105" cm="1">
        <f t="array" aca="1" ref="Q4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45959.607048611186</v>
      </c>
      <c r="R461" s="105">
        <f ca="1">MAX(Tabel3[[#This Row],[jour]]+$R$3,IF(ROW()-ROW(Tabel3[[#Headers],[debut]])=1,DATE(2025,9,1)+$R$3,OFFSET(Tabel3[[#This Row],[fin]],-1,)))</f>
        <v>45965.488958333444</v>
      </c>
      <c r="S4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45965.513645833445</v>
      </c>
      <c r="T461" s="102">
        <f ca="1">--(Tabel3[[#This Row],[jour]]&lt;&gt;TRUNC(Tabel3[[#This Row],[fin]]))</f>
        <v>1</v>
      </c>
      <c r="U461" s="102">
        <f ca="1">IF(Tabel3[[#This Row],[Type]]="j0",0,--(TRUNC(Tabel3[[#This Row],[debut]])-TRUNC(Tabel3[[#This Row],[fin precedent]])&lt;Tabel3[[#This Row],[delai]]))</f>
        <v>0</v>
      </c>
    </row>
    <row r="462" spans="12:21" ht="18" customHeight="1" x14ac:dyDescent="0.2">
      <c r="L462" s="98" t="s">
        <v>77</v>
      </c>
      <c r="M462" s="98" t="s">
        <v>40</v>
      </c>
      <c r="N462" s="104">
        <v>45944</v>
      </c>
      <c r="O462" s="98">
        <v>48.6</v>
      </c>
      <c r="P462" s="98">
        <f>INDEX($C$1:$I$1,MATCH(Tabel3[[#This Row],[Type]],Devoirs[[#Headers],[J0]:[J60]],0))</f>
        <v>5</v>
      </c>
      <c r="Q462" s="105" cm="1">
        <f t="array" aca="1" ref="Q4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45959.652048611184</v>
      </c>
      <c r="R462" s="105">
        <f ca="1">MAX(Tabel3[[#This Row],[jour]]+$R$3,IF(ROW()-ROW(Tabel3[[#Headers],[debut]])=1,DATE(2025,9,1)+$R$3,OFFSET(Tabel3[[#This Row],[fin]],-1,)))</f>
        <v>45965.513645833445</v>
      </c>
      <c r="S4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45965.547395833448</v>
      </c>
      <c r="T462" s="102">
        <f ca="1">--(Tabel3[[#This Row],[jour]]&lt;&gt;TRUNC(Tabel3[[#This Row],[fin]]))</f>
        <v>1</v>
      </c>
      <c r="U462" s="102">
        <f ca="1">IF(Tabel3[[#This Row],[Type]]="j0",0,--(TRUNC(Tabel3[[#This Row],[debut]])-TRUNC(Tabel3[[#This Row],[fin precedent]])&lt;Tabel3[[#This Row],[delai]]))</f>
        <v>0</v>
      </c>
    </row>
    <row r="463" spans="12:21" ht="18" customHeight="1" x14ac:dyDescent="0.2">
      <c r="L463" s="98" t="s">
        <v>54</v>
      </c>
      <c r="M463" s="98" t="s">
        <v>38</v>
      </c>
      <c r="N463" s="104">
        <v>45945</v>
      </c>
      <c r="O463" s="98">
        <v>49.5</v>
      </c>
      <c r="P463" s="98">
        <f>INDEX($C$1:$I$1,MATCH(Tabel3[[#This Row],[Type]],Devoirs[[#Headers],[J0]:[J60]],0))</f>
        <v>4</v>
      </c>
      <c r="Q463" s="105" cm="1">
        <f t="array" aca="1" ref="Q4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45961.42968750008</v>
      </c>
      <c r="R463" s="105">
        <f ca="1">MAX(Tabel3[[#This Row],[jour]]+$R$3,IF(ROW()-ROW(Tabel3[[#Headers],[debut]])=1,DATE(2025,9,1)+$R$3,OFFSET(Tabel3[[#This Row],[fin]],-1,)))</f>
        <v>45965.547395833448</v>
      </c>
      <c r="S4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45965.581770833451</v>
      </c>
      <c r="T463" s="102">
        <f ca="1">--(Tabel3[[#This Row],[jour]]&lt;&gt;TRUNC(Tabel3[[#This Row],[fin]]))</f>
        <v>1</v>
      </c>
      <c r="U463" s="102">
        <f ca="1">IF(Tabel3[[#This Row],[Type]]="j0",0,--(TRUNC(Tabel3[[#This Row],[debut]])-TRUNC(Tabel3[[#This Row],[fin precedent]])&lt;Tabel3[[#This Row],[delai]]))</f>
        <v>0</v>
      </c>
    </row>
    <row r="464" spans="12:21" ht="18" customHeight="1" x14ac:dyDescent="0.2">
      <c r="L464" s="98" t="s">
        <v>97</v>
      </c>
      <c r="M464" s="98" t="s">
        <v>38</v>
      </c>
      <c r="N464" s="104">
        <v>45945</v>
      </c>
      <c r="O464" s="98">
        <v>82.5</v>
      </c>
      <c r="P464" s="98">
        <f>INDEX($C$1:$I$1,MATCH(Tabel3[[#This Row],[Type]],Devoirs[[#Headers],[J0]:[J60]],0))</f>
        <v>4</v>
      </c>
      <c r="Q464" s="105" cm="1">
        <f t="array" aca="1" ref="Q4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45961.498437500079</v>
      </c>
      <c r="R464" s="105">
        <f ca="1">MAX(Tabel3[[#This Row],[jour]]+$R$3,IF(ROW()-ROW(Tabel3[[#Headers],[debut]])=1,DATE(2025,9,1)+$R$3,OFFSET(Tabel3[[#This Row],[fin]],-1,)))</f>
        <v>45965.581770833451</v>
      </c>
      <c r="S4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45965.639062500115</v>
      </c>
      <c r="T464" s="102">
        <f ca="1">--(Tabel3[[#This Row],[jour]]&lt;&gt;TRUNC(Tabel3[[#This Row],[fin]]))</f>
        <v>1</v>
      </c>
      <c r="U464" s="102">
        <f ca="1">IF(Tabel3[[#This Row],[Type]]="j0",0,--(TRUNC(Tabel3[[#This Row],[debut]])-TRUNC(Tabel3[[#This Row],[fin precedent]])&lt;Tabel3[[#This Row],[delai]]))</f>
        <v>0</v>
      </c>
    </row>
    <row r="465" spans="12:21" ht="18" customHeight="1" x14ac:dyDescent="0.2">
      <c r="L465" s="98" t="s">
        <v>44</v>
      </c>
      <c r="M465" s="98" t="s">
        <v>41</v>
      </c>
      <c r="N465" s="104">
        <v>45945</v>
      </c>
      <c r="O465" s="98">
        <v>28.799999999999997</v>
      </c>
      <c r="P465" s="98">
        <f>INDEX($C$1:$I$1,MATCH(Tabel3[[#This Row],[Type]],Devoirs[[#Headers],[J0]:[J60]],0))</f>
        <v>15</v>
      </c>
      <c r="Q465" s="105" cm="1">
        <f t="array" aca="1" ref="Q4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45943.699201388918</v>
      </c>
      <c r="R465" s="105">
        <f ca="1">MAX(Tabel3[[#This Row],[jour]]+$R$3,IF(ROW()-ROW(Tabel3[[#Headers],[debut]])=1,DATE(2025,9,1)+$R$3,OFFSET(Tabel3[[#This Row],[fin]],-1,)))</f>
        <v>45965.639062500115</v>
      </c>
      <c r="S4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45965.659062500112</v>
      </c>
      <c r="T465" s="102">
        <f ca="1">--(Tabel3[[#This Row],[jour]]&lt;&gt;TRUNC(Tabel3[[#This Row],[fin]]))</f>
        <v>1</v>
      </c>
      <c r="U465" s="102">
        <f ca="1">IF(Tabel3[[#This Row],[Type]]="j0",0,--(TRUNC(Tabel3[[#This Row],[debut]])-TRUNC(Tabel3[[#This Row],[fin precedent]])&lt;Tabel3[[#This Row],[delai]]))</f>
        <v>0</v>
      </c>
    </row>
    <row r="466" spans="12:21" ht="18" customHeight="1" x14ac:dyDescent="0.2">
      <c r="L466" s="98" t="s">
        <v>108</v>
      </c>
      <c r="M466" s="98" t="s">
        <v>41</v>
      </c>
      <c r="N466" s="104">
        <v>45945</v>
      </c>
      <c r="O466" s="98">
        <v>33.9</v>
      </c>
      <c r="P466" s="98">
        <f>INDEX($C$1:$I$1,MATCH(Tabel3[[#This Row],[Type]],Devoirs[[#Headers],[J0]:[J60]],0))</f>
        <v>15</v>
      </c>
      <c r="Q466" s="105" cm="1">
        <f t="array" aca="1" ref="Q4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45943.734513888914</v>
      </c>
      <c r="R466" s="105">
        <f ca="1">MAX(Tabel3[[#This Row],[jour]]+$R$3,IF(ROW()-ROW(Tabel3[[#Headers],[debut]])=1,DATE(2025,9,1)+$R$3,OFFSET(Tabel3[[#This Row],[fin]],-1,)))</f>
        <v>45965.659062500112</v>
      </c>
      <c r="S4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45965.682604166781</v>
      </c>
      <c r="T466" s="102">
        <f ca="1">--(Tabel3[[#This Row],[jour]]&lt;&gt;TRUNC(Tabel3[[#This Row],[fin]]))</f>
        <v>1</v>
      </c>
      <c r="U466" s="102">
        <f ca="1">IF(Tabel3[[#This Row],[Type]]="j0",0,--(TRUNC(Tabel3[[#This Row],[debut]])-TRUNC(Tabel3[[#This Row],[fin precedent]])&lt;Tabel3[[#This Row],[delai]]))</f>
        <v>0</v>
      </c>
    </row>
    <row r="467" spans="12:21" ht="18" customHeight="1" x14ac:dyDescent="0.2">
      <c r="L467" s="98" t="s">
        <v>47</v>
      </c>
      <c r="M467" s="98" t="s">
        <v>40</v>
      </c>
      <c r="N467" s="104">
        <v>45945</v>
      </c>
      <c r="O467" s="98">
        <v>26.55</v>
      </c>
      <c r="P467" s="98">
        <f>INDEX($C$1:$I$1,MATCH(Tabel3[[#This Row],[Type]],Devoirs[[#Headers],[J0]:[J60]],0))</f>
        <v>5</v>
      </c>
      <c r="Q467" s="105" cm="1">
        <f t="array" aca="1" ref="Q4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45960.552812500078</v>
      </c>
      <c r="R467" s="105">
        <f ca="1">MAX(Tabel3[[#This Row],[jour]]+$R$3,IF(ROW()-ROW(Tabel3[[#Headers],[debut]])=1,DATE(2025,9,1)+$R$3,OFFSET(Tabel3[[#This Row],[fin]],-1,)))</f>
        <v>45965.682604166781</v>
      </c>
      <c r="S4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45965.701041666784</v>
      </c>
      <c r="T467" s="102">
        <f ca="1">--(Tabel3[[#This Row],[jour]]&lt;&gt;TRUNC(Tabel3[[#This Row],[fin]]))</f>
        <v>1</v>
      </c>
      <c r="U467" s="102">
        <f ca="1">IF(Tabel3[[#This Row],[Type]]="j0",0,--(TRUNC(Tabel3[[#This Row],[debut]])-TRUNC(Tabel3[[#This Row],[fin precedent]])&lt;Tabel3[[#This Row],[delai]]))</f>
        <v>0</v>
      </c>
    </row>
    <row r="468" spans="12:21" ht="18" customHeight="1" x14ac:dyDescent="0.2">
      <c r="L468" s="98" t="s">
        <v>76</v>
      </c>
      <c r="M468" s="98" t="s">
        <v>40</v>
      </c>
      <c r="N468" s="104">
        <v>45945</v>
      </c>
      <c r="O468" s="98">
        <v>51.300000000000004</v>
      </c>
      <c r="P468" s="98">
        <f>INDEX($C$1:$I$1,MATCH(Tabel3[[#This Row],[Type]],Devoirs[[#Headers],[J0]:[J60]],0))</f>
        <v>5</v>
      </c>
      <c r="Q468" s="105" cm="1">
        <f t="array" aca="1" ref="Q4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45960.600312500079</v>
      </c>
      <c r="R468" s="105">
        <f ca="1">MAX(Tabel3[[#This Row],[jour]]+$R$3,IF(ROW()-ROW(Tabel3[[#Headers],[debut]])=1,DATE(2025,9,1)+$R$3,OFFSET(Tabel3[[#This Row],[fin]],-1,)))</f>
        <v>45965.701041666784</v>
      </c>
      <c r="S4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45965.73666666678</v>
      </c>
      <c r="T468" s="102">
        <f ca="1">--(Tabel3[[#This Row],[jour]]&lt;&gt;TRUNC(Tabel3[[#This Row],[fin]]))</f>
        <v>1</v>
      </c>
      <c r="U468" s="102">
        <f ca="1">IF(Tabel3[[#This Row],[Type]]="j0",0,--(TRUNC(Tabel3[[#This Row],[debut]])-TRUNC(Tabel3[[#This Row],[fin precedent]])&lt;Tabel3[[#This Row],[delai]]))</f>
        <v>0</v>
      </c>
    </row>
    <row r="469" spans="12:21" ht="18" customHeight="1" x14ac:dyDescent="0.2">
      <c r="L469" s="98" t="s">
        <v>49</v>
      </c>
      <c r="M469" s="98" t="s">
        <v>40</v>
      </c>
      <c r="N469" s="104">
        <v>45945</v>
      </c>
      <c r="O469" s="98">
        <v>53.1</v>
      </c>
      <c r="P469" s="98">
        <f>INDEX($C$1:$I$1,MATCH(Tabel3[[#This Row],[Type]],Devoirs[[#Headers],[J0]:[J60]],0))</f>
        <v>5</v>
      </c>
      <c r="Q469" s="105" cm="1">
        <f t="array" aca="1" ref="Q46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45960.649479166743</v>
      </c>
      <c r="R469" s="105">
        <f ca="1">MAX(Tabel3[[#This Row],[jour]]+$R$3,IF(ROW()-ROW(Tabel3[[#Headers],[debut]])=1,DATE(2025,9,1)+$R$3,OFFSET(Tabel3[[#This Row],[fin]],-1,)))</f>
        <v>45965.73666666678</v>
      </c>
      <c r="S4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45966.356875000114</v>
      </c>
      <c r="T469" s="102">
        <f ca="1">--(Tabel3[[#This Row],[jour]]&lt;&gt;TRUNC(Tabel3[[#This Row],[fin]]))</f>
        <v>1</v>
      </c>
      <c r="U469" s="102">
        <f ca="1">IF(Tabel3[[#This Row],[Type]]="j0",0,--(TRUNC(Tabel3[[#This Row],[debut]])-TRUNC(Tabel3[[#This Row],[fin precedent]])&lt;Tabel3[[#This Row],[delai]]))</f>
        <v>0</v>
      </c>
    </row>
    <row r="470" spans="12:21" ht="18" customHeight="1" x14ac:dyDescent="0.2">
      <c r="L470" s="98" t="s">
        <v>132</v>
      </c>
      <c r="M470" s="98" t="s">
        <v>38</v>
      </c>
      <c r="N470" s="104">
        <v>45946</v>
      </c>
      <c r="O470" s="98">
        <v>60.75</v>
      </c>
      <c r="P470" s="98">
        <f>INDEX($C$1:$I$1,MATCH(Tabel3[[#This Row],[Type]],Devoirs[[#Headers],[J0]:[J60]],0))</f>
        <v>4</v>
      </c>
      <c r="Q470" s="105" cm="1">
        <f t="array" aca="1" ref="Q47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45964.391770833434</v>
      </c>
      <c r="R470" s="105">
        <f ca="1">MAX(Tabel3[[#This Row],[jour]]+$R$3,IF(ROW()-ROW(Tabel3[[#Headers],[debut]])=1,DATE(2025,9,1)+$R$3,OFFSET(Tabel3[[#This Row],[fin]],-1,)))</f>
        <v>45966.356875000114</v>
      </c>
      <c r="S4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45966.399062500117</v>
      </c>
      <c r="T470" s="102">
        <f ca="1">--(Tabel3[[#This Row],[jour]]&lt;&gt;TRUNC(Tabel3[[#This Row],[fin]]))</f>
        <v>1</v>
      </c>
      <c r="U470" s="102">
        <f ca="1">IF(Tabel3[[#This Row],[Type]]="j0",0,--(TRUNC(Tabel3[[#This Row],[debut]])-TRUNC(Tabel3[[#This Row],[fin precedent]])&lt;Tabel3[[#This Row],[delai]]))</f>
        <v>1</v>
      </c>
    </row>
    <row r="471" spans="12:21" ht="18" customHeight="1" x14ac:dyDescent="0.2">
      <c r="L471" s="98" t="s">
        <v>139</v>
      </c>
      <c r="M471" s="98" t="s">
        <v>38</v>
      </c>
      <c r="N471" s="104">
        <v>45946</v>
      </c>
      <c r="O471" s="98">
        <v>81</v>
      </c>
      <c r="P471" s="98">
        <f>INDEX($C$1:$I$1,MATCH(Tabel3[[#This Row],[Type]],Devoirs[[#Headers],[J0]:[J60]],0))</f>
        <v>4</v>
      </c>
      <c r="Q471" s="105" cm="1">
        <f t="array" aca="1" ref="Q47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45964.459270833431</v>
      </c>
      <c r="R471" s="105">
        <f ca="1">MAX(Tabel3[[#This Row],[jour]]+$R$3,IF(ROW()-ROW(Tabel3[[#Headers],[debut]])=1,DATE(2025,9,1)+$R$3,OFFSET(Tabel3[[#This Row],[fin]],-1,)))</f>
        <v>45966.399062500117</v>
      </c>
      <c r="S4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45966.455312500118</v>
      </c>
      <c r="T471" s="102">
        <f ca="1">--(Tabel3[[#This Row],[jour]]&lt;&gt;TRUNC(Tabel3[[#This Row],[fin]]))</f>
        <v>1</v>
      </c>
      <c r="U471" s="102">
        <f ca="1">IF(Tabel3[[#This Row],[Type]]="j0",0,--(TRUNC(Tabel3[[#This Row],[debut]])-TRUNC(Tabel3[[#This Row],[fin precedent]])&lt;Tabel3[[#This Row],[delai]]))</f>
        <v>1</v>
      </c>
    </row>
    <row r="472" spans="12:21" ht="18" customHeight="1" x14ac:dyDescent="0.2">
      <c r="L472" s="98" t="s">
        <v>137</v>
      </c>
      <c r="M472" s="98" t="s">
        <v>41</v>
      </c>
      <c r="N472" s="104">
        <v>45946</v>
      </c>
      <c r="O472" s="98">
        <v>10.799999999999999</v>
      </c>
      <c r="P472" s="98">
        <f>INDEX($C$1:$I$1,MATCH(Tabel3[[#This Row],[Type]],Devoirs[[#Headers],[J0]:[J60]],0))</f>
        <v>15</v>
      </c>
      <c r="Q472" s="105" cm="1">
        <f t="array" aca="1" ref="Q47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45945.396388888927</v>
      </c>
      <c r="R472" s="105">
        <f ca="1">MAX(Tabel3[[#This Row],[jour]]+$R$3,IF(ROW()-ROW(Tabel3[[#Headers],[debut]])=1,DATE(2025,9,1)+$R$3,OFFSET(Tabel3[[#This Row],[fin]],-1,)))</f>
        <v>45966.455312500118</v>
      </c>
      <c r="S4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45966.462812500118</v>
      </c>
      <c r="T472" s="102">
        <f ca="1">--(Tabel3[[#This Row],[jour]]&lt;&gt;TRUNC(Tabel3[[#This Row],[fin]]))</f>
        <v>1</v>
      </c>
      <c r="U472" s="102">
        <f ca="1">IF(Tabel3[[#This Row],[Type]]="j0",0,--(TRUNC(Tabel3[[#This Row],[debut]])-TRUNC(Tabel3[[#This Row],[fin precedent]])&lt;Tabel3[[#This Row],[delai]]))</f>
        <v>0</v>
      </c>
    </row>
    <row r="473" spans="12:21" ht="18" customHeight="1" x14ac:dyDescent="0.2">
      <c r="L473" s="98" t="s">
        <v>105</v>
      </c>
      <c r="M473" s="98" t="s">
        <v>41</v>
      </c>
      <c r="N473" s="104">
        <v>45946</v>
      </c>
      <c r="O473" s="98">
        <v>13.5</v>
      </c>
      <c r="P473" s="98">
        <f>INDEX($C$1:$I$1,MATCH(Tabel3[[#This Row],[Type]],Devoirs[[#Headers],[J0]:[J60]],0))</f>
        <v>15</v>
      </c>
      <c r="Q473" s="105" cm="1">
        <f t="array" aca="1" ref="Q4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45945.410451388925</v>
      </c>
      <c r="R473" s="105">
        <f ca="1">MAX(Tabel3[[#This Row],[jour]]+$R$3,IF(ROW()-ROW(Tabel3[[#Headers],[debut]])=1,DATE(2025,9,1)+$R$3,OFFSET(Tabel3[[#This Row],[fin]],-1,)))</f>
        <v>45966.462812500118</v>
      </c>
      <c r="S4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45966.47218750012</v>
      </c>
      <c r="T473" s="102">
        <f ca="1">--(Tabel3[[#This Row],[jour]]&lt;&gt;TRUNC(Tabel3[[#This Row],[fin]]))</f>
        <v>1</v>
      </c>
      <c r="U473" s="102">
        <f ca="1">IF(Tabel3[[#This Row],[Type]]="j0",0,--(TRUNC(Tabel3[[#This Row],[debut]])-TRUNC(Tabel3[[#This Row],[fin precedent]])&lt;Tabel3[[#This Row],[delai]]))</f>
        <v>0</v>
      </c>
    </row>
    <row r="474" spans="12:21" ht="18" customHeight="1" x14ac:dyDescent="0.2">
      <c r="L474" s="98" t="s">
        <v>69</v>
      </c>
      <c r="M474" s="98" t="s">
        <v>41</v>
      </c>
      <c r="N474" s="104">
        <v>45946</v>
      </c>
      <c r="O474" s="98">
        <v>14.399999999999999</v>
      </c>
      <c r="P474" s="98">
        <f>INDEX($C$1:$I$1,MATCH(Tabel3[[#This Row],[Type]],Devoirs[[#Headers],[J0]:[J60]],0))</f>
        <v>15</v>
      </c>
      <c r="Q474" s="105" cm="1">
        <f t="array" aca="1" ref="Q4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45945.425451388925</v>
      </c>
      <c r="R474" s="105">
        <f ca="1">MAX(Tabel3[[#This Row],[jour]]+$R$3,IF(ROW()-ROW(Tabel3[[#Headers],[debut]])=1,DATE(2025,9,1)+$R$3,OFFSET(Tabel3[[#This Row],[fin]],-1,)))</f>
        <v>45966.47218750012</v>
      </c>
      <c r="S4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45966.482187500122</v>
      </c>
      <c r="T474" s="102">
        <f ca="1">--(Tabel3[[#This Row],[jour]]&lt;&gt;TRUNC(Tabel3[[#This Row],[fin]]))</f>
        <v>1</v>
      </c>
      <c r="U474" s="102">
        <f ca="1">IF(Tabel3[[#This Row],[Type]]="j0",0,--(TRUNC(Tabel3[[#This Row],[debut]])-TRUNC(Tabel3[[#This Row],[fin precedent]])&lt;Tabel3[[#This Row],[delai]]))</f>
        <v>0</v>
      </c>
    </row>
    <row r="475" spans="12:21" ht="18" customHeight="1" x14ac:dyDescent="0.2">
      <c r="L475" s="98" t="s">
        <v>80</v>
      </c>
      <c r="M475" s="98" t="s">
        <v>41</v>
      </c>
      <c r="N475" s="104">
        <v>45946</v>
      </c>
      <c r="O475" s="98">
        <v>14.7</v>
      </c>
      <c r="P475" s="98">
        <f>INDEX($C$1:$I$1,MATCH(Tabel3[[#This Row],[Type]],Devoirs[[#Headers],[J0]:[J60]],0))</f>
        <v>15</v>
      </c>
      <c r="Q475" s="105" cm="1">
        <f t="array" aca="1" ref="Q4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45945.440763888924</v>
      </c>
      <c r="R475" s="105">
        <f ca="1">MAX(Tabel3[[#This Row],[jour]]+$R$3,IF(ROW()-ROW(Tabel3[[#Headers],[debut]])=1,DATE(2025,9,1)+$R$3,OFFSET(Tabel3[[#This Row],[fin]],-1,)))</f>
        <v>45966.482187500122</v>
      </c>
      <c r="S4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45966.492395833455</v>
      </c>
      <c r="T475" s="102">
        <f ca="1">--(Tabel3[[#This Row],[jour]]&lt;&gt;TRUNC(Tabel3[[#This Row],[fin]]))</f>
        <v>1</v>
      </c>
      <c r="U475" s="102">
        <f ca="1">IF(Tabel3[[#This Row],[Type]]="j0",0,--(TRUNC(Tabel3[[#This Row],[debut]])-TRUNC(Tabel3[[#This Row],[fin precedent]])&lt;Tabel3[[#This Row],[delai]]))</f>
        <v>0</v>
      </c>
    </row>
    <row r="476" spans="12:21" ht="18" customHeight="1" x14ac:dyDescent="0.2">
      <c r="L476" s="98" t="s">
        <v>117</v>
      </c>
      <c r="M476" s="98" t="s">
        <v>41</v>
      </c>
      <c r="N476" s="104">
        <v>45946</v>
      </c>
      <c r="O476" s="98">
        <v>18</v>
      </c>
      <c r="P476" s="98">
        <f>INDEX($C$1:$I$1,MATCH(Tabel3[[#This Row],[Type]],Devoirs[[#Headers],[J0]:[J60]],0))</f>
        <v>15</v>
      </c>
      <c r="Q476" s="105" cm="1">
        <f t="array" aca="1" ref="Q4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45945.459513888927</v>
      </c>
      <c r="R476" s="105">
        <f ca="1">MAX(Tabel3[[#This Row],[jour]]+$R$3,IF(ROW()-ROW(Tabel3[[#Headers],[debut]])=1,DATE(2025,9,1)+$R$3,OFFSET(Tabel3[[#This Row],[fin]],-1,)))</f>
        <v>45966.492395833455</v>
      </c>
      <c r="S4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45966.504895833452</v>
      </c>
      <c r="T476" s="102">
        <f ca="1">--(Tabel3[[#This Row],[jour]]&lt;&gt;TRUNC(Tabel3[[#This Row],[fin]]))</f>
        <v>1</v>
      </c>
      <c r="U476" s="102">
        <f ca="1">IF(Tabel3[[#This Row],[Type]]="j0",0,--(TRUNC(Tabel3[[#This Row],[debut]])-TRUNC(Tabel3[[#This Row],[fin precedent]])&lt;Tabel3[[#This Row],[delai]]))</f>
        <v>0</v>
      </c>
    </row>
    <row r="477" spans="12:21" ht="18" customHeight="1" x14ac:dyDescent="0.2">
      <c r="L477" s="98" t="s">
        <v>124</v>
      </c>
      <c r="M477" s="98" t="s">
        <v>40</v>
      </c>
      <c r="N477" s="104">
        <v>45946</v>
      </c>
      <c r="O477" s="98">
        <v>22.5</v>
      </c>
      <c r="P477" s="98">
        <f>INDEX($C$1:$I$1,MATCH(Tabel3[[#This Row],[Type]],Devoirs[[#Headers],[J0]:[J60]],0))</f>
        <v>5</v>
      </c>
      <c r="Q477" s="105" cm="1">
        <f t="array" aca="1" ref="Q47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45961.519270833414</v>
      </c>
      <c r="R477" s="105">
        <f ca="1">MAX(Tabel3[[#This Row],[jour]]+$R$3,IF(ROW()-ROW(Tabel3[[#Headers],[debut]])=1,DATE(2025,9,1)+$R$3,OFFSET(Tabel3[[#This Row],[fin]],-1,)))</f>
        <v>45966.504895833452</v>
      </c>
      <c r="S4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45966.520520833452</v>
      </c>
      <c r="T477" s="102">
        <f ca="1">--(Tabel3[[#This Row],[jour]]&lt;&gt;TRUNC(Tabel3[[#This Row],[fin]]))</f>
        <v>1</v>
      </c>
      <c r="U477" s="102">
        <f ca="1">IF(Tabel3[[#This Row],[Type]]="j0",0,--(TRUNC(Tabel3[[#This Row],[debut]])-TRUNC(Tabel3[[#This Row],[fin precedent]])&lt;Tabel3[[#This Row],[delai]]))</f>
        <v>0</v>
      </c>
    </row>
    <row r="478" spans="12:21" ht="18" customHeight="1" x14ac:dyDescent="0.2">
      <c r="L478" s="98" t="s">
        <v>56</v>
      </c>
      <c r="M478" s="98" t="s">
        <v>40</v>
      </c>
      <c r="N478" s="104">
        <v>45946</v>
      </c>
      <c r="O478" s="98">
        <v>27</v>
      </c>
      <c r="P478" s="98">
        <f>INDEX($C$1:$I$1,MATCH(Tabel3[[#This Row],[Type]],Devoirs[[#Headers],[J0]:[J60]],0))</f>
        <v>5</v>
      </c>
      <c r="Q478" s="105" cm="1">
        <f t="array" aca="1" ref="Q47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45961.544270833416</v>
      </c>
      <c r="R478" s="105">
        <f ca="1">MAX(Tabel3[[#This Row],[jour]]+$R$3,IF(ROW()-ROW(Tabel3[[#Headers],[debut]])=1,DATE(2025,9,1)+$R$3,OFFSET(Tabel3[[#This Row],[fin]],-1,)))</f>
        <v>45966.520520833452</v>
      </c>
      <c r="S4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45966.539270833455</v>
      </c>
      <c r="T478" s="102">
        <f ca="1">--(Tabel3[[#This Row],[jour]]&lt;&gt;TRUNC(Tabel3[[#This Row],[fin]]))</f>
        <v>1</v>
      </c>
      <c r="U478" s="102">
        <f ca="1">IF(Tabel3[[#This Row],[Type]]="j0",0,--(TRUNC(Tabel3[[#This Row],[debut]])-TRUNC(Tabel3[[#This Row],[fin precedent]])&lt;Tabel3[[#This Row],[delai]]))</f>
        <v>0</v>
      </c>
    </row>
    <row r="479" spans="12:21" ht="18" customHeight="1" x14ac:dyDescent="0.2">
      <c r="L479" s="98" t="s">
        <v>73</v>
      </c>
      <c r="M479" s="98" t="s">
        <v>40</v>
      </c>
      <c r="N479" s="104">
        <v>45946</v>
      </c>
      <c r="O479" s="98">
        <v>40.050000000000004</v>
      </c>
      <c r="P479" s="98">
        <f>INDEX($C$1:$I$1,MATCH(Tabel3[[#This Row],[Type]],Devoirs[[#Headers],[J0]:[J60]],0))</f>
        <v>5</v>
      </c>
      <c r="Q479" s="105" cm="1">
        <f t="array" aca="1" ref="Q47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45961.581354166752</v>
      </c>
      <c r="R479" s="105">
        <f ca="1">MAX(Tabel3[[#This Row],[jour]]+$R$3,IF(ROW()-ROW(Tabel3[[#Headers],[debut]])=1,DATE(2025,9,1)+$R$3,OFFSET(Tabel3[[#This Row],[fin]],-1,)))</f>
        <v>45966.539270833455</v>
      </c>
      <c r="S4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45966.567083333452</v>
      </c>
      <c r="T479" s="102">
        <f ca="1">--(Tabel3[[#This Row],[jour]]&lt;&gt;TRUNC(Tabel3[[#This Row],[fin]]))</f>
        <v>1</v>
      </c>
      <c r="U479" s="102">
        <f ca="1">IF(Tabel3[[#This Row],[Type]]="j0",0,--(TRUNC(Tabel3[[#This Row],[debut]])-TRUNC(Tabel3[[#This Row],[fin precedent]])&lt;Tabel3[[#This Row],[delai]]))</f>
        <v>0</v>
      </c>
    </row>
    <row r="480" spans="12:21" ht="18" customHeight="1" x14ac:dyDescent="0.2">
      <c r="L480" s="98" t="s">
        <v>120</v>
      </c>
      <c r="M480" s="98" t="s">
        <v>40</v>
      </c>
      <c r="N480" s="104">
        <v>45946</v>
      </c>
      <c r="O480" s="98">
        <v>45.9</v>
      </c>
      <c r="P480" s="98">
        <f>INDEX($C$1:$I$1,MATCH(Tabel3[[#This Row],[Type]],Devoirs[[#Headers],[J0]:[J60]],0))</f>
        <v>5</v>
      </c>
      <c r="Q480" s="105" cm="1">
        <f t="array" aca="1" ref="Q48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45961.623854166755</v>
      </c>
      <c r="R480" s="105">
        <f ca="1">MAX(Tabel3[[#This Row],[jour]]+$R$3,IF(ROW()-ROW(Tabel3[[#Headers],[debut]])=1,DATE(2025,9,1)+$R$3,OFFSET(Tabel3[[#This Row],[fin]],-1,)))</f>
        <v>45966.567083333452</v>
      </c>
      <c r="S4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45966.598958333452</v>
      </c>
      <c r="T480" s="102">
        <f ca="1">--(Tabel3[[#This Row],[jour]]&lt;&gt;TRUNC(Tabel3[[#This Row],[fin]]))</f>
        <v>1</v>
      </c>
      <c r="U480" s="102">
        <f ca="1">IF(Tabel3[[#This Row],[Type]]="j0",0,--(TRUNC(Tabel3[[#This Row],[debut]])-TRUNC(Tabel3[[#This Row],[fin precedent]])&lt;Tabel3[[#This Row],[delai]]))</f>
        <v>0</v>
      </c>
    </row>
    <row r="481" spans="12:21" ht="18" customHeight="1" x14ac:dyDescent="0.2">
      <c r="L481" s="98" t="s">
        <v>63</v>
      </c>
      <c r="M481" s="98" t="s">
        <v>39</v>
      </c>
      <c r="N481" s="104">
        <v>45946</v>
      </c>
      <c r="O481" s="98">
        <v>42.6</v>
      </c>
      <c r="P481" s="98">
        <f>INDEX($C$1:$I$1,MATCH(Tabel3[[#This Row],[Type]],Devoirs[[#Headers],[J0]:[J60]],0))</f>
        <v>4</v>
      </c>
      <c r="Q481" s="105" cm="1">
        <f t="array" aca="1" ref="Q48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45961.660833333422</v>
      </c>
      <c r="R481" s="105">
        <f ca="1">MAX(Tabel3[[#This Row],[jour]]+$R$3,IF(ROW()-ROW(Tabel3[[#Headers],[debut]])=1,DATE(2025,9,1)+$R$3,OFFSET(Tabel3[[#This Row],[fin]],-1,)))</f>
        <v>45966.598958333452</v>
      </c>
      <c r="S4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45966.628541666789</v>
      </c>
      <c r="T481" s="102">
        <f ca="1">--(Tabel3[[#This Row],[jour]]&lt;&gt;TRUNC(Tabel3[[#This Row],[fin]]))</f>
        <v>1</v>
      </c>
      <c r="U481" s="102">
        <f ca="1">IF(Tabel3[[#This Row],[Type]]="j0",0,--(TRUNC(Tabel3[[#This Row],[debut]])-TRUNC(Tabel3[[#This Row],[fin precedent]])&lt;Tabel3[[#This Row],[delai]]))</f>
        <v>0</v>
      </c>
    </row>
    <row r="482" spans="12:21" ht="18" customHeight="1" x14ac:dyDescent="0.2">
      <c r="L482" s="98" t="s">
        <v>91</v>
      </c>
      <c r="M482" s="98" t="s">
        <v>39</v>
      </c>
      <c r="N482" s="104">
        <v>45946</v>
      </c>
      <c r="O482" s="98">
        <v>42.6</v>
      </c>
      <c r="P482" s="98">
        <f>INDEX($C$1:$I$1,MATCH(Tabel3[[#This Row],[Type]],Devoirs[[#Headers],[J0]:[J60]],0))</f>
        <v>4</v>
      </c>
      <c r="Q482" s="105" cm="1">
        <f t="array" aca="1" ref="Q48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45961.69781250009</v>
      </c>
      <c r="R482" s="105">
        <f ca="1">MAX(Tabel3[[#This Row],[jour]]+$R$3,IF(ROW()-ROW(Tabel3[[#Headers],[debut]])=1,DATE(2025,9,1)+$R$3,OFFSET(Tabel3[[#This Row],[fin]],-1,)))</f>
        <v>45966.628541666789</v>
      </c>
      <c r="S4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45966.658125000125</v>
      </c>
      <c r="T482" s="102">
        <f ca="1">--(Tabel3[[#This Row],[jour]]&lt;&gt;TRUNC(Tabel3[[#This Row],[fin]]))</f>
        <v>1</v>
      </c>
      <c r="U482" s="102">
        <f ca="1">IF(Tabel3[[#This Row],[Type]]="j0",0,--(TRUNC(Tabel3[[#This Row],[debut]])-TRUNC(Tabel3[[#This Row],[fin precedent]])&lt;Tabel3[[#This Row],[delai]]))</f>
        <v>0</v>
      </c>
    </row>
    <row r="483" spans="12:21" ht="18" customHeight="1" x14ac:dyDescent="0.2">
      <c r="L483" s="98" t="s">
        <v>98</v>
      </c>
      <c r="M483" s="98" t="s">
        <v>41</v>
      </c>
      <c r="N483" s="104">
        <v>45947</v>
      </c>
      <c r="O483" s="98">
        <v>27</v>
      </c>
      <c r="P483" s="98">
        <f>INDEX($C$1:$I$1,MATCH(Tabel3[[#This Row],[Type]],Devoirs[[#Headers],[J0]:[J60]],0))</f>
        <v>15</v>
      </c>
      <c r="Q483" s="105" cm="1">
        <f t="array" aca="1" ref="Q48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45946.531666666699</v>
      </c>
      <c r="R483" s="105">
        <f ca="1">MAX(Tabel3[[#This Row],[jour]]+$R$3,IF(ROW()-ROW(Tabel3[[#Headers],[debut]])=1,DATE(2025,9,1)+$R$3,OFFSET(Tabel3[[#This Row],[fin]],-1,)))</f>
        <v>45966.658125000125</v>
      </c>
      <c r="S4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45966.676875000128</v>
      </c>
      <c r="T483" s="102">
        <f ca="1">--(Tabel3[[#This Row],[jour]]&lt;&gt;TRUNC(Tabel3[[#This Row],[fin]]))</f>
        <v>1</v>
      </c>
      <c r="U483" s="102">
        <f ca="1">IF(Tabel3[[#This Row],[Type]]="j0",0,--(TRUNC(Tabel3[[#This Row],[debut]])-TRUNC(Tabel3[[#This Row],[fin precedent]])&lt;Tabel3[[#This Row],[delai]]))</f>
        <v>0</v>
      </c>
    </row>
    <row r="484" spans="12:21" ht="18" customHeight="1" x14ac:dyDescent="0.2">
      <c r="L484" s="98" t="s">
        <v>102</v>
      </c>
      <c r="M484" s="98" t="s">
        <v>41</v>
      </c>
      <c r="N484" s="104">
        <v>45947</v>
      </c>
      <c r="O484" s="98">
        <v>33.6</v>
      </c>
      <c r="P484" s="98">
        <f>INDEX($C$1:$I$1,MATCH(Tabel3[[#This Row],[Type]],Devoirs[[#Headers],[J0]:[J60]],0))</f>
        <v>15</v>
      </c>
      <c r="Q484" s="105" cm="1">
        <f t="array" aca="1" ref="Q48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45946.566666666702</v>
      </c>
      <c r="R484" s="105">
        <f ca="1">MAX(Tabel3[[#This Row],[jour]]+$R$3,IF(ROW()-ROW(Tabel3[[#Headers],[debut]])=1,DATE(2025,9,1)+$R$3,OFFSET(Tabel3[[#This Row],[fin]],-1,)))</f>
        <v>45966.676875000128</v>
      </c>
      <c r="S4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45966.700208333459</v>
      </c>
      <c r="T484" s="102">
        <f ca="1">--(Tabel3[[#This Row],[jour]]&lt;&gt;TRUNC(Tabel3[[#This Row],[fin]]))</f>
        <v>1</v>
      </c>
      <c r="U484" s="102">
        <f ca="1">IF(Tabel3[[#This Row],[Type]]="j0",0,--(TRUNC(Tabel3[[#This Row],[debut]])-TRUNC(Tabel3[[#This Row],[fin precedent]])&lt;Tabel3[[#This Row],[delai]]))</f>
        <v>0</v>
      </c>
    </row>
    <row r="485" spans="12:21" ht="18" customHeight="1" x14ac:dyDescent="0.2">
      <c r="L485" s="98" t="s">
        <v>59</v>
      </c>
      <c r="M485" s="98" t="s">
        <v>41</v>
      </c>
      <c r="N485" s="104">
        <v>45947</v>
      </c>
      <c r="O485" s="98">
        <v>33.9</v>
      </c>
      <c r="P485" s="98">
        <f>INDEX($C$1:$I$1,MATCH(Tabel3[[#This Row],[Type]],Devoirs[[#Headers],[J0]:[J60]],0))</f>
        <v>15</v>
      </c>
      <c r="Q485" s="105" cm="1">
        <f t="array" aca="1" ref="Q48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45946.601979166699</v>
      </c>
      <c r="R485" s="105">
        <f ca="1">MAX(Tabel3[[#This Row],[jour]]+$R$3,IF(ROW()-ROW(Tabel3[[#Headers],[debut]])=1,DATE(2025,9,1)+$R$3,OFFSET(Tabel3[[#This Row],[fin]],-1,)))</f>
        <v>45966.700208333459</v>
      </c>
      <c r="S4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45966.723750000128</v>
      </c>
      <c r="T485" s="102">
        <f ca="1">--(Tabel3[[#This Row],[jour]]&lt;&gt;TRUNC(Tabel3[[#This Row],[fin]]))</f>
        <v>1</v>
      </c>
      <c r="U485" s="102">
        <f ca="1">IF(Tabel3[[#This Row],[Type]]="j0",0,--(TRUNC(Tabel3[[#This Row],[debut]])-TRUNC(Tabel3[[#This Row],[fin precedent]])&lt;Tabel3[[#This Row],[delai]]))</f>
        <v>0</v>
      </c>
    </row>
    <row r="486" spans="12:21" ht="18" customHeight="1" x14ac:dyDescent="0.2">
      <c r="L486" s="98" t="s">
        <v>99</v>
      </c>
      <c r="M486" s="98" t="s">
        <v>41</v>
      </c>
      <c r="N486" s="104">
        <v>45947</v>
      </c>
      <c r="O486" s="98">
        <v>36</v>
      </c>
      <c r="P486" s="98">
        <f>INDEX($C$1:$I$1,MATCH(Tabel3[[#This Row],[Type]],Devoirs[[#Headers],[J0]:[J60]],0))</f>
        <v>15</v>
      </c>
      <c r="Q486" s="105" cm="1">
        <f t="array" aca="1" ref="Q48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45946.639479166697</v>
      </c>
      <c r="R486" s="105">
        <f ca="1">MAX(Tabel3[[#This Row],[jour]]+$R$3,IF(ROW()-ROW(Tabel3[[#Headers],[debut]])=1,DATE(2025,9,1)+$R$3,OFFSET(Tabel3[[#This Row],[fin]],-1,)))</f>
        <v>45966.723750000128</v>
      </c>
      <c r="S4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45966.74875000013</v>
      </c>
      <c r="T486" s="102">
        <f ca="1">--(Tabel3[[#This Row],[jour]]&lt;&gt;TRUNC(Tabel3[[#This Row],[fin]]))</f>
        <v>1</v>
      </c>
      <c r="U486" s="102">
        <f ca="1">IF(Tabel3[[#This Row],[Type]]="j0",0,--(TRUNC(Tabel3[[#This Row],[debut]])-TRUNC(Tabel3[[#This Row],[fin precedent]])&lt;Tabel3[[#This Row],[delai]]))</f>
        <v>0</v>
      </c>
    </row>
    <row r="487" spans="12:21" ht="18" customHeight="1" x14ac:dyDescent="0.2">
      <c r="L487" s="98" t="s">
        <v>123</v>
      </c>
      <c r="M487" s="98" t="s">
        <v>40</v>
      </c>
      <c r="N487" s="104">
        <v>45947</v>
      </c>
      <c r="O487" s="98">
        <v>34.200000000000003</v>
      </c>
      <c r="P487" s="98">
        <f>INDEX($C$1:$I$1,MATCH(Tabel3[[#This Row],[Type]],Devoirs[[#Headers],[J0]:[J60]],0))</f>
        <v>5</v>
      </c>
      <c r="Q487" s="105" cm="1">
        <f t="array" aca="1" ref="Q48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45964.490937500101</v>
      </c>
      <c r="R487" s="105">
        <f ca="1">MAX(Tabel3[[#This Row],[jour]]+$R$3,IF(ROW()-ROW(Tabel3[[#Headers],[debut]])=1,DATE(2025,9,1)+$R$3,OFFSET(Tabel3[[#This Row],[fin]],-1,)))</f>
        <v>45966.74875000013</v>
      </c>
      <c r="S4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45967.355833333466</v>
      </c>
      <c r="T487" s="102">
        <f ca="1">--(Tabel3[[#This Row],[jour]]&lt;&gt;TRUNC(Tabel3[[#This Row],[fin]]))</f>
        <v>1</v>
      </c>
      <c r="U487" s="102">
        <f ca="1">IF(Tabel3[[#This Row],[Type]]="j0",0,--(TRUNC(Tabel3[[#This Row],[debut]])-TRUNC(Tabel3[[#This Row],[fin precedent]])&lt;Tabel3[[#This Row],[delai]]))</f>
        <v>1</v>
      </c>
    </row>
    <row r="488" spans="12:21" ht="18" customHeight="1" x14ac:dyDescent="0.2">
      <c r="L488" s="98" t="s">
        <v>50</v>
      </c>
      <c r="M488" s="98" t="s">
        <v>40</v>
      </c>
      <c r="N488" s="104">
        <v>45947</v>
      </c>
      <c r="O488" s="98">
        <v>53.550000000000004</v>
      </c>
      <c r="P488" s="98">
        <f>INDEX($C$1:$I$1,MATCH(Tabel3[[#This Row],[Type]],Devoirs[[#Headers],[J0]:[J60]],0))</f>
        <v>5</v>
      </c>
      <c r="Q488" s="105" cm="1">
        <f t="array" aca="1" ref="Q48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45964.540520833434</v>
      </c>
      <c r="R488" s="105">
        <f ca="1">MAX(Tabel3[[#This Row],[jour]]+$R$3,IF(ROW()-ROW(Tabel3[[#Headers],[debut]])=1,DATE(2025,9,1)+$R$3,OFFSET(Tabel3[[#This Row],[fin]],-1,)))</f>
        <v>45967.355833333466</v>
      </c>
      <c r="S4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45967.393020833464</v>
      </c>
      <c r="T488" s="102">
        <f ca="1">--(Tabel3[[#This Row],[jour]]&lt;&gt;TRUNC(Tabel3[[#This Row],[fin]]))</f>
        <v>1</v>
      </c>
      <c r="U488" s="102">
        <f ca="1">IF(Tabel3[[#This Row],[Type]]="j0",0,--(TRUNC(Tabel3[[#This Row],[debut]])-TRUNC(Tabel3[[#This Row],[fin precedent]])&lt;Tabel3[[#This Row],[delai]]))</f>
        <v>1</v>
      </c>
    </row>
    <row r="489" spans="12:21" ht="18" customHeight="1" x14ac:dyDescent="0.2">
      <c r="L489" s="98" t="s">
        <v>103</v>
      </c>
      <c r="M489" s="98" t="s">
        <v>39</v>
      </c>
      <c r="N489" s="104">
        <v>45947</v>
      </c>
      <c r="O489" s="98">
        <v>21.599999999999998</v>
      </c>
      <c r="P489" s="98">
        <f>INDEX($C$1:$I$1,MATCH(Tabel3[[#This Row],[Type]],Devoirs[[#Headers],[J0]:[J60]],0))</f>
        <v>4</v>
      </c>
      <c r="Q489" s="105" cm="1">
        <f t="array" aca="1" ref="Q48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45964.559270833437</v>
      </c>
      <c r="R489" s="105">
        <f ca="1">MAX(Tabel3[[#This Row],[jour]]+$R$3,IF(ROW()-ROW(Tabel3[[#Headers],[debut]])=1,DATE(2025,9,1)+$R$3,OFFSET(Tabel3[[#This Row],[fin]],-1,)))</f>
        <v>45967.393020833464</v>
      </c>
      <c r="S4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45967.408020833464</v>
      </c>
      <c r="T489" s="102">
        <f ca="1">--(Tabel3[[#This Row],[jour]]&lt;&gt;TRUNC(Tabel3[[#This Row],[fin]]))</f>
        <v>1</v>
      </c>
      <c r="U489" s="102">
        <f ca="1">IF(Tabel3[[#This Row],[Type]]="j0",0,--(TRUNC(Tabel3[[#This Row],[debut]])-TRUNC(Tabel3[[#This Row],[fin precedent]])&lt;Tabel3[[#This Row],[delai]]))</f>
        <v>1</v>
      </c>
    </row>
    <row r="490" spans="12:21" ht="18" customHeight="1" x14ac:dyDescent="0.2">
      <c r="L490" s="98" t="s">
        <v>126</v>
      </c>
      <c r="M490" s="98" t="s">
        <v>39</v>
      </c>
      <c r="N490" s="104">
        <v>45947</v>
      </c>
      <c r="O490" s="98">
        <v>39.6</v>
      </c>
      <c r="P490" s="98">
        <f>INDEX($C$1:$I$1,MATCH(Tabel3[[#This Row],[Type]],Devoirs[[#Headers],[J0]:[J60]],0))</f>
        <v>4</v>
      </c>
      <c r="Q490" s="105" cm="1">
        <f t="array" aca="1" ref="Q49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45964.59364583344</v>
      </c>
      <c r="R490" s="105">
        <f ca="1">MAX(Tabel3[[#This Row],[jour]]+$R$3,IF(ROW()-ROW(Tabel3[[#Headers],[debut]])=1,DATE(2025,9,1)+$R$3,OFFSET(Tabel3[[#This Row],[fin]],-1,)))</f>
        <v>45967.408020833464</v>
      </c>
      <c r="S4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45967.43552083346</v>
      </c>
      <c r="T490" s="102">
        <f ca="1">--(Tabel3[[#This Row],[jour]]&lt;&gt;TRUNC(Tabel3[[#This Row],[fin]]))</f>
        <v>1</v>
      </c>
      <c r="U490" s="102">
        <f ca="1">IF(Tabel3[[#This Row],[Type]]="j0",0,--(TRUNC(Tabel3[[#This Row],[debut]])-TRUNC(Tabel3[[#This Row],[fin precedent]])&lt;Tabel3[[#This Row],[delai]]))</f>
        <v>1</v>
      </c>
    </row>
    <row r="491" spans="12:21" ht="18" customHeight="1" x14ac:dyDescent="0.2">
      <c r="L491" s="98" t="s">
        <v>70</v>
      </c>
      <c r="M491" s="98" t="s">
        <v>39</v>
      </c>
      <c r="N491" s="104">
        <v>45947</v>
      </c>
      <c r="O491" s="98">
        <v>50.4</v>
      </c>
      <c r="P491" s="98">
        <f>INDEX($C$1:$I$1,MATCH(Tabel3[[#This Row],[Type]],Devoirs[[#Headers],[J0]:[J60]],0))</f>
        <v>4</v>
      </c>
      <c r="Q491" s="105" cm="1">
        <f t="array" aca="1" ref="Q4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45964.637395833437</v>
      </c>
      <c r="R491" s="105">
        <f ca="1">MAX(Tabel3[[#This Row],[jour]]+$R$3,IF(ROW()-ROW(Tabel3[[#Headers],[debut]])=1,DATE(2025,9,1)+$R$3,OFFSET(Tabel3[[#This Row],[fin]],-1,)))</f>
        <v>45967.43552083346</v>
      </c>
      <c r="S4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45967.470520833464</v>
      </c>
      <c r="T491" s="102">
        <f ca="1">--(Tabel3[[#This Row],[jour]]&lt;&gt;TRUNC(Tabel3[[#This Row],[fin]]))</f>
        <v>1</v>
      </c>
      <c r="U491" s="102">
        <f ca="1">IF(Tabel3[[#This Row],[Type]]="j0",0,--(TRUNC(Tabel3[[#This Row],[debut]])-TRUNC(Tabel3[[#This Row],[fin precedent]])&lt;Tabel3[[#This Row],[delai]]))</f>
        <v>1</v>
      </c>
    </row>
    <row r="492" spans="12:21" ht="18" customHeight="1" x14ac:dyDescent="0.2">
      <c r="L492" s="98" t="s">
        <v>71</v>
      </c>
      <c r="M492" s="98" t="s">
        <v>39</v>
      </c>
      <c r="N492" s="104">
        <v>45947</v>
      </c>
      <c r="O492" s="98">
        <v>60.599999999999994</v>
      </c>
      <c r="P492" s="98">
        <f>INDEX($C$1:$I$1,MATCH(Tabel3[[#This Row],[Type]],Devoirs[[#Headers],[J0]:[J60]],0))</f>
        <v>4</v>
      </c>
      <c r="Q492" s="105" cm="1">
        <f t="array" aca="1" ref="Q4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45964.690000000104</v>
      </c>
      <c r="R492" s="105">
        <f ca="1">MAX(Tabel3[[#This Row],[jour]]+$R$3,IF(ROW()-ROW(Tabel3[[#Headers],[debut]])=1,DATE(2025,9,1)+$R$3,OFFSET(Tabel3[[#This Row],[fin]],-1,)))</f>
        <v>45967.470520833464</v>
      </c>
      <c r="S4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45967.512604166797</v>
      </c>
      <c r="T492" s="102">
        <f ca="1">--(Tabel3[[#This Row],[jour]]&lt;&gt;TRUNC(Tabel3[[#This Row],[fin]]))</f>
        <v>1</v>
      </c>
      <c r="U492" s="102">
        <f ca="1">IF(Tabel3[[#This Row],[Type]]="j0",0,--(TRUNC(Tabel3[[#This Row],[debut]])-TRUNC(Tabel3[[#This Row],[fin precedent]])&lt;Tabel3[[#This Row],[delai]]))</f>
        <v>1</v>
      </c>
    </row>
    <row r="493" spans="12:21" ht="18" customHeight="1" x14ac:dyDescent="0.2">
      <c r="L493" s="98" t="s">
        <v>65</v>
      </c>
      <c r="M493" s="98" t="s">
        <v>39</v>
      </c>
      <c r="N493" s="104">
        <v>45947</v>
      </c>
      <c r="O493" s="98">
        <v>65.399999999999991</v>
      </c>
      <c r="P493" s="98">
        <f>INDEX($C$1:$I$1,MATCH(Tabel3[[#This Row],[Type]],Devoirs[[#Headers],[J0]:[J60]],0))</f>
        <v>4</v>
      </c>
      <c r="Q493" s="105" cm="1">
        <f t="array" aca="1" ref="Q4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45964.746770833437</v>
      </c>
      <c r="R493" s="105">
        <f ca="1">MAX(Tabel3[[#This Row],[jour]]+$R$3,IF(ROW()-ROW(Tabel3[[#Headers],[debut]])=1,DATE(2025,9,1)+$R$3,OFFSET(Tabel3[[#This Row],[fin]],-1,)))</f>
        <v>45967.512604166797</v>
      </c>
      <c r="S4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45967.558020833465</v>
      </c>
      <c r="T493" s="102">
        <f ca="1">--(Tabel3[[#This Row],[jour]]&lt;&gt;TRUNC(Tabel3[[#This Row],[fin]]))</f>
        <v>1</v>
      </c>
      <c r="U493" s="102">
        <f ca="1">IF(Tabel3[[#This Row],[Type]]="j0",0,--(TRUNC(Tabel3[[#This Row],[debut]])-TRUNC(Tabel3[[#This Row],[fin precedent]])&lt;Tabel3[[#This Row],[delai]]))</f>
        <v>1</v>
      </c>
    </row>
    <row r="494" spans="12:21" ht="18" customHeight="1" x14ac:dyDescent="0.2">
      <c r="L494" s="98" t="s">
        <v>82</v>
      </c>
      <c r="M494" s="98" t="s">
        <v>41</v>
      </c>
      <c r="N494" s="104">
        <v>45948</v>
      </c>
      <c r="O494" s="98">
        <v>9.2999999999999989</v>
      </c>
      <c r="P494" s="98">
        <f>INDEX($C$1:$I$1,MATCH(Tabel3[[#This Row],[Type]],Devoirs[[#Headers],[J0]:[J60]],0))</f>
        <v>15</v>
      </c>
      <c r="Q494" s="105" cm="1">
        <f t="array" aca="1" ref="Q4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45947.718750000029</v>
      </c>
      <c r="R494" s="105">
        <f ca="1">MAX(Tabel3[[#This Row],[jour]]+$R$3,IF(ROW()-ROW(Tabel3[[#Headers],[debut]])=1,DATE(2025,9,1)+$R$3,OFFSET(Tabel3[[#This Row],[fin]],-1,)))</f>
        <v>45967.558020833465</v>
      </c>
      <c r="S4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45967.564479166802</v>
      </c>
      <c r="T494" s="102">
        <f ca="1">--(Tabel3[[#This Row],[jour]]&lt;&gt;TRUNC(Tabel3[[#This Row],[fin]]))</f>
        <v>1</v>
      </c>
      <c r="U494" s="102">
        <f ca="1">IF(Tabel3[[#This Row],[Type]]="j0",0,--(TRUNC(Tabel3[[#This Row],[debut]])-TRUNC(Tabel3[[#This Row],[fin precedent]])&lt;Tabel3[[#This Row],[delai]]))</f>
        <v>0</v>
      </c>
    </row>
    <row r="495" spans="12:21" ht="18" customHeight="1" x14ac:dyDescent="0.2">
      <c r="L495" s="98" t="s">
        <v>142</v>
      </c>
      <c r="M495" s="98" t="s">
        <v>41</v>
      </c>
      <c r="N495" s="104">
        <v>45948</v>
      </c>
      <c r="O495" s="98">
        <v>12</v>
      </c>
      <c r="P495" s="98">
        <f>INDEX($C$1:$I$1,MATCH(Tabel3[[#This Row],[Type]],Devoirs[[#Headers],[J0]:[J60]],0))</f>
        <v>15</v>
      </c>
      <c r="Q495" s="105" cm="1">
        <f t="array" aca="1" ref="Q4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45947.731250000026</v>
      </c>
      <c r="R495" s="105">
        <f ca="1">MAX(Tabel3[[#This Row],[jour]]+$R$3,IF(ROW()-ROW(Tabel3[[#Headers],[debut]])=1,DATE(2025,9,1)+$R$3,OFFSET(Tabel3[[#This Row],[fin]],-1,)))</f>
        <v>45967.564479166802</v>
      </c>
      <c r="S4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45967.572812500133</v>
      </c>
      <c r="T495" s="102">
        <f ca="1">--(Tabel3[[#This Row],[jour]]&lt;&gt;TRUNC(Tabel3[[#This Row],[fin]]))</f>
        <v>1</v>
      </c>
      <c r="U495" s="102">
        <f ca="1">IF(Tabel3[[#This Row],[Type]]="j0",0,--(TRUNC(Tabel3[[#This Row],[debut]])-TRUNC(Tabel3[[#This Row],[fin precedent]])&lt;Tabel3[[#This Row],[delai]]))</f>
        <v>0</v>
      </c>
    </row>
    <row r="496" spans="12:21" ht="18" customHeight="1" x14ac:dyDescent="0.2">
      <c r="L496" s="98" t="s">
        <v>75</v>
      </c>
      <c r="M496" s="98" t="s">
        <v>41</v>
      </c>
      <c r="N496" s="104">
        <v>45948</v>
      </c>
      <c r="O496" s="98">
        <v>18</v>
      </c>
      <c r="P496" s="98">
        <f>INDEX($C$1:$I$1,MATCH(Tabel3[[#This Row],[Type]],Devoirs[[#Headers],[J0]:[J60]],0))</f>
        <v>15</v>
      </c>
      <c r="Q496" s="105" cm="1">
        <f t="array" aca="1" ref="Q4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45950.333333333365</v>
      </c>
      <c r="R496" s="105">
        <f ca="1">MAX(Tabel3[[#This Row],[jour]]+$R$3,IF(ROW()-ROW(Tabel3[[#Headers],[debut]])=1,DATE(2025,9,1)+$R$3,OFFSET(Tabel3[[#This Row],[fin]],-1,)))</f>
        <v>45967.572812500133</v>
      </c>
      <c r="S4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45967.58531250013</v>
      </c>
      <c r="T496" s="102">
        <f ca="1">--(Tabel3[[#This Row],[jour]]&lt;&gt;TRUNC(Tabel3[[#This Row],[fin]]))</f>
        <v>1</v>
      </c>
      <c r="U496" s="102">
        <f ca="1">IF(Tabel3[[#This Row],[Type]]="j0",0,--(TRUNC(Tabel3[[#This Row],[debut]])-TRUNC(Tabel3[[#This Row],[fin precedent]])&lt;Tabel3[[#This Row],[delai]]))</f>
        <v>0</v>
      </c>
    </row>
    <row r="497" spans="12:21" ht="18" customHeight="1" x14ac:dyDescent="0.2">
      <c r="L497" s="98" t="s">
        <v>57</v>
      </c>
      <c r="M497" s="98" t="s">
        <v>41</v>
      </c>
      <c r="N497" s="104">
        <v>45948</v>
      </c>
      <c r="O497" s="98">
        <v>21.9</v>
      </c>
      <c r="P497" s="98">
        <f>INDEX($C$1:$I$1,MATCH(Tabel3[[#This Row],[Type]],Devoirs[[#Headers],[J0]:[J60]],0))</f>
        <v>15</v>
      </c>
      <c r="Q497" s="105" cm="1">
        <f t="array" aca="1" ref="Q49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45950.356145833364</v>
      </c>
      <c r="R497" s="105">
        <f ca="1">MAX(Tabel3[[#This Row],[jour]]+$R$3,IF(ROW()-ROW(Tabel3[[#Headers],[debut]])=1,DATE(2025,9,1)+$R$3,OFFSET(Tabel3[[#This Row],[fin]],-1,)))</f>
        <v>45967.58531250013</v>
      </c>
      <c r="S4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45967.600520833461</v>
      </c>
      <c r="T497" s="102">
        <f ca="1">--(Tabel3[[#This Row],[jour]]&lt;&gt;TRUNC(Tabel3[[#This Row],[fin]]))</f>
        <v>1</v>
      </c>
      <c r="U497" s="102">
        <f ca="1">IF(Tabel3[[#This Row],[Type]]="j0",0,--(TRUNC(Tabel3[[#This Row],[debut]])-TRUNC(Tabel3[[#This Row],[fin precedent]])&lt;Tabel3[[#This Row],[delai]]))</f>
        <v>0</v>
      </c>
    </row>
    <row r="498" spans="12:21" ht="18" customHeight="1" x14ac:dyDescent="0.2">
      <c r="L498" s="98" t="s">
        <v>72</v>
      </c>
      <c r="M498" s="98" t="s">
        <v>41</v>
      </c>
      <c r="N498" s="104">
        <v>45948</v>
      </c>
      <c r="O498" s="98">
        <v>24.599999999999998</v>
      </c>
      <c r="P498" s="98">
        <f>INDEX($C$1:$I$1,MATCH(Tabel3[[#This Row],[Type]],Devoirs[[#Headers],[J0]:[J60]],0))</f>
        <v>15</v>
      </c>
      <c r="Q498" s="105" cm="1">
        <f t="array" aca="1" ref="Q49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45950.381770833366</v>
      </c>
      <c r="R498" s="105">
        <f ca="1">MAX(Tabel3[[#This Row],[jour]]+$R$3,IF(ROW()-ROW(Tabel3[[#Headers],[debut]])=1,DATE(2025,9,1)+$R$3,OFFSET(Tabel3[[#This Row],[fin]],-1,)))</f>
        <v>45967.600520833461</v>
      </c>
      <c r="S4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45967.617604166793</v>
      </c>
      <c r="T498" s="102">
        <f ca="1">--(Tabel3[[#This Row],[jour]]&lt;&gt;TRUNC(Tabel3[[#This Row],[fin]]))</f>
        <v>1</v>
      </c>
      <c r="U498" s="102">
        <f ca="1">IF(Tabel3[[#This Row],[Type]]="j0",0,--(TRUNC(Tabel3[[#This Row],[debut]])-TRUNC(Tabel3[[#This Row],[fin precedent]])&lt;Tabel3[[#This Row],[delai]]))</f>
        <v>0</v>
      </c>
    </row>
    <row r="499" spans="12:21" ht="18" customHeight="1" x14ac:dyDescent="0.2">
      <c r="L499" s="98" t="s">
        <v>92</v>
      </c>
      <c r="M499" s="98" t="s">
        <v>41</v>
      </c>
      <c r="N499" s="104">
        <v>45948</v>
      </c>
      <c r="O499" s="98">
        <v>29.7</v>
      </c>
      <c r="P499" s="98">
        <f>INDEX($C$1:$I$1,MATCH(Tabel3[[#This Row],[Type]],Devoirs[[#Headers],[J0]:[J60]],0))</f>
        <v>15</v>
      </c>
      <c r="Q499" s="105" cm="1">
        <f t="array" aca="1" ref="Q49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45950.412708333366</v>
      </c>
      <c r="R499" s="105">
        <f ca="1">MAX(Tabel3[[#This Row],[jour]]+$R$3,IF(ROW()-ROW(Tabel3[[#Headers],[debut]])=1,DATE(2025,9,1)+$R$3,OFFSET(Tabel3[[#This Row],[fin]],-1,)))</f>
        <v>45967.617604166793</v>
      </c>
      <c r="S4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45967.638229166791</v>
      </c>
      <c r="T499" s="102">
        <f ca="1">--(Tabel3[[#This Row],[jour]]&lt;&gt;TRUNC(Tabel3[[#This Row],[fin]]))</f>
        <v>1</v>
      </c>
      <c r="U499" s="102">
        <f ca="1">IF(Tabel3[[#This Row],[Type]]="j0",0,--(TRUNC(Tabel3[[#This Row],[debut]])-TRUNC(Tabel3[[#This Row],[fin precedent]])&lt;Tabel3[[#This Row],[delai]]))</f>
        <v>0</v>
      </c>
    </row>
    <row r="500" spans="12:21" ht="18" customHeight="1" x14ac:dyDescent="0.2">
      <c r="L500" s="98" t="s">
        <v>127</v>
      </c>
      <c r="M500" s="98" t="s">
        <v>41</v>
      </c>
      <c r="N500" s="104">
        <v>45948</v>
      </c>
      <c r="O500" s="98">
        <v>32.1</v>
      </c>
      <c r="P500" s="98">
        <f>INDEX($C$1:$I$1,MATCH(Tabel3[[#This Row],[Type]],Devoirs[[#Headers],[J0]:[J60]],0))</f>
        <v>15</v>
      </c>
      <c r="Q500" s="105" cm="1">
        <f t="array" aca="1" ref="Q50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45950.446145833368</v>
      </c>
      <c r="R500" s="105">
        <f ca="1">MAX(Tabel3[[#This Row],[jour]]+$R$3,IF(ROW()-ROW(Tabel3[[#Headers],[debut]])=1,DATE(2025,9,1)+$R$3,OFFSET(Tabel3[[#This Row],[fin]],-1,)))</f>
        <v>45967.638229166791</v>
      </c>
      <c r="S5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45967.660520833459</v>
      </c>
      <c r="T500" s="102">
        <f ca="1">--(Tabel3[[#This Row],[jour]]&lt;&gt;TRUNC(Tabel3[[#This Row],[fin]]))</f>
        <v>1</v>
      </c>
      <c r="U500" s="102">
        <f ca="1">IF(Tabel3[[#This Row],[Type]]="j0",0,--(TRUNC(Tabel3[[#This Row],[debut]])-TRUNC(Tabel3[[#This Row],[fin precedent]])&lt;Tabel3[[#This Row],[delai]]))</f>
        <v>0</v>
      </c>
    </row>
    <row r="501" spans="12:21" ht="18" customHeight="1" x14ac:dyDescent="0.2">
      <c r="L501" s="98" t="s">
        <v>86</v>
      </c>
      <c r="M501" s="98" t="s">
        <v>41</v>
      </c>
      <c r="N501" s="104">
        <v>45948</v>
      </c>
      <c r="O501" s="98">
        <v>33</v>
      </c>
      <c r="P501" s="98">
        <f>INDEX($C$1:$I$1,MATCH(Tabel3[[#This Row],[Type]],Devoirs[[#Headers],[J0]:[J60]],0))</f>
        <v>15</v>
      </c>
      <c r="Q501" s="105" cm="1">
        <f t="array" aca="1" ref="Q50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45950.480520833371</v>
      </c>
      <c r="R501" s="105">
        <f ca="1">MAX(Tabel3[[#This Row],[jour]]+$R$3,IF(ROW()-ROW(Tabel3[[#Headers],[debut]])=1,DATE(2025,9,1)+$R$3,OFFSET(Tabel3[[#This Row],[fin]],-1,)))</f>
        <v>45967.660520833459</v>
      </c>
      <c r="S5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45967.683437500127</v>
      </c>
      <c r="T501" s="102">
        <f ca="1">--(Tabel3[[#This Row],[jour]]&lt;&gt;TRUNC(Tabel3[[#This Row],[fin]]))</f>
        <v>1</v>
      </c>
      <c r="U501" s="102">
        <f ca="1">IF(Tabel3[[#This Row],[Type]]="j0",0,--(TRUNC(Tabel3[[#This Row],[debut]])-TRUNC(Tabel3[[#This Row],[fin precedent]])&lt;Tabel3[[#This Row],[delai]]))</f>
        <v>0</v>
      </c>
    </row>
    <row r="502" spans="12:21" ht="18" customHeight="1" x14ac:dyDescent="0.2">
      <c r="L502" s="98" t="s">
        <v>53</v>
      </c>
      <c r="M502" s="98" t="s">
        <v>40</v>
      </c>
      <c r="N502" s="104">
        <v>45948</v>
      </c>
      <c r="O502" s="98">
        <v>27.900000000000002</v>
      </c>
      <c r="P502" s="98">
        <f>INDEX($C$1:$I$1,MATCH(Tabel3[[#This Row],[Type]],Devoirs[[#Headers],[J0]:[J60]],0))</f>
        <v>5</v>
      </c>
      <c r="Q502" s="105" cm="1">
        <f t="array" aca="1" ref="Q50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45965.355937500106</v>
      </c>
      <c r="R502" s="105">
        <f ca="1">MAX(Tabel3[[#This Row],[jour]]+$R$3,IF(ROW()-ROW(Tabel3[[#Headers],[debut]])=1,DATE(2025,9,1)+$R$3,OFFSET(Tabel3[[#This Row],[fin]],-1,)))</f>
        <v>45967.683437500127</v>
      </c>
      <c r="S5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45967.702812500131</v>
      </c>
      <c r="T502" s="102">
        <f ca="1">--(Tabel3[[#This Row],[jour]]&lt;&gt;TRUNC(Tabel3[[#This Row],[fin]]))</f>
        <v>1</v>
      </c>
      <c r="U502" s="102">
        <f ca="1">IF(Tabel3[[#This Row],[Type]]="j0",0,--(TRUNC(Tabel3[[#This Row],[debut]])-TRUNC(Tabel3[[#This Row],[fin precedent]])&lt;Tabel3[[#This Row],[delai]]))</f>
        <v>1</v>
      </c>
    </row>
    <row r="503" spans="12:21" ht="18" customHeight="1" x14ac:dyDescent="0.2">
      <c r="L503" s="98" t="s">
        <v>111</v>
      </c>
      <c r="M503" s="98" t="s">
        <v>40</v>
      </c>
      <c r="N503" s="104">
        <v>45948</v>
      </c>
      <c r="O503" s="98">
        <v>27.900000000000002</v>
      </c>
      <c r="P503" s="98">
        <f>INDEX($C$1:$I$1,MATCH(Tabel3[[#This Row],[Type]],Devoirs[[#Headers],[J0]:[J60]],0))</f>
        <v>5</v>
      </c>
      <c r="Q503" s="105" cm="1">
        <f t="array" aca="1" ref="Q50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45965.381770833439</v>
      </c>
      <c r="R503" s="105">
        <f ca="1">MAX(Tabel3[[#This Row],[jour]]+$R$3,IF(ROW()-ROW(Tabel3[[#Headers],[debut]])=1,DATE(2025,9,1)+$R$3,OFFSET(Tabel3[[#This Row],[fin]],-1,)))</f>
        <v>45967.702812500131</v>
      </c>
      <c r="S5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45967.722187500134</v>
      </c>
      <c r="T503" s="102">
        <f ca="1">--(Tabel3[[#This Row],[jour]]&lt;&gt;TRUNC(Tabel3[[#This Row],[fin]]))</f>
        <v>1</v>
      </c>
      <c r="U503" s="102">
        <f ca="1">IF(Tabel3[[#This Row],[Type]]="j0",0,--(TRUNC(Tabel3[[#This Row],[debut]])-TRUNC(Tabel3[[#This Row],[fin precedent]])&lt;Tabel3[[#This Row],[delai]]))</f>
        <v>1</v>
      </c>
    </row>
    <row r="504" spans="12:21" ht="18" customHeight="1" x14ac:dyDescent="0.2">
      <c r="L504" s="98" t="s">
        <v>81</v>
      </c>
      <c r="M504" s="98" t="s">
        <v>40</v>
      </c>
      <c r="N504" s="104">
        <v>45948</v>
      </c>
      <c r="O504" s="98">
        <v>47.7</v>
      </c>
      <c r="P504" s="98">
        <f>INDEX($C$1:$I$1,MATCH(Tabel3[[#This Row],[Type]],Devoirs[[#Headers],[J0]:[J60]],0))</f>
        <v>5</v>
      </c>
      <c r="Q504" s="105" cm="1">
        <f t="array" aca="1" ref="Q50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45965.425937500106</v>
      </c>
      <c r="R504" s="105">
        <f ca="1">MAX(Tabel3[[#This Row],[jour]]+$R$3,IF(ROW()-ROW(Tabel3[[#Headers],[debut]])=1,DATE(2025,9,1)+$R$3,OFFSET(Tabel3[[#This Row],[fin]],-1,)))</f>
        <v>45967.722187500134</v>
      </c>
      <c r="S5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45968.338645833472</v>
      </c>
      <c r="T504" s="102">
        <f ca="1">--(Tabel3[[#This Row],[jour]]&lt;&gt;TRUNC(Tabel3[[#This Row],[fin]]))</f>
        <v>1</v>
      </c>
      <c r="U504" s="102">
        <f ca="1">IF(Tabel3[[#This Row],[Type]]="j0",0,--(TRUNC(Tabel3[[#This Row],[debut]])-TRUNC(Tabel3[[#This Row],[fin precedent]])&lt;Tabel3[[#This Row],[delai]]))</f>
        <v>1</v>
      </c>
    </row>
    <row r="505" spans="12:21" ht="18" customHeight="1" x14ac:dyDescent="0.2">
      <c r="L505" s="98" t="s">
        <v>60</v>
      </c>
      <c r="M505" s="98" t="s">
        <v>39</v>
      </c>
      <c r="N505" s="104">
        <v>45948</v>
      </c>
      <c r="O505" s="98">
        <v>24</v>
      </c>
      <c r="P505" s="98">
        <f>INDEX($C$1:$I$1,MATCH(Tabel3[[#This Row],[Type]],Devoirs[[#Headers],[J0]:[J60]],0))</f>
        <v>4</v>
      </c>
      <c r="Q505" s="105" cm="1">
        <f t="array" aca="1" ref="Q50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45965.446770833441</v>
      </c>
      <c r="R505" s="105">
        <f ca="1">MAX(Tabel3[[#This Row],[jour]]+$R$3,IF(ROW()-ROW(Tabel3[[#Headers],[debut]])=1,DATE(2025,9,1)+$R$3,OFFSET(Tabel3[[#This Row],[fin]],-1,)))</f>
        <v>45968.338645833472</v>
      </c>
      <c r="S5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45968.355312500142</v>
      </c>
      <c r="T505" s="102">
        <f ca="1">--(Tabel3[[#This Row],[jour]]&lt;&gt;TRUNC(Tabel3[[#This Row],[fin]]))</f>
        <v>1</v>
      </c>
      <c r="U505" s="102">
        <f ca="1">IF(Tabel3[[#This Row],[Type]]="j0",0,--(TRUNC(Tabel3[[#This Row],[debut]])-TRUNC(Tabel3[[#This Row],[fin precedent]])&lt;Tabel3[[#This Row],[delai]]))</f>
        <v>1</v>
      </c>
    </row>
    <row r="506" spans="12:21" ht="18" customHeight="1" x14ac:dyDescent="0.2">
      <c r="L506" s="98" t="s">
        <v>79</v>
      </c>
      <c r="M506" s="98" t="s">
        <v>39</v>
      </c>
      <c r="N506" s="104">
        <v>45948</v>
      </c>
      <c r="O506" s="98">
        <v>48.6</v>
      </c>
      <c r="P506" s="98">
        <f>INDEX($C$1:$I$1,MATCH(Tabel3[[#This Row],[Type]],Devoirs[[#Headers],[J0]:[J60]],0))</f>
        <v>4</v>
      </c>
      <c r="Q506" s="105" cm="1">
        <f t="array" aca="1" ref="Q50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45965.488958333444</v>
      </c>
      <c r="R506" s="105">
        <f ca="1">MAX(Tabel3[[#This Row],[jour]]+$R$3,IF(ROW()-ROW(Tabel3[[#Headers],[debut]])=1,DATE(2025,9,1)+$R$3,OFFSET(Tabel3[[#This Row],[fin]],-1,)))</f>
        <v>45968.355312500142</v>
      </c>
      <c r="S5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45968.389062500144</v>
      </c>
      <c r="T506" s="102">
        <f ca="1">--(Tabel3[[#This Row],[jour]]&lt;&gt;TRUNC(Tabel3[[#This Row],[fin]]))</f>
        <v>1</v>
      </c>
      <c r="U506" s="102">
        <f ca="1">IF(Tabel3[[#This Row],[Type]]="j0",0,--(TRUNC(Tabel3[[#This Row],[debut]])-TRUNC(Tabel3[[#This Row],[fin precedent]])&lt;Tabel3[[#This Row],[delai]]))</f>
        <v>1</v>
      </c>
    </row>
    <row r="507" spans="12:21" ht="18" customHeight="1" x14ac:dyDescent="0.2">
      <c r="L507" s="98" t="s">
        <v>48</v>
      </c>
      <c r="M507" s="98" t="s">
        <v>41</v>
      </c>
      <c r="N507" s="104">
        <v>45949</v>
      </c>
      <c r="O507" s="98">
        <v>9.6</v>
      </c>
      <c r="P507" s="98">
        <f>INDEX($C$1:$I$1,MATCH(Tabel3[[#This Row],[Type]],Devoirs[[#Headers],[J0]:[J60]],0))</f>
        <v>15</v>
      </c>
      <c r="Q507" s="105" cm="1">
        <f t="array" aca="1" ref="Q50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45951.488784722271</v>
      </c>
      <c r="R507" s="105">
        <f ca="1">MAX(Tabel3[[#This Row],[jour]]+$R$3,IF(ROW()-ROW(Tabel3[[#Headers],[debut]])=1,DATE(2025,9,1)+$R$3,OFFSET(Tabel3[[#This Row],[fin]],-1,)))</f>
        <v>45968.389062500144</v>
      </c>
      <c r="S5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45968.395729166812</v>
      </c>
      <c r="T507" s="102">
        <f ca="1">--(Tabel3[[#This Row],[jour]]&lt;&gt;TRUNC(Tabel3[[#This Row],[fin]]))</f>
        <v>1</v>
      </c>
      <c r="U507" s="102">
        <f ca="1">IF(Tabel3[[#This Row],[Type]]="j0",0,--(TRUNC(Tabel3[[#This Row],[debut]])-TRUNC(Tabel3[[#This Row],[fin precedent]])&lt;Tabel3[[#This Row],[delai]]))</f>
        <v>0</v>
      </c>
    </row>
    <row r="508" spans="12:21" ht="18" customHeight="1" x14ac:dyDescent="0.2">
      <c r="L508" s="98" t="s">
        <v>58</v>
      </c>
      <c r="M508" s="98" t="s">
        <v>41</v>
      </c>
      <c r="N508" s="104">
        <v>45949</v>
      </c>
      <c r="O508" s="98">
        <v>16.8</v>
      </c>
      <c r="P508" s="98">
        <f>INDEX($C$1:$I$1,MATCH(Tabel3[[#This Row],[Type]],Devoirs[[#Headers],[J0]:[J60]],0))</f>
        <v>15</v>
      </c>
      <c r="Q508" s="105" cm="1">
        <f t="array" aca="1" ref="Q5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45951.506284722273</v>
      </c>
      <c r="R508" s="105">
        <f ca="1">MAX(Tabel3[[#This Row],[jour]]+$R$3,IF(ROW()-ROW(Tabel3[[#Headers],[debut]])=1,DATE(2025,9,1)+$R$3,OFFSET(Tabel3[[#This Row],[fin]],-1,)))</f>
        <v>45968.395729166812</v>
      </c>
      <c r="S5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45968.407395833477</v>
      </c>
      <c r="T508" s="102">
        <f ca="1">--(Tabel3[[#This Row],[jour]]&lt;&gt;TRUNC(Tabel3[[#This Row],[fin]]))</f>
        <v>1</v>
      </c>
      <c r="U508" s="102">
        <f ca="1">IF(Tabel3[[#This Row],[Type]]="j0",0,--(TRUNC(Tabel3[[#This Row],[debut]])-TRUNC(Tabel3[[#This Row],[fin precedent]])&lt;Tabel3[[#This Row],[delai]]))</f>
        <v>0</v>
      </c>
    </row>
    <row r="509" spans="12:21" ht="18" customHeight="1" x14ac:dyDescent="0.2">
      <c r="L509" s="98" t="s">
        <v>131</v>
      </c>
      <c r="M509" s="98" t="s">
        <v>41</v>
      </c>
      <c r="N509" s="104">
        <v>45949</v>
      </c>
      <c r="O509" s="98">
        <v>16.8</v>
      </c>
      <c r="P509" s="98">
        <f>INDEX($C$1:$I$1,MATCH(Tabel3[[#This Row],[Type]],Devoirs[[#Headers],[J0]:[J60]],0))</f>
        <v>15</v>
      </c>
      <c r="Q509" s="105" cm="1">
        <f t="array" aca="1" ref="Q5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45951.523784722274</v>
      </c>
      <c r="R509" s="105">
        <f ca="1">MAX(Tabel3[[#This Row],[jour]]+$R$3,IF(ROW()-ROW(Tabel3[[#Headers],[debut]])=1,DATE(2025,9,1)+$R$3,OFFSET(Tabel3[[#This Row],[fin]],-1,)))</f>
        <v>45968.407395833477</v>
      </c>
      <c r="S5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45968.419062500143</v>
      </c>
      <c r="T509" s="102">
        <f ca="1">--(Tabel3[[#This Row],[jour]]&lt;&gt;TRUNC(Tabel3[[#This Row],[fin]]))</f>
        <v>1</v>
      </c>
      <c r="U509" s="102">
        <f ca="1">IF(Tabel3[[#This Row],[Type]]="j0",0,--(TRUNC(Tabel3[[#This Row],[debut]])-TRUNC(Tabel3[[#This Row],[fin precedent]])&lt;Tabel3[[#This Row],[delai]]))</f>
        <v>0</v>
      </c>
    </row>
    <row r="510" spans="12:21" ht="18" customHeight="1" x14ac:dyDescent="0.2">
      <c r="L510" s="98" t="s">
        <v>52</v>
      </c>
      <c r="M510" s="98" t="s">
        <v>41</v>
      </c>
      <c r="N510" s="104">
        <v>45949</v>
      </c>
      <c r="O510" s="98">
        <v>30.599999999999998</v>
      </c>
      <c r="P510" s="98">
        <f>INDEX($C$1:$I$1,MATCH(Tabel3[[#This Row],[Type]],Devoirs[[#Headers],[J0]:[J60]],0))</f>
        <v>15</v>
      </c>
      <c r="Q510" s="105" cm="1">
        <f t="array" aca="1" ref="Q5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45951.555659722275</v>
      </c>
      <c r="R510" s="105">
        <f ca="1">MAX(Tabel3[[#This Row],[jour]]+$R$3,IF(ROW()-ROW(Tabel3[[#Headers],[debut]])=1,DATE(2025,9,1)+$R$3,OFFSET(Tabel3[[#This Row],[fin]],-1,)))</f>
        <v>45968.419062500143</v>
      </c>
      <c r="S5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45968.440312500141</v>
      </c>
      <c r="T510" s="102">
        <f ca="1">--(Tabel3[[#This Row],[jour]]&lt;&gt;TRUNC(Tabel3[[#This Row],[fin]]))</f>
        <v>1</v>
      </c>
      <c r="U510" s="102">
        <f ca="1">IF(Tabel3[[#This Row],[Type]]="j0",0,--(TRUNC(Tabel3[[#This Row],[debut]])-TRUNC(Tabel3[[#This Row],[fin precedent]])&lt;Tabel3[[#This Row],[delai]]))</f>
        <v>0</v>
      </c>
    </row>
    <row r="511" spans="12:21" ht="18" customHeight="1" x14ac:dyDescent="0.2">
      <c r="L511" s="98" t="s">
        <v>375</v>
      </c>
      <c r="M511" s="98" t="s">
        <v>41</v>
      </c>
      <c r="N511" s="104">
        <v>45949</v>
      </c>
      <c r="O511" s="98">
        <v>31.2</v>
      </c>
      <c r="P511" s="98">
        <f>INDEX($C$1:$I$1,MATCH(Tabel3[[#This Row],[Type]],Devoirs[[#Headers],[J0]:[J60]],0))</f>
        <v>15</v>
      </c>
      <c r="Q511" s="105" cm="1">
        <f t="array" aca="1" ref="Q5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45951.588159722276</v>
      </c>
      <c r="R511" s="105">
        <f ca="1">MAX(Tabel3[[#This Row],[jour]]+$R$3,IF(ROW()-ROW(Tabel3[[#Headers],[debut]])=1,DATE(2025,9,1)+$R$3,OFFSET(Tabel3[[#This Row],[fin]],-1,)))</f>
        <v>45968.440312500141</v>
      </c>
      <c r="S5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45968.461979166808</v>
      </c>
      <c r="T511" s="102">
        <f ca="1">--(Tabel3[[#This Row],[jour]]&lt;&gt;TRUNC(Tabel3[[#This Row],[fin]]))</f>
        <v>1</v>
      </c>
      <c r="U511" s="102">
        <f ca="1">IF(Tabel3[[#This Row],[Type]]="j0",0,--(TRUNC(Tabel3[[#This Row],[debut]])-TRUNC(Tabel3[[#This Row],[fin precedent]])&lt;Tabel3[[#This Row],[delai]]))</f>
        <v>0</v>
      </c>
    </row>
    <row r="512" spans="12:21" ht="18" customHeight="1" x14ac:dyDescent="0.2">
      <c r="L512" s="98" t="s">
        <v>54</v>
      </c>
      <c r="M512" s="98" t="s">
        <v>39</v>
      </c>
      <c r="N512" s="104">
        <v>45949</v>
      </c>
      <c r="O512" s="98">
        <v>39.6</v>
      </c>
      <c r="P512" s="98">
        <f>INDEX($C$1:$I$1,MATCH(Tabel3[[#This Row],[Type]],Devoirs[[#Headers],[J0]:[J60]],0))</f>
        <v>4</v>
      </c>
      <c r="Q512" s="105" cm="1">
        <f t="array" aca="1" ref="Q5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45965.581770833451</v>
      </c>
      <c r="R512" s="105">
        <f ca="1">MAX(Tabel3[[#This Row],[jour]]+$R$3,IF(ROW()-ROW(Tabel3[[#Headers],[debut]])=1,DATE(2025,9,1)+$R$3,OFFSET(Tabel3[[#This Row],[fin]],-1,)))</f>
        <v>45968.461979166808</v>
      </c>
      <c r="S5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45968.489479166805</v>
      </c>
      <c r="T512" s="102">
        <f ca="1">--(Tabel3[[#This Row],[jour]]&lt;&gt;TRUNC(Tabel3[[#This Row],[fin]]))</f>
        <v>1</v>
      </c>
      <c r="U512" s="102">
        <f ca="1">IF(Tabel3[[#This Row],[Type]]="j0",0,--(TRUNC(Tabel3[[#This Row],[debut]])-TRUNC(Tabel3[[#This Row],[fin precedent]])&lt;Tabel3[[#This Row],[delai]]))</f>
        <v>1</v>
      </c>
    </row>
    <row r="513" spans="12:21" ht="18" customHeight="1" x14ac:dyDescent="0.2">
      <c r="L513" s="98" t="s">
        <v>97</v>
      </c>
      <c r="M513" s="98" t="s">
        <v>39</v>
      </c>
      <c r="N513" s="104">
        <v>45949</v>
      </c>
      <c r="O513" s="98">
        <v>66</v>
      </c>
      <c r="P513" s="98">
        <f>INDEX($C$1:$I$1,MATCH(Tabel3[[#This Row],[Type]],Devoirs[[#Headers],[J0]:[J60]],0))</f>
        <v>4</v>
      </c>
      <c r="Q513" s="105" cm="1">
        <f t="array" aca="1" ref="Q5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45965.639062500115</v>
      </c>
      <c r="R513" s="105">
        <f ca="1">MAX(Tabel3[[#This Row],[jour]]+$R$3,IF(ROW()-ROW(Tabel3[[#Headers],[debut]])=1,DATE(2025,9,1)+$R$3,OFFSET(Tabel3[[#This Row],[fin]],-1,)))</f>
        <v>45968.489479166805</v>
      </c>
      <c r="S5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45968.535312500135</v>
      </c>
      <c r="T513" s="102">
        <f ca="1">--(Tabel3[[#This Row],[jour]]&lt;&gt;TRUNC(Tabel3[[#This Row],[fin]]))</f>
        <v>1</v>
      </c>
      <c r="U513" s="102">
        <f ca="1">IF(Tabel3[[#This Row],[Type]]="j0",0,--(TRUNC(Tabel3[[#This Row],[debut]])-TRUNC(Tabel3[[#This Row],[fin precedent]])&lt;Tabel3[[#This Row],[delai]]))</f>
        <v>1</v>
      </c>
    </row>
    <row r="514" spans="12:21" ht="18" customHeight="1" x14ac:dyDescent="0.2">
      <c r="L514" s="98" t="s">
        <v>132</v>
      </c>
      <c r="M514" s="98" t="s">
        <v>39</v>
      </c>
      <c r="N514" s="104">
        <v>45950</v>
      </c>
      <c r="O514" s="98">
        <v>48.6</v>
      </c>
      <c r="P514" s="98">
        <f>INDEX($C$1:$I$1,MATCH(Tabel3[[#This Row],[Type]],Devoirs[[#Headers],[J0]:[J60]],0))</f>
        <v>4</v>
      </c>
      <c r="Q514" s="105" cm="1">
        <f t="array" aca="1" ref="Q5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45966.399062500117</v>
      </c>
      <c r="R514" s="105">
        <f ca="1">MAX(Tabel3[[#This Row],[jour]]+$R$3,IF(ROW()-ROW(Tabel3[[#Headers],[debut]])=1,DATE(2025,9,1)+$R$3,OFFSET(Tabel3[[#This Row],[fin]],-1,)))</f>
        <v>45968.535312500135</v>
      </c>
      <c r="S5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45968.569062500137</v>
      </c>
      <c r="T514" s="102">
        <f ca="1">--(Tabel3[[#This Row],[jour]]&lt;&gt;TRUNC(Tabel3[[#This Row],[fin]]))</f>
        <v>1</v>
      </c>
      <c r="U514" s="102">
        <f ca="1">IF(Tabel3[[#This Row],[Type]]="j0",0,--(TRUNC(Tabel3[[#This Row],[debut]])-TRUNC(Tabel3[[#This Row],[fin precedent]])&lt;Tabel3[[#This Row],[delai]]))</f>
        <v>1</v>
      </c>
    </row>
    <row r="515" spans="12:21" ht="18" customHeight="1" x14ac:dyDescent="0.2">
      <c r="L515" s="98" t="s">
        <v>139</v>
      </c>
      <c r="M515" s="98" t="s">
        <v>39</v>
      </c>
      <c r="N515" s="104">
        <v>45950</v>
      </c>
      <c r="O515" s="98">
        <v>64.8</v>
      </c>
      <c r="P515" s="98">
        <f>INDEX($C$1:$I$1,MATCH(Tabel3[[#This Row],[Type]],Devoirs[[#Headers],[J0]:[J60]],0))</f>
        <v>4</v>
      </c>
      <c r="Q515" s="105" cm="1">
        <f t="array" aca="1" ref="Q5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45966.455312500118</v>
      </c>
      <c r="R515" s="105">
        <f ca="1">MAX(Tabel3[[#This Row],[jour]]+$R$3,IF(ROW()-ROW(Tabel3[[#Headers],[debut]])=1,DATE(2025,9,1)+$R$3,OFFSET(Tabel3[[#This Row],[fin]],-1,)))</f>
        <v>45968.569062500137</v>
      </c>
      <c r="S5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45968.614062500135</v>
      </c>
      <c r="T515" s="102">
        <f ca="1">--(Tabel3[[#This Row],[jour]]&lt;&gt;TRUNC(Tabel3[[#This Row],[fin]]))</f>
        <v>1</v>
      </c>
      <c r="U515" s="102">
        <f ca="1">IF(Tabel3[[#This Row],[Type]]="j0",0,--(TRUNC(Tabel3[[#This Row],[debut]])-TRUNC(Tabel3[[#This Row],[fin precedent]])&lt;Tabel3[[#This Row],[delai]]))</f>
        <v>1</v>
      </c>
    </row>
    <row r="516" spans="12:21" ht="18" customHeight="1" x14ac:dyDescent="0.2">
      <c r="L516" s="98" t="s">
        <v>63</v>
      </c>
      <c r="M516" s="98" t="s">
        <v>40</v>
      </c>
      <c r="N516" s="104">
        <v>45951</v>
      </c>
      <c r="O516" s="98">
        <v>31.95</v>
      </c>
      <c r="P516" s="98">
        <f>INDEX($C$1:$I$1,MATCH(Tabel3[[#This Row],[Type]],Devoirs[[#Headers],[J0]:[J60]],0))</f>
        <v>5</v>
      </c>
      <c r="Q516" s="105" cm="1">
        <f t="array" aca="1" ref="Q5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45966.628541666789</v>
      </c>
      <c r="R516" s="105">
        <f ca="1">MAX(Tabel3[[#This Row],[jour]]+$R$3,IF(ROW()-ROW(Tabel3[[#Headers],[debut]])=1,DATE(2025,9,1)+$R$3,OFFSET(Tabel3[[#This Row],[fin]],-1,)))</f>
        <v>45968.614062500135</v>
      </c>
      <c r="S5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45968.636250000134</v>
      </c>
      <c r="T516" s="102">
        <f ca="1">--(Tabel3[[#This Row],[jour]]&lt;&gt;TRUNC(Tabel3[[#This Row],[fin]]))</f>
        <v>1</v>
      </c>
      <c r="U516" s="102">
        <f ca="1">IF(Tabel3[[#This Row],[Type]]="j0",0,--(TRUNC(Tabel3[[#This Row],[debut]])-TRUNC(Tabel3[[#This Row],[fin precedent]])&lt;Tabel3[[#This Row],[delai]]))</f>
        <v>1</v>
      </c>
    </row>
    <row r="517" spans="12:21" ht="18" customHeight="1" x14ac:dyDescent="0.2">
      <c r="L517" s="98" t="s">
        <v>91</v>
      </c>
      <c r="M517" s="98" t="s">
        <v>40</v>
      </c>
      <c r="N517" s="104">
        <v>45951</v>
      </c>
      <c r="O517" s="98">
        <v>31.95</v>
      </c>
      <c r="P517" s="98">
        <f>INDEX($C$1:$I$1,MATCH(Tabel3[[#This Row],[Type]],Devoirs[[#Headers],[J0]:[J60]],0))</f>
        <v>5</v>
      </c>
      <c r="Q517" s="105" cm="1">
        <f t="array" aca="1" ref="Q5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45966.658125000125</v>
      </c>
      <c r="R517" s="105">
        <f ca="1">MAX(Tabel3[[#This Row],[jour]]+$R$3,IF(ROW()-ROW(Tabel3[[#Headers],[debut]])=1,DATE(2025,9,1)+$R$3,OFFSET(Tabel3[[#This Row],[fin]],-1,)))</f>
        <v>45968.636250000134</v>
      </c>
      <c r="S5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45968.658437500133</v>
      </c>
      <c r="T517" s="102">
        <f ca="1">--(Tabel3[[#This Row],[jour]]&lt;&gt;TRUNC(Tabel3[[#This Row],[fin]]))</f>
        <v>1</v>
      </c>
      <c r="U517" s="102">
        <f ca="1">IF(Tabel3[[#This Row],[Type]]="j0",0,--(TRUNC(Tabel3[[#This Row],[debut]])-TRUNC(Tabel3[[#This Row],[fin precedent]])&lt;Tabel3[[#This Row],[delai]]))</f>
        <v>1</v>
      </c>
    </row>
    <row r="518" spans="12:21" ht="18" customHeight="1" x14ac:dyDescent="0.2">
      <c r="L518" s="98" t="s">
        <v>67</v>
      </c>
      <c r="M518" s="98" t="s">
        <v>41</v>
      </c>
      <c r="N518" s="104">
        <v>45952</v>
      </c>
      <c r="O518" s="98">
        <v>9.9</v>
      </c>
      <c r="P518" s="98">
        <f>INDEX($C$1:$I$1,MATCH(Tabel3[[#This Row],[Type]],Devoirs[[#Headers],[J0]:[J60]],0))</f>
        <v>15</v>
      </c>
      <c r="Q518" s="105" cm="1">
        <f t="array" aca="1" ref="Q5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45954.372604166725</v>
      </c>
      <c r="R518" s="105">
        <f ca="1">MAX(Tabel3[[#This Row],[jour]]+$R$3,IF(ROW()-ROW(Tabel3[[#Headers],[debut]])=1,DATE(2025,9,1)+$R$3,OFFSET(Tabel3[[#This Row],[fin]],-1,)))</f>
        <v>45968.658437500133</v>
      </c>
      <c r="S5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45968.665312500132</v>
      </c>
      <c r="T518" s="102">
        <f ca="1">--(Tabel3[[#This Row],[jour]]&lt;&gt;TRUNC(Tabel3[[#This Row],[fin]]))</f>
        <v>1</v>
      </c>
      <c r="U518" s="102">
        <f ca="1">IF(Tabel3[[#This Row],[Type]]="j0",0,--(TRUNC(Tabel3[[#This Row],[debut]])-TRUNC(Tabel3[[#This Row],[fin precedent]])&lt;Tabel3[[#This Row],[delai]]))</f>
        <v>1</v>
      </c>
    </row>
    <row r="519" spans="12:21" ht="18" customHeight="1" x14ac:dyDescent="0.2">
      <c r="L519" s="98" t="s">
        <v>116</v>
      </c>
      <c r="M519" s="98" t="s">
        <v>41</v>
      </c>
      <c r="N519" s="104">
        <v>45952</v>
      </c>
      <c r="O519" s="98">
        <v>33</v>
      </c>
      <c r="P519" s="98">
        <f>INDEX($C$1:$I$1,MATCH(Tabel3[[#This Row],[Type]],Devoirs[[#Headers],[J0]:[J60]],0))</f>
        <v>15</v>
      </c>
      <c r="Q519" s="105" cm="1">
        <f t="array" aca="1" ref="Q51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45954.406979166728</v>
      </c>
      <c r="R519" s="105">
        <f ca="1">MAX(Tabel3[[#This Row],[jour]]+$R$3,IF(ROW()-ROW(Tabel3[[#Headers],[debut]])=1,DATE(2025,9,1)+$R$3,OFFSET(Tabel3[[#This Row],[fin]],-1,)))</f>
        <v>45968.665312500132</v>
      </c>
      <c r="S5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45968.688229166801</v>
      </c>
      <c r="T519" s="102">
        <f ca="1">--(Tabel3[[#This Row],[jour]]&lt;&gt;TRUNC(Tabel3[[#This Row],[fin]]))</f>
        <v>1</v>
      </c>
      <c r="U519" s="102">
        <f ca="1">IF(Tabel3[[#This Row],[Type]]="j0",0,--(TRUNC(Tabel3[[#This Row],[debut]])-TRUNC(Tabel3[[#This Row],[fin precedent]])&lt;Tabel3[[#This Row],[delai]]))</f>
        <v>1</v>
      </c>
    </row>
    <row r="520" spans="12:21" ht="18" customHeight="1" x14ac:dyDescent="0.2">
      <c r="L520" s="98" t="s">
        <v>109</v>
      </c>
      <c r="M520" s="98" t="s">
        <v>41</v>
      </c>
      <c r="N520" s="104">
        <v>45952</v>
      </c>
      <c r="O520" s="98">
        <v>33.6</v>
      </c>
      <c r="P520" s="98">
        <f>INDEX($C$1:$I$1,MATCH(Tabel3[[#This Row],[Type]],Devoirs[[#Headers],[J0]:[J60]],0))</f>
        <v>15</v>
      </c>
      <c r="Q520" s="105" cm="1">
        <f t="array" aca="1" ref="Q52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45954.441979166731</v>
      </c>
      <c r="R520" s="105">
        <f ca="1">MAX(Tabel3[[#This Row],[jour]]+$R$3,IF(ROW()-ROW(Tabel3[[#Headers],[debut]])=1,DATE(2025,9,1)+$R$3,OFFSET(Tabel3[[#This Row],[fin]],-1,)))</f>
        <v>45968.688229166801</v>
      </c>
      <c r="S5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45968.711562500132</v>
      </c>
      <c r="T520" s="102">
        <f ca="1">--(Tabel3[[#This Row],[jour]]&lt;&gt;TRUNC(Tabel3[[#This Row],[fin]]))</f>
        <v>1</v>
      </c>
      <c r="U520" s="102">
        <f ca="1">IF(Tabel3[[#This Row],[Type]]="j0",0,--(TRUNC(Tabel3[[#This Row],[debut]])-TRUNC(Tabel3[[#This Row],[fin precedent]])&lt;Tabel3[[#This Row],[delai]]))</f>
        <v>1</v>
      </c>
    </row>
    <row r="521" spans="12:21" ht="18" customHeight="1" x14ac:dyDescent="0.2">
      <c r="L521" s="98" t="s">
        <v>103</v>
      </c>
      <c r="M521" s="98" t="s">
        <v>40</v>
      </c>
      <c r="N521" s="104">
        <v>45952</v>
      </c>
      <c r="O521" s="98">
        <v>16.2</v>
      </c>
      <c r="P521" s="98">
        <f>INDEX($C$1:$I$1,MATCH(Tabel3[[#This Row],[Type]],Devoirs[[#Headers],[J0]:[J60]],0))</f>
        <v>5</v>
      </c>
      <c r="Q521" s="105" cm="1">
        <f t="array" aca="1" ref="Q52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45967.408020833464</v>
      </c>
      <c r="R521" s="105">
        <f ca="1">MAX(Tabel3[[#This Row],[jour]]+$R$3,IF(ROW()-ROW(Tabel3[[#Headers],[debut]])=1,DATE(2025,9,1)+$R$3,OFFSET(Tabel3[[#This Row],[fin]],-1,)))</f>
        <v>45968.711562500132</v>
      </c>
      <c r="S5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45968.722812500135</v>
      </c>
      <c r="T521" s="102">
        <f ca="1">--(Tabel3[[#This Row],[jour]]&lt;&gt;TRUNC(Tabel3[[#This Row],[fin]]))</f>
        <v>1</v>
      </c>
      <c r="U521" s="102">
        <f ca="1">IF(Tabel3[[#This Row],[Type]]="j0",0,--(TRUNC(Tabel3[[#This Row],[debut]])-TRUNC(Tabel3[[#This Row],[fin precedent]])&lt;Tabel3[[#This Row],[delai]]))</f>
        <v>1</v>
      </c>
    </row>
    <row r="522" spans="12:21" ht="18" customHeight="1" x14ac:dyDescent="0.2">
      <c r="L522" s="98" t="s">
        <v>126</v>
      </c>
      <c r="M522" s="98" t="s">
        <v>40</v>
      </c>
      <c r="N522" s="104">
        <v>45952</v>
      </c>
      <c r="O522" s="98">
        <v>29.7</v>
      </c>
      <c r="P522" s="98">
        <f>INDEX($C$1:$I$1,MATCH(Tabel3[[#This Row],[Type]],Devoirs[[#Headers],[J0]:[J60]],0))</f>
        <v>5</v>
      </c>
      <c r="Q522" s="105" cm="1">
        <f t="array" aca="1" ref="Q52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45967.43552083346</v>
      </c>
      <c r="R522" s="105">
        <f ca="1">MAX(Tabel3[[#This Row],[jour]]+$R$3,IF(ROW()-ROW(Tabel3[[#Headers],[debut]])=1,DATE(2025,9,1)+$R$3,OFFSET(Tabel3[[#This Row],[fin]],-1,)))</f>
        <v>45968.722812500135</v>
      </c>
      <c r="S5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45968.743437500132</v>
      </c>
      <c r="T522" s="102">
        <f ca="1">--(Tabel3[[#This Row],[jour]]&lt;&gt;TRUNC(Tabel3[[#This Row],[fin]]))</f>
        <v>1</v>
      </c>
      <c r="U522" s="102">
        <f ca="1">IF(Tabel3[[#This Row],[Type]]="j0",0,--(TRUNC(Tabel3[[#This Row],[debut]])-TRUNC(Tabel3[[#This Row],[fin precedent]])&lt;Tabel3[[#This Row],[delai]]))</f>
        <v>1</v>
      </c>
    </row>
    <row r="523" spans="12:21" ht="18" customHeight="1" x14ac:dyDescent="0.2">
      <c r="L523" s="98" t="s">
        <v>70</v>
      </c>
      <c r="M523" s="98" t="s">
        <v>40</v>
      </c>
      <c r="N523" s="104">
        <v>45952</v>
      </c>
      <c r="O523" s="98">
        <v>37.800000000000004</v>
      </c>
      <c r="P523" s="98">
        <f>INDEX($C$1:$I$1,MATCH(Tabel3[[#This Row],[Type]],Devoirs[[#Headers],[J0]:[J60]],0))</f>
        <v>5</v>
      </c>
      <c r="Q523" s="105" cm="1">
        <f t="array" aca="1" ref="Q52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45967.470520833464</v>
      </c>
      <c r="R523" s="105">
        <f ca="1">MAX(Tabel3[[#This Row],[jour]]+$R$3,IF(ROW()-ROW(Tabel3[[#Headers],[debut]])=1,DATE(2025,9,1)+$R$3,OFFSET(Tabel3[[#This Row],[fin]],-1,)))</f>
        <v>45968.743437500132</v>
      </c>
      <c r="S5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45971.353020833471</v>
      </c>
      <c r="T523" s="102">
        <f ca="1">--(Tabel3[[#This Row],[jour]]&lt;&gt;TRUNC(Tabel3[[#This Row],[fin]]))</f>
        <v>1</v>
      </c>
      <c r="U523" s="102">
        <f ca="1">IF(Tabel3[[#This Row],[Type]]="j0",0,--(TRUNC(Tabel3[[#This Row],[debut]])-TRUNC(Tabel3[[#This Row],[fin precedent]])&lt;Tabel3[[#This Row],[delai]]))</f>
        <v>1</v>
      </c>
    </row>
    <row r="524" spans="12:21" ht="18" customHeight="1" x14ac:dyDescent="0.2">
      <c r="L524" s="98" t="s">
        <v>71</v>
      </c>
      <c r="M524" s="98" t="s">
        <v>40</v>
      </c>
      <c r="N524" s="104">
        <v>45952</v>
      </c>
      <c r="O524" s="98">
        <v>45.45</v>
      </c>
      <c r="P524" s="98">
        <f>INDEX($C$1:$I$1,MATCH(Tabel3[[#This Row],[Type]],Devoirs[[#Headers],[J0]:[J60]],0))</f>
        <v>5</v>
      </c>
      <c r="Q524" s="105" cm="1">
        <f t="array" aca="1" ref="Q5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45967.512604166797</v>
      </c>
      <c r="R524" s="105">
        <f ca="1">MAX(Tabel3[[#This Row],[jour]]+$R$3,IF(ROW()-ROW(Tabel3[[#Headers],[debut]])=1,DATE(2025,9,1)+$R$3,OFFSET(Tabel3[[#This Row],[fin]],-1,)))</f>
        <v>45971.353020833471</v>
      </c>
      <c r="S5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45971.384583333471</v>
      </c>
      <c r="T524" s="102">
        <f ca="1">--(Tabel3[[#This Row],[jour]]&lt;&gt;TRUNC(Tabel3[[#This Row],[fin]]))</f>
        <v>1</v>
      </c>
      <c r="U524" s="102">
        <f ca="1">IF(Tabel3[[#This Row],[Type]]="j0",0,--(TRUNC(Tabel3[[#This Row],[debut]])-TRUNC(Tabel3[[#This Row],[fin precedent]])&lt;Tabel3[[#This Row],[delai]]))</f>
        <v>1</v>
      </c>
    </row>
    <row r="525" spans="12:21" ht="18" customHeight="1" x14ac:dyDescent="0.2">
      <c r="L525" s="98" t="s">
        <v>65</v>
      </c>
      <c r="M525" s="98" t="s">
        <v>40</v>
      </c>
      <c r="N525" s="104">
        <v>45952</v>
      </c>
      <c r="O525" s="98">
        <v>49.050000000000004</v>
      </c>
      <c r="P525" s="98">
        <f>INDEX($C$1:$I$1,MATCH(Tabel3[[#This Row],[Type]],Devoirs[[#Headers],[J0]:[J60]],0))</f>
        <v>5</v>
      </c>
      <c r="Q525" s="105" cm="1">
        <f t="array" aca="1" ref="Q5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45967.558020833465</v>
      </c>
      <c r="R525" s="105">
        <f ca="1">MAX(Tabel3[[#This Row],[jour]]+$R$3,IF(ROW()-ROW(Tabel3[[#Headers],[debut]])=1,DATE(2025,9,1)+$R$3,OFFSET(Tabel3[[#This Row],[fin]],-1,)))</f>
        <v>45971.384583333471</v>
      </c>
      <c r="S5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45971.418645833473</v>
      </c>
      <c r="T525" s="102">
        <f ca="1">--(Tabel3[[#This Row],[jour]]&lt;&gt;TRUNC(Tabel3[[#This Row],[fin]]))</f>
        <v>1</v>
      </c>
      <c r="U525" s="102">
        <f ca="1">IF(Tabel3[[#This Row],[Type]]="j0",0,--(TRUNC(Tabel3[[#This Row],[debut]])-TRUNC(Tabel3[[#This Row],[fin precedent]])&lt;Tabel3[[#This Row],[delai]]))</f>
        <v>1</v>
      </c>
    </row>
    <row r="526" spans="12:21" ht="18" customHeight="1" x14ac:dyDescent="0.2">
      <c r="L526" s="98" t="s">
        <v>136</v>
      </c>
      <c r="M526" s="98" t="s">
        <v>41</v>
      </c>
      <c r="N526" s="104">
        <v>45953</v>
      </c>
      <c r="O526" s="98">
        <v>17.399999999999999</v>
      </c>
      <c r="P526" s="98">
        <f>INDEX($C$1:$I$1,MATCH(Tabel3[[#This Row],[Type]],Devoirs[[#Headers],[J0]:[J60]],0))</f>
        <v>15</v>
      </c>
      <c r="Q526" s="105" cm="1">
        <f t="array" aca="1" ref="Q5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45957.636875000069</v>
      </c>
      <c r="R526" s="105">
        <f ca="1">MAX(Tabel3[[#This Row],[jour]]+$R$3,IF(ROW()-ROW(Tabel3[[#Headers],[debut]])=1,DATE(2025,9,1)+$R$3,OFFSET(Tabel3[[#This Row],[fin]],-1,)))</f>
        <v>45971.418645833473</v>
      </c>
      <c r="S5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45971.430729166808</v>
      </c>
      <c r="T526" s="102">
        <f ca="1">--(Tabel3[[#This Row],[jour]]&lt;&gt;TRUNC(Tabel3[[#This Row],[fin]]))</f>
        <v>1</v>
      </c>
      <c r="U526" s="102">
        <f ca="1">IF(Tabel3[[#This Row],[Type]]="j0",0,--(TRUNC(Tabel3[[#This Row],[debut]])-TRUNC(Tabel3[[#This Row],[fin precedent]])&lt;Tabel3[[#This Row],[delai]]))</f>
        <v>1</v>
      </c>
    </row>
    <row r="527" spans="12:21" ht="18" customHeight="1" x14ac:dyDescent="0.2">
      <c r="L527" s="98" t="s">
        <v>93</v>
      </c>
      <c r="M527" s="98" t="s">
        <v>41</v>
      </c>
      <c r="N527" s="104">
        <v>45953</v>
      </c>
      <c r="O527" s="98">
        <v>23.4</v>
      </c>
      <c r="P527" s="98">
        <f>INDEX($C$1:$I$1,MATCH(Tabel3[[#This Row],[Type]],Devoirs[[#Headers],[J0]:[J60]],0))</f>
        <v>15</v>
      </c>
      <c r="Q527" s="105" cm="1">
        <f t="array" aca="1" ref="Q5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45957.66125000007</v>
      </c>
      <c r="R527" s="105">
        <f ca="1">MAX(Tabel3[[#This Row],[jour]]+$R$3,IF(ROW()-ROW(Tabel3[[#Headers],[debut]])=1,DATE(2025,9,1)+$R$3,OFFSET(Tabel3[[#This Row],[fin]],-1,)))</f>
        <v>45971.430729166808</v>
      </c>
      <c r="S5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45971.446979166809</v>
      </c>
      <c r="T527" s="102">
        <f ca="1">--(Tabel3[[#This Row],[jour]]&lt;&gt;TRUNC(Tabel3[[#This Row],[fin]]))</f>
        <v>1</v>
      </c>
      <c r="U527" s="102">
        <f ca="1">IF(Tabel3[[#This Row],[Type]]="j0",0,--(TRUNC(Tabel3[[#This Row],[debut]])-TRUNC(Tabel3[[#This Row],[fin precedent]])&lt;Tabel3[[#This Row],[delai]]))</f>
        <v>1</v>
      </c>
    </row>
    <row r="528" spans="12:21" ht="18" customHeight="1" x14ac:dyDescent="0.2">
      <c r="L528" s="98" t="s">
        <v>45</v>
      </c>
      <c r="M528" s="98" t="s">
        <v>41</v>
      </c>
      <c r="N528" s="104">
        <v>45953</v>
      </c>
      <c r="O528" s="98">
        <v>24.599999999999998</v>
      </c>
      <c r="P528" s="98">
        <f>INDEX($C$1:$I$1,MATCH(Tabel3[[#This Row],[Type]],Devoirs[[#Headers],[J0]:[J60]],0))</f>
        <v>15</v>
      </c>
      <c r="Q528" s="105" cm="1">
        <f t="array" aca="1" ref="Q52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45957.686875000072</v>
      </c>
      <c r="R528" s="105">
        <f ca="1">MAX(Tabel3[[#This Row],[jour]]+$R$3,IF(ROW()-ROW(Tabel3[[#Headers],[debut]])=1,DATE(2025,9,1)+$R$3,OFFSET(Tabel3[[#This Row],[fin]],-1,)))</f>
        <v>45971.446979166809</v>
      </c>
      <c r="S5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45971.464062500141</v>
      </c>
      <c r="T528" s="102">
        <f ca="1">--(Tabel3[[#This Row],[jour]]&lt;&gt;TRUNC(Tabel3[[#This Row],[fin]]))</f>
        <v>1</v>
      </c>
      <c r="U528" s="102">
        <f ca="1">IF(Tabel3[[#This Row],[Type]]="j0",0,--(TRUNC(Tabel3[[#This Row],[debut]])-TRUNC(Tabel3[[#This Row],[fin precedent]])&lt;Tabel3[[#This Row],[delai]]))</f>
        <v>1</v>
      </c>
    </row>
    <row r="529" spans="12:21" ht="18" customHeight="1" x14ac:dyDescent="0.2">
      <c r="L529" s="98" t="s">
        <v>134</v>
      </c>
      <c r="M529" s="98" t="s">
        <v>41</v>
      </c>
      <c r="N529" s="104">
        <v>45953</v>
      </c>
      <c r="O529" s="98">
        <v>30.599999999999998</v>
      </c>
      <c r="P529" s="98">
        <f>INDEX($C$1:$I$1,MATCH(Tabel3[[#This Row],[Type]],Devoirs[[#Headers],[J0]:[J60]],0))</f>
        <v>15</v>
      </c>
      <c r="Q529" s="105" cm="1">
        <f t="array" aca="1" ref="Q52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45957.718750000073</v>
      </c>
      <c r="R529" s="105">
        <f ca="1">MAX(Tabel3[[#This Row],[jour]]+$R$3,IF(ROW()-ROW(Tabel3[[#Headers],[debut]])=1,DATE(2025,9,1)+$R$3,OFFSET(Tabel3[[#This Row],[fin]],-1,)))</f>
        <v>45971.464062500141</v>
      </c>
      <c r="S5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45971.485312500139</v>
      </c>
      <c r="T529" s="102">
        <f ca="1">--(Tabel3[[#This Row],[jour]]&lt;&gt;TRUNC(Tabel3[[#This Row],[fin]]))</f>
        <v>1</v>
      </c>
      <c r="U529" s="102">
        <f ca="1">IF(Tabel3[[#This Row],[Type]]="j0",0,--(TRUNC(Tabel3[[#This Row],[debut]])-TRUNC(Tabel3[[#This Row],[fin precedent]])&lt;Tabel3[[#This Row],[delai]]))</f>
        <v>1</v>
      </c>
    </row>
    <row r="530" spans="12:21" ht="18" customHeight="1" x14ac:dyDescent="0.2">
      <c r="L530" s="98" t="s">
        <v>60</v>
      </c>
      <c r="M530" s="98" t="s">
        <v>40</v>
      </c>
      <c r="N530" s="104">
        <v>45953</v>
      </c>
      <c r="O530" s="98">
        <v>18</v>
      </c>
      <c r="P530" s="98">
        <f>INDEX($C$1:$I$1,MATCH(Tabel3[[#This Row],[Type]],Devoirs[[#Headers],[J0]:[J60]],0))</f>
        <v>5</v>
      </c>
      <c r="Q530" s="105" cm="1">
        <f t="array" aca="1" ref="Q5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45968.355312500142</v>
      </c>
      <c r="R530" s="105">
        <f ca="1">MAX(Tabel3[[#This Row],[jour]]+$R$3,IF(ROW()-ROW(Tabel3[[#Headers],[debut]])=1,DATE(2025,9,1)+$R$3,OFFSET(Tabel3[[#This Row],[fin]],-1,)))</f>
        <v>45971.485312500139</v>
      </c>
      <c r="S5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45971.497812500136</v>
      </c>
      <c r="T530" s="102">
        <f ca="1">--(Tabel3[[#This Row],[jour]]&lt;&gt;TRUNC(Tabel3[[#This Row],[fin]]))</f>
        <v>1</v>
      </c>
      <c r="U530" s="102">
        <f ca="1">IF(Tabel3[[#This Row],[Type]]="j0",0,--(TRUNC(Tabel3[[#This Row],[debut]])-TRUNC(Tabel3[[#This Row],[fin precedent]])&lt;Tabel3[[#This Row],[delai]]))</f>
        <v>1</v>
      </c>
    </row>
    <row r="531" spans="12:21" ht="18" customHeight="1" x14ac:dyDescent="0.2">
      <c r="L531" s="98" t="s">
        <v>79</v>
      </c>
      <c r="M531" s="98" t="s">
        <v>40</v>
      </c>
      <c r="N531" s="104">
        <v>45953</v>
      </c>
      <c r="O531" s="98">
        <v>36.450000000000003</v>
      </c>
      <c r="P531" s="98">
        <f>INDEX($C$1:$I$1,MATCH(Tabel3[[#This Row],[Type]],Devoirs[[#Headers],[J0]:[J60]],0))</f>
        <v>5</v>
      </c>
      <c r="Q531" s="105" cm="1">
        <f t="array" aca="1" ref="Q53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45968.389062500144</v>
      </c>
      <c r="R531" s="105">
        <f ca="1">MAX(Tabel3[[#This Row],[jour]]+$R$3,IF(ROW()-ROW(Tabel3[[#Headers],[debut]])=1,DATE(2025,9,1)+$R$3,OFFSET(Tabel3[[#This Row],[fin]],-1,)))</f>
        <v>45971.497812500136</v>
      </c>
      <c r="S5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45971.523125000138</v>
      </c>
      <c r="T531" s="102">
        <f ca="1">--(Tabel3[[#This Row],[jour]]&lt;&gt;TRUNC(Tabel3[[#This Row],[fin]]))</f>
        <v>1</v>
      </c>
      <c r="U531" s="102">
        <f ca="1">IF(Tabel3[[#This Row],[Type]]="j0",0,--(TRUNC(Tabel3[[#This Row],[debut]])-TRUNC(Tabel3[[#This Row],[fin precedent]])&lt;Tabel3[[#This Row],[delai]]))</f>
        <v>1</v>
      </c>
    </row>
    <row r="532" spans="12:21" ht="18" customHeight="1" x14ac:dyDescent="0.2">
      <c r="L532" s="98" t="s">
        <v>84</v>
      </c>
      <c r="M532" s="98" t="s">
        <v>41</v>
      </c>
      <c r="N532" s="104">
        <v>45954</v>
      </c>
      <c r="O532" s="98">
        <v>12</v>
      </c>
      <c r="P532" s="98">
        <f>INDEX($C$1:$I$1,MATCH(Tabel3[[#This Row],[Type]],Devoirs[[#Headers],[J0]:[J60]],0))</f>
        <v>15</v>
      </c>
      <c r="Q532" s="105" cm="1">
        <f t="array" aca="1" ref="Q53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45959.409444444522</v>
      </c>
      <c r="R532" s="105">
        <f ca="1">MAX(Tabel3[[#This Row],[jour]]+$R$3,IF(ROW()-ROW(Tabel3[[#Headers],[debut]])=1,DATE(2025,9,1)+$R$3,OFFSET(Tabel3[[#This Row],[fin]],-1,)))</f>
        <v>45971.523125000138</v>
      </c>
      <c r="S5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45971.531458333469</v>
      </c>
      <c r="T532" s="102">
        <f ca="1">--(Tabel3[[#This Row],[jour]]&lt;&gt;TRUNC(Tabel3[[#This Row],[fin]]))</f>
        <v>1</v>
      </c>
      <c r="U532" s="102">
        <f ca="1">IF(Tabel3[[#This Row],[Type]]="j0",0,--(TRUNC(Tabel3[[#This Row],[debut]])-TRUNC(Tabel3[[#This Row],[fin precedent]])&lt;Tabel3[[#This Row],[delai]]))</f>
        <v>1</v>
      </c>
    </row>
    <row r="533" spans="12:21" ht="18" customHeight="1" x14ac:dyDescent="0.2">
      <c r="L533" s="98" t="s">
        <v>68</v>
      </c>
      <c r="M533" s="98" t="s">
        <v>41</v>
      </c>
      <c r="N533" s="104">
        <v>45954</v>
      </c>
      <c r="O533" s="98">
        <v>18</v>
      </c>
      <c r="P533" s="98">
        <f>INDEX($C$1:$I$1,MATCH(Tabel3[[#This Row],[Type]],Devoirs[[#Headers],[J0]:[J60]],0))</f>
        <v>15</v>
      </c>
      <c r="Q533" s="105" cm="1">
        <f t="array" aca="1" ref="Q5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45959.428194444525</v>
      </c>
      <c r="R533" s="105">
        <f ca="1">MAX(Tabel3[[#This Row],[jour]]+$R$3,IF(ROW()-ROW(Tabel3[[#Headers],[debut]])=1,DATE(2025,9,1)+$R$3,OFFSET(Tabel3[[#This Row],[fin]],-1,)))</f>
        <v>45971.531458333469</v>
      </c>
      <c r="S5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45971.543958333466</v>
      </c>
      <c r="T533" s="102">
        <f ca="1">--(Tabel3[[#This Row],[jour]]&lt;&gt;TRUNC(Tabel3[[#This Row],[fin]]))</f>
        <v>1</v>
      </c>
      <c r="U533" s="102">
        <f ca="1">IF(Tabel3[[#This Row],[Type]]="j0",0,--(TRUNC(Tabel3[[#This Row],[debut]])-TRUNC(Tabel3[[#This Row],[fin precedent]])&lt;Tabel3[[#This Row],[delai]]))</f>
        <v>1</v>
      </c>
    </row>
    <row r="534" spans="12:21" ht="18" customHeight="1" x14ac:dyDescent="0.2">
      <c r="L534" s="98" t="s">
        <v>121</v>
      </c>
      <c r="M534" s="98" t="s">
        <v>41</v>
      </c>
      <c r="N534" s="104">
        <v>45954</v>
      </c>
      <c r="O534" s="98">
        <v>20.7</v>
      </c>
      <c r="P534" s="98">
        <f>INDEX($C$1:$I$1,MATCH(Tabel3[[#This Row],[Type]],Devoirs[[#Headers],[J0]:[J60]],0))</f>
        <v>15</v>
      </c>
      <c r="Q534" s="105" cm="1">
        <f t="array" aca="1" ref="Q5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45959.449756944523</v>
      </c>
      <c r="R534" s="105">
        <f ca="1">MAX(Tabel3[[#This Row],[jour]]+$R$3,IF(ROW()-ROW(Tabel3[[#Headers],[debut]])=1,DATE(2025,9,1)+$R$3,OFFSET(Tabel3[[#This Row],[fin]],-1,)))</f>
        <v>45971.543958333466</v>
      </c>
      <c r="S5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45971.558333333465</v>
      </c>
      <c r="T534" s="102">
        <f ca="1">--(Tabel3[[#This Row],[jour]]&lt;&gt;TRUNC(Tabel3[[#This Row],[fin]]))</f>
        <v>1</v>
      </c>
      <c r="U534" s="102">
        <f ca="1">IF(Tabel3[[#This Row],[Type]]="j0",0,--(TRUNC(Tabel3[[#This Row],[debut]])-TRUNC(Tabel3[[#This Row],[fin precedent]])&lt;Tabel3[[#This Row],[delai]]))</f>
        <v>1</v>
      </c>
    </row>
    <row r="535" spans="12:21" ht="18" customHeight="1" x14ac:dyDescent="0.2">
      <c r="L535" s="98" t="s">
        <v>112</v>
      </c>
      <c r="M535" s="98" t="s">
        <v>41</v>
      </c>
      <c r="N535" s="104">
        <v>45954</v>
      </c>
      <c r="O535" s="98">
        <v>29.4</v>
      </c>
      <c r="P535" s="98">
        <f>INDEX($C$1:$I$1,MATCH(Tabel3[[#This Row],[Type]],Devoirs[[#Headers],[J0]:[J60]],0))</f>
        <v>15</v>
      </c>
      <c r="Q535" s="105" cm="1">
        <f t="array" aca="1" ref="Q5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45959.480381944522</v>
      </c>
      <c r="R535" s="105">
        <f ca="1">MAX(Tabel3[[#This Row],[jour]]+$R$3,IF(ROW()-ROW(Tabel3[[#Headers],[debut]])=1,DATE(2025,9,1)+$R$3,OFFSET(Tabel3[[#This Row],[fin]],-1,)))</f>
        <v>45971.558333333465</v>
      </c>
      <c r="S5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45971.578750000132</v>
      </c>
      <c r="T535" s="102">
        <f ca="1">--(Tabel3[[#This Row],[jour]]&lt;&gt;TRUNC(Tabel3[[#This Row],[fin]]))</f>
        <v>1</v>
      </c>
      <c r="U535" s="102">
        <f ca="1">IF(Tabel3[[#This Row],[Type]]="j0",0,--(TRUNC(Tabel3[[#This Row],[debut]])-TRUNC(Tabel3[[#This Row],[fin precedent]])&lt;Tabel3[[#This Row],[delai]]))</f>
        <v>1</v>
      </c>
    </row>
    <row r="536" spans="12:21" ht="18" customHeight="1" x14ac:dyDescent="0.2">
      <c r="L536" s="98" t="s">
        <v>100</v>
      </c>
      <c r="M536" s="98" t="s">
        <v>41</v>
      </c>
      <c r="N536" s="104">
        <v>45954</v>
      </c>
      <c r="O536" s="98">
        <v>30</v>
      </c>
      <c r="P536" s="98">
        <f>INDEX($C$1:$I$1,MATCH(Tabel3[[#This Row],[Type]],Devoirs[[#Headers],[J0]:[J60]],0))</f>
        <v>15</v>
      </c>
      <c r="Q536" s="105" cm="1">
        <f t="array" aca="1" ref="Q5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45959.511631944522</v>
      </c>
      <c r="R536" s="105">
        <f ca="1">MAX(Tabel3[[#This Row],[jour]]+$R$3,IF(ROW()-ROW(Tabel3[[#Headers],[debut]])=1,DATE(2025,9,1)+$R$3,OFFSET(Tabel3[[#This Row],[fin]],-1,)))</f>
        <v>45971.578750000132</v>
      </c>
      <c r="S5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45971.599583333467</v>
      </c>
      <c r="T536" s="102">
        <f ca="1">--(Tabel3[[#This Row],[jour]]&lt;&gt;TRUNC(Tabel3[[#This Row],[fin]]))</f>
        <v>1</v>
      </c>
      <c r="U536" s="102">
        <f ca="1">IF(Tabel3[[#This Row],[Type]]="j0",0,--(TRUNC(Tabel3[[#This Row],[debut]])-TRUNC(Tabel3[[#This Row],[fin precedent]])&lt;Tabel3[[#This Row],[delai]]))</f>
        <v>1</v>
      </c>
    </row>
    <row r="537" spans="12:21" ht="18" customHeight="1" x14ac:dyDescent="0.2">
      <c r="L537" s="98" t="s">
        <v>101</v>
      </c>
      <c r="M537" s="98" t="s">
        <v>41</v>
      </c>
      <c r="N537" s="104">
        <v>45954</v>
      </c>
      <c r="O537" s="98">
        <v>30</v>
      </c>
      <c r="P537" s="98">
        <f>INDEX($C$1:$I$1,MATCH(Tabel3[[#This Row],[Type]],Devoirs[[#Headers],[J0]:[J60]],0))</f>
        <v>15</v>
      </c>
      <c r="Q537" s="105" cm="1">
        <f t="array" aca="1" ref="Q53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45959.542881944522</v>
      </c>
      <c r="R537" s="105">
        <f ca="1">MAX(Tabel3[[#This Row],[jour]]+$R$3,IF(ROW()-ROW(Tabel3[[#Headers],[debut]])=1,DATE(2025,9,1)+$R$3,OFFSET(Tabel3[[#This Row],[fin]],-1,)))</f>
        <v>45971.599583333467</v>
      </c>
      <c r="S5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45971.620416666803</v>
      </c>
      <c r="T537" s="102">
        <f ca="1">--(Tabel3[[#This Row],[jour]]&lt;&gt;TRUNC(Tabel3[[#This Row],[fin]]))</f>
        <v>1</v>
      </c>
      <c r="U537" s="102">
        <f ca="1">IF(Tabel3[[#This Row],[Type]]="j0",0,--(TRUNC(Tabel3[[#This Row],[debut]])-TRUNC(Tabel3[[#This Row],[fin precedent]])&lt;Tabel3[[#This Row],[delai]]))</f>
        <v>1</v>
      </c>
    </row>
    <row r="538" spans="12:21" ht="18" customHeight="1" x14ac:dyDescent="0.2">
      <c r="L538" s="98" t="s">
        <v>110</v>
      </c>
      <c r="M538" s="98" t="s">
        <v>41</v>
      </c>
      <c r="N538" s="104">
        <v>45954</v>
      </c>
      <c r="O538" s="98">
        <v>30</v>
      </c>
      <c r="P538" s="98">
        <f>INDEX($C$1:$I$1,MATCH(Tabel3[[#This Row],[Type]],Devoirs[[#Headers],[J0]:[J60]],0))</f>
        <v>15</v>
      </c>
      <c r="Q538" s="105" cm="1">
        <f t="array" aca="1" ref="Q53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45959.574131944522</v>
      </c>
      <c r="R538" s="105">
        <f ca="1">MAX(Tabel3[[#This Row],[jour]]+$R$3,IF(ROW()-ROW(Tabel3[[#Headers],[debut]])=1,DATE(2025,9,1)+$R$3,OFFSET(Tabel3[[#This Row],[fin]],-1,)))</f>
        <v>45971.620416666803</v>
      </c>
      <c r="S5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45971.641250000139</v>
      </c>
      <c r="T538" s="102">
        <f ca="1">--(Tabel3[[#This Row],[jour]]&lt;&gt;TRUNC(Tabel3[[#This Row],[fin]]))</f>
        <v>1</v>
      </c>
      <c r="U538" s="102">
        <f ca="1">IF(Tabel3[[#This Row],[Type]]="j0",0,--(TRUNC(Tabel3[[#This Row],[debut]])-TRUNC(Tabel3[[#This Row],[fin precedent]])&lt;Tabel3[[#This Row],[delai]]))</f>
        <v>1</v>
      </c>
    </row>
    <row r="539" spans="12:21" ht="18" customHeight="1" x14ac:dyDescent="0.2">
      <c r="L539" s="98" t="s">
        <v>54</v>
      </c>
      <c r="M539" s="98" t="s">
        <v>40</v>
      </c>
      <c r="N539" s="104">
        <v>45954</v>
      </c>
      <c r="O539" s="98">
        <v>29.7</v>
      </c>
      <c r="P539" s="98">
        <f>INDEX($C$1:$I$1,MATCH(Tabel3[[#This Row],[Type]],Devoirs[[#Headers],[J0]:[J60]],0))</f>
        <v>5</v>
      </c>
      <c r="Q539" s="105" cm="1">
        <f t="array" aca="1" ref="Q53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45968.489479166805</v>
      </c>
      <c r="R539" s="105">
        <f ca="1">MAX(Tabel3[[#This Row],[jour]]+$R$3,IF(ROW()-ROW(Tabel3[[#Headers],[debut]])=1,DATE(2025,9,1)+$R$3,OFFSET(Tabel3[[#This Row],[fin]],-1,)))</f>
        <v>45971.641250000139</v>
      </c>
      <c r="S5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45971.661875000136</v>
      </c>
      <c r="T539" s="102">
        <f ca="1">--(Tabel3[[#This Row],[jour]]&lt;&gt;TRUNC(Tabel3[[#This Row],[fin]]))</f>
        <v>1</v>
      </c>
      <c r="U539" s="102">
        <f ca="1">IF(Tabel3[[#This Row],[Type]]="j0",0,--(TRUNC(Tabel3[[#This Row],[debut]])-TRUNC(Tabel3[[#This Row],[fin precedent]])&lt;Tabel3[[#This Row],[delai]]))</f>
        <v>1</v>
      </c>
    </row>
    <row r="540" spans="12:21" ht="18" customHeight="1" x14ac:dyDescent="0.2">
      <c r="L540" s="98" t="s">
        <v>97</v>
      </c>
      <c r="M540" s="98" t="s">
        <v>40</v>
      </c>
      <c r="N540" s="104">
        <v>45954</v>
      </c>
      <c r="O540" s="98">
        <v>49.5</v>
      </c>
      <c r="P540" s="98">
        <f>INDEX($C$1:$I$1,MATCH(Tabel3[[#This Row],[Type]],Devoirs[[#Headers],[J0]:[J60]],0))</f>
        <v>5</v>
      </c>
      <c r="Q540" s="105" cm="1">
        <f t="array" aca="1" ref="Q54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45968.535312500135</v>
      </c>
      <c r="R540" s="105">
        <f ca="1">MAX(Tabel3[[#This Row],[jour]]+$R$3,IF(ROW()-ROW(Tabel3[[#Headers],[debut]])=1,DATE(2025,9,1)+$R$3,OFFSET(Tabel3[[#This Row],[fin]],-1,)))</f>
        <v>45971.661875000136</v>
      </c>
      <c r="S5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45971.696250000139</v>
      </c>
      <c r="T540" s="102">
        <f ca="1">--(Tabel3[[#This Row],[jour]]&lt;&gt;TRUNC(Tabel3[[#This Row],[fin]]))</f>
        <v>1</v>
      </c>
      <c r="U540" s="102">
        <f ca="1">IF(Tabel3[[#This Row],[Type]]="j0",0,--(TRUNC(Tabel3[[#This Row],[debut]])-TRUNC(Tabel3[[#This Row],[fin precedent]])&lt;Tabel3[[#This Row],[delai]]))</f>
        <v>1</v>
      </c>
    </row>
    <row r="541" spans="12:21" ht="18" customHeight="1" x14ac:dyDescent="0.2">
      <c r="L541" s="98" t="s">
        <v>119</v>
      </c>
      <c r="M541" s="98" t="s">
        <v>41</v>
      </c>
      <c r="N541" s="104">
        <v>45955</v>
      </c>
      <c r="O541" s="98">
        <v>10.199999999999999</v>
      </c>
      <c r="P541" s="98">
        <f>INDEX($C$1:$I$1,MATCH(Tabel3[[#This Row],[Type]],Devoirs[[#Headers],[J0]:[J60]],0))</f>
        <v>15</v>
      </c>
      <c r="Q541" s="105" cm="1">
        <f t="array" aca="1" ref="Q5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45960.443854166748</v>
      </c>
      <c r="R541" s="105">
        <f ca="1">MAX(Tabel3[[#This Row],[jour]]+$R$3,IF(ROW()-ROW(Tabel3[[#Headers],[debut]])=1,DATE(2025,9,1)+$R$3,OFFSET(Tabel3[[#This Row],[fin]],-1,)))</f>
        <v>45971.696250000139</v>
      </c>
      <c r="S5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45971.703333333469</v>
      </c>
      <c r="T541" s="102">
        <f ca="1">--(Tabel3[[#This Row],[jour]]&lt;&gt;TRUNC(Tabel3[[#This Row],[fin]]))</f>
        <v>1</v>
      </c>
      <c r="U541" s="102">
        <f ca="1">IF(Tabel3[[#This Row],[Type]]="j0",0,--(TRUNC(Tabel3[[#This Row],[debut]])-TRUNC(Tabel3[[#This Row],[fin precedent]])&lt;Tabel3[[#This Row],[delai]]))</f>
        <v>1</v>
      </c>
    </row>
    <row r="542" spans="12:21" ht="18" customHeight="1" x14ac:dyDescent="0.2">
      <c r="L542" s="98" t="s">
        <v>87</v>
      </c>
      <c r="M542" s="98" t="s">
        <v>41</v>
      </c>
      <c r="N542" s="104">
        <v>45955</v>
      </c>
      <c r="O542" s="98">
        <v>10.799999999999999</v>
      </c>
      <c r="P542" s="98">
        <f>INDEX($C$1:$I$1,MATCH(Tabel3[[#This Row],[Type]],Devoirs[[#Headers],[J0]:[J60]],0))</f>
        <v>15</v>
      </c>
      <c r="Q542" s="105" cm="1">
        <f t="array" aca="1" ref="Q5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45960.455104166751</v>
      </c>
      <c r="R542" s="105">
        <f ca="1">MAX(Tabel3[[#This Row],[jour]]+$R$3,IF(ROW()-ROW(Tabel3[[#Headers],[debut]])=1,DATE(2025,9,1)+$R$3,OFFSET(Tabel3[[#This Row],[fin]],-1,)))</f>
        <v>45971.703333333469</v>
      </c>
      <c r="S5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45971.710833333469</v>
      </c>
      <c r="T542" s="102">
        <f ca="1">--(Tabel3[[#This Row],[jour]]&lt;&gt;TRUNC(Tabel3[[#This Row],[fin]]))</f>
        <v>1</v>
      </c>
      <c r="U542" s="102">
        <f ca="1">IF(Tabel3[[#This Row],[Type]]="j0",0,--(TRUNC(Tabel3[[#This Row],[debut]])-TRUNC(Tabel3[[#This Row],[fin precedent]])&lt;Tabel3[[#This Row],[delai]]))</f>
        <v>1</v>
      </c>
    </row>
    <row r="543" spans="12:21" ht="18" customHeight="1" x14ac:dyDescent="0.2">
      <c r="L543" s="98" t="s">
        <v>94</v>
      </c>
      <c r="M543" s="98" t="s">
        <v>41</v>
      </c>
      <c r="N543" s="104">
        <v>45955</v>
      </c>
      <c r="O543" s="98">
        <v>21</v>
      </c>
      <c r="P543" s="98">
        <f>INDEX($C$1:$I$1,MATCH(Tabel3[[#This Row],[Type]],Devoirs[[#Headers],[J0]:[J60]],0))</f>
        <v>15</v>
      </c>
      <c r="Q543" s="105" cm="1">
        <f t="array" aca="1" ref="Q5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45960.47697916675</v>
      </c>
      <c r="R543" s="105">
        <f ca="1">MAX(Tabel3[[#This Row],[jour]]+$R$3,IF(ROW()-ROW(Tabel3[[#Headers],[debut]])=1,DATE(2025,9,1)+$R$3,OFFSET(Tabel3[[#This Row],[fin]],-1,)))</f>
        <v>45971.710833333469</v>
      </c>
      <c r="S5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45971.725416666799</v>
      </c>
      <c r="T543" s="102">
        <f ca="1">--(Tabel3[[#This Row],[jour]]&lt;&gt;TRUNC(Tabel3[[#This Row],[fin]]))</f>
        <v>1</v>
      </c>
      <c r="U543" s="102">
        <f ca="1">IF(Tabel3[[#This Row],[Type]]="j0",0,--(TRUNC(Tabel3[[#This Row],[debut]])-TRUNC(Tabel3[[#This Row],[fin precedent]])&lt;Tabel3[[#This Row],[delai]]))</f>
        <v>1</v>
      </c>
    </row>
    <row r="544" spans="12:21" ht="18" customHeight="1" x14ac:dyDescent="0.2">
      <c r="L544" s="98" t="s">
        <v>46</v>
      </c>
      <c r="M544" s="98" t="s">
        <v>41</v>
      </c>
      <c r="N544" s="104">
        <v>45955</v>
      </c>
      <c r="O544" s="98">
        <v>22.8</v>
      </c>
      <c r="P544" s="98">
        <f>INDEX($C$1:$I$1,MATCH(Tabel3[[#This Row],[Type]],Devoirs[[#Headers],[J0]:[J60]],0))</f>
        <v>15</v>
      </c>
      <c r="Q544" s="105" cm="1">
        <f t="array" aca="1" ref="Q5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45960.50072916675</v>
      </c>
      <c r="R544" s="105">
        <f ca="1">MAX(Tabel3[[#This Row],[jour]]+$R$3,IF(ROW()-ROW(Tabel3[[#Headers],[debut]])=1,DATE(2025,9,1)+$R$3,OFFSET(Tabel3[[#This Row],[fin]],-1,)))</f>
        <v>45971.725416666799</v>
      </c>
      <c r="S5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45971.74125000013</v>
      </c>
      <c r="T544" s="102">
        <f ca="1">--(Tabel3[[#This Row],[jour]]&lt;&gt;TRUNC(Tabel3[[#This Row],[fin]]))</f>
        <v>1</v>
      </c>
      <c r="U544" s="102">
        <f ca="1">IF(Tabel3[[#This Row],[Type]]="j0",0,--(TRUNC(Tabel3[[#This Row],[debut]])-TRUNC(Tabel3[[#This Row],[fin precedent]])&lt;Tabel3[[#This Row],[delai]]))</f>
        <v>1</v>
      </c>
    </row>
    <row r="545" spans="12:21" ht="18" customHeight="1" x14ac:dyDescent="0.2">
      <c r="L545" s="98" t="s">
        <v>129</v>
      </c>
      <c r="M545" s="98" t="s">
        <v>41</v>
      </c>
      <c r="N545" s="104">
        <v>45955</v>
      </c>
      <c r="O545" s="98">
        <v>26.4</v>
      </c>
      <c r="P545" s="98">
        <f>INDEX($C$1:$I$1,MATCH(Tabel3[[#This Row],[Type]],Devoirs[[#Headers],[J0]:[J60]],0))</f>
        <v>15</v>
      </c>
      <c r="Q545" s="105" cm="1">
        <f t="array" aca="1" ref="Q5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45960.528229166746</v>
      </c>
      <c r="R545" s="105">
        <f ca="1">MAX(Tabel3[[#This Row],[jour]]+$R$3,IF(ROW()-ROW(Tabel3[[#Headers],[debut]])=1,DATE(2025,9,1)+$R$3,OFFSET(Tabel3[[#This Row],[fin]],-1,)))</f>
        <v>45971.74125000013</v>
      </c>
      <c r="S5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45972.342916666799</v>
      </c>
      <c r="T545" s="102">
        <f ca="1">--(Tabel3[[#This Row],[jour]]&lt;&gt;TRUNC(Tabel3[[#This Row],[fin]]))</f>
        <v>1</v>
      </c>
      <c r="U545" s="102">
        <f ca="1">IF(Tabel3[[#This Row],[Type]]="j0",0,--(TRUNC(Tabel3[[#This Row],[debut]])-TRUNC(Tabel3[[#This Row],[fin precedent]])&lt;Tabel3[[#This Row],[delai]]))</f>
        <v>1</v>
      </c>
    </row>
    <row r="546" spans="12:21" ht="18" customHeight="1" x14ac:dyDescent="0.2">
      <c r="L546" s="98" t="s">
        <v>132</v>
      </c>
      <c r="M546" s="98" t="s">
        <v>40</v>
      </c>
      <c r="N546" s="104">
        <v>45955</v>
      </c>
      <c r="O546" s="98">
        <v>36.450000000000003</v>
      </c>
      <c r="P546" s="98">
        <f>INDEX($C$1:$I$1,MATCH(Tabel3[[#This Row],[Type]],Devoirs[[#Headers],[J0]:[J60]],0))</f>
        <v>5</v>
      </c>
      <c r="Q546" s="105" cm="1">
        <f t="array" aca="1" ref="Q5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45968.569062500137</v>
      </c>
      <c r="R546" s="105">
        <f ca="1">MAX(Tabel3[[#This Row],[jour]]+$R$3,IF(ROW()-ROW(Tabel3[[#Headers],[debut]])=1,DATE(2025,9,1)+$R$3,OFFSET(Tabel3[[#This Row],[fin]],-1,)))</f>
        <v>45972.342916666799</v>
      </c>
      <c r="S5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45972.368229166801</v>
      </c>
      <c r="T546" s="102">
        <f ca="1">--(Tabel3[[#This Row],[jour]]&lt;&gt;TRUNC(Tabel3[[#This Row],[fin]]))</f>
        <v>1</v>
      </c>
      <c r="U546" s="102">
        <f ca="1">IF(Tabel3[[#This Row],[Type]]="j0",0,--(TRUNC(Tabel3[[#This Row],[debut]])-TRUNC(Tabel3[[#This Row],[fin precedent]])&lt;Tabel3[[#This Row],[delai]]))</f>
        <v>1</v>
      </c>
    </row>
    <row r="547" spans="12:21" ht="18" customHeight="1" x14ac:dyDescent="0.2">
      <c r="L547" s="98" t="s">
        <v>139</v>
      </c>
      <c r="M547" s="98" t="s">
        <v>40</v>
      </c>
      <c r="N547" s="104">
        <v>45955</v>
      </c>
      <c r="O547" s="98">
        <v>48.6</v>
      </c>
      <c r="P547" s="98">
        <f>INDEX($C$1:$I$1,MATCH(Tabel3[[#This Row],[Type]],Devoirs[[#Headers],[J0]:[J60]],0))</f>
        <v>5</v>
      </c>
      <c r="Q547" s="105" cm="1">
        <f t="array" aca="1" ref="Q5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45968.614062500135</v>
      </c>
      <c r="R547" s="105">
        <f ca="1">MAX(Tabel3[[#This Row],[jour]]+$R$3,IF(ROW()-ROW(Tabel3[[#Headers],[debut]])=1,DATE(2025,9,1)+$R$3,OFFSET(Tabel3[[#This Row],[fin]],-1,)))</f>
        <v>45972.368229166801</v>
      </c>
      <c r="S5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45972.401979166803</v>
      </c>
      <c r="T547" s="102">
        <f ca="1">--(Tabel3[[#This Row],[jour]]&lt;&gt;TRUNC(Tabel3[[#This Row],[fin]]))</f>
        <v>1</v>
      </c>
      <c r="U547" s="102">
        <f ca="1">IF(Tabel3[[#This Row],[Type]]="j0",0,--(TRUNC(Tabel3[[#This Row],[debut]])-TRUNC(Tabel3[[#This Row],[fin precedent]])&lt;Tabel3[[#This Row],[delai]]))</f>
        <v>1</v>
      </c>
    </row>
    <row r="548" spans="12:21" ht="18" customHeight="1" x14ac:dyDescent="0.2">
      <c r="L548" s="98" t="s">
        <v>122</v>
      </c>
      <c r="M548" s="98" t="s">
        <v>41</v>
      </c>
      <c r="N548" s="104">
        <v>45959</v>
      </c>
      <c r="O548" s="98">
        <v>23.7</v>
      </c>
      <c r="P548" s="98">
        <f>INDEX($C$1:$I$1,MATCH(Tabel3[[#This Row],[Type]],Devoirs[[#Headers],[J0]:[J60]],0))</f>
        <v>15</v>
      </c>
      <c r="Q548" s="105" cm="1">
        <f t="array" aca="1" ref="Q5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45965.513645833445</v>
      </c>
      <c r="R548" s="105">
        <f ca="1">MAX(Tabel3[[#This Row],[jour]]+$R$3,IF(ROW()-ROW(Tabel3[[#Headers],[debut]])=1,DATE(2025,9,1)+$R$3,OFFSET(Tabel3[[#This Row],[fin]],-1,)))</f>
        <v>45972.401979166803</v>
      </c>
      <c r="S5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45972.418437500135</v>
      </c>
      <c r="T548" s="102">
        <f ca="1">--(Tabel3[[#This Row],[jour]]&lt;&gt;TRUNC(Tabel3[[#This Row],[fin]]))</f>
        <v>1</v>
      </c>
      <c r="U548" s="102">
        <f ca="1">IF(Tabel3[[#This Row],[Type]]="j0",0,--(TRUNC(Tabel3[[#This Row],[debut]])-TRUNC(Tabel3[[#This Row],[fin precedent]])&lt;Tabel3[[#This Row],[delai]]))</f>
        <v>1</v>
      </c>
    </row>
    <row r="549" spans="12:21" ht="18" customHeight="1" x14ac:dyDescent="0.2">
      <c r="L549" s="98" t="s">
        <v>77</v>
      </c>
      <c r="M549" s="98" t="s">
        <v>41</v>
      </c>
      <c r="N549" s="104">
        <v>45959</v>
      </c>
      <c r="O549" s="98">
        <v>32.4</v>
      </c>
      <c r="P549" s="98">
        <f>INDEX($C$1:$I$1,MATCH(Tabel3[[#This Row],[Type]],Devoirs[[#Headers],[J0]:[J60]],0))</f>
        <v>15</v>
      </c>
      <c r="Q549" s="105" cm="1">
        <f t="array" aca="1" ref="Q5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45965.547395833448</v>
      </c>
      <c r="R549" s="105">
        <f ca="1">MAX(Tabel3[[#This Row],[jour]]+$R$3,IF(ROW()-ROW(Tabel3[[#Headers],[debut]])=1,DATE(2025,9,1)+$R$3,OFFSET(Tabel3[[#This Row],[fin]],-1,)))</f>
        <v>45972.418437500135</v>
      </c>
      <c r="S5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45972.440937500134</v>
      </c>
      <c r="T549" s="102">
        <f ca="1">--(Tabel3[[#This Row],[jour]]&lt;&gt;TRUNC(Tabel3[[#This Row],[fin]]))</f>
        <v>1</v>
      </c>
      <c r="U549" s="102">
        <f ca="1">IF(Tabel3[[#This Row],[Type]]="j0",0,--(TRUNC(Tabel3[[#This Row],[debut]])-TRUNC(Tabel3[[#This Row],[fin precedent]])&lt;Tabel3[[#This Row],[delai]]))</f>
        <v>1</v>
      </c>
    </row>
    <row r="550" spans="12:21" ht="18" customHeight="1" x14ac:dyDescent="0.2">
      <c r="L550" s="98" t="s">
        <v>47</v>
      </c>
      <c r="M550" s="98" t="s">
        <v>41</v>
      </c>
      <c r="N550" s="104">
        <v>45960</v>
      </c>
      <c r="O550" s="98">
        <v>17.7</v>
      </c>
      <c r="P550" s="98">
        <f>INDEX($C$1:$I$1,MATCH(Tabel3[[#This Row],[Type]],Devoirs[[#Headers],[J0]:[J60]],0))</f>
        <v>15</v>
      </c>
      <c r="Q550" s="105" cm="1">
        <f t="array" aca="1" ref="Q5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45965.701041666784</v>
      </c>
      <c r="R550" s="105">
        <f ca="1">MAX(Tabel3[[#This Row],[jour]]+$R$3,IF(ROW()-ROW(Tabel3[[#Headers],[debut]])=1,DATE(2025,9,1)+$R$3,OFFSET(Tabel3[[#This Row],[fin]],-1,)))</f>
        <v>45972.440937500134</v>
      </c>
      <c r="S5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45972.4532291668</v>
      </c>
      <c r="T550" s="102">
        <f ca="1">--(Tabel3[[#This Row],[jour]]&lt;&gt;TRUNC(Tabel3[[#This Row],[fin]]))</f>
        <v>1</v>
      </c>
      <c r="U550" s="102">
        <f ca="1">IF(Tabel3[[#This Row],[Type]]="j0",0,--(TRUNC(Tabel3[[#This Row],[debut]])-TRUNC(Tabel3[[#This Row],[fin precedent]])&lt;Tabel3[[#This Row],[delai]]))</f>
        <v>1</v>
      </c>
    </row>
    <row r="551" spans="12:21" ht="18" customHeight="1" x14ac:dyDescent="0.2">
      <c r="L551" s="98" t="s">
        <v>76</v>
      </c>
      <c r="M551" s="98" t="s">
        <v>41</v>
      </c>
      <c r="N551" s="104">
        <v>45960</v>
      </c>
      <c r="O551" s="98">
        <v>34.199999999999996</v>
      </c>
      <c r="P551" s="98">
        <f>INDEX($C$1:$I$1,MATCH(Tabel3[[#This Row],[Type]],Devoirs[[#Headers],[J0]:[J60]],0))</f>
        <v>15</v>
      </c>
      <c r="Q551" s="105" cm="1">
        <f t="array" aca="1" ref="Q5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45965.73666666678</v>
      </c>
      <c r="R551" s="105">
        <f ca="1">MAX(Tabel3[[#This Row],[jour]]+$R$3,IF(ROW()-ROW(Tabel3[[#Headers],[debut]])=1,DATE(2025,9,1)+$R$3,OFFSET(Tabel3[[#This Row],[fin]],-1,)))</f>
        <v>45972.4532291668</v>
      </c>
      <c r="S5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45972.4769791668</v>
      </c>
      <c r="T551" s="102">
        <f ca="1">--(Tabel3[[#This Row],[jour]]&lt;&gt;TRUNC(Tabel3[[#This Row],[fin]]))</f>
        <v>1</v>
      </c>
      <c r="U551" s="102">
        <f ca="1">IF(Tabel3[[#This Row],[Type]]="j0",0,--(TRUNC(Tabel3[[#This Row],[debut]])-TRUNC(Tabel3[[#This Row],[fin precedent]])&lt;Tabel3[[#This Row],[delai]]))</f>
        <v>1</v>
      </c>
    </row>
    <row r="552" spans="12:21" ht="18" customHeight="1" x14ac:dyDescent="0.2">
      <c r="L552" s="98" t="s">
        <v>49</v>
      </c>
      <c r="M552" s="98" t="s">
        <v>41</v>
      </c>
      <c r="N552" s="104">
        <v>45960</v>
      </c>
      <c r="O552" s="98">
        <v>35.4</v>
      </c>
      <c r="P552" s="98">
        <f>INDEX($C$1:$I$1,MATCH(Tabel3[[#This Row],[Type]],Devoirs[[#Headers],[J0]:[J60]],0))</f>
        <v>15</v>
      </c>
      <c r="Q552" s="105" cm="1">
        <f t="array" aca="1" ref="Q5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45966.356875000114</v>
      </c>
      <c r="R552" s="105">
        <f ca="1">MAX(Tabel3[[#This Row],[jour]]+$R$3,IF(ROW()-ROW(Tabel3[[#Headers],[debut]])=1,DATE(2025,9,1)+$R$3,OFFSET(Tabel3[[#This Row],[fin]],-1,)))</f>
        <v>45972.4769791668</v>
      </c>
      <c r="S5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45972.501562500132</v>
      </c>
      <c r="T552" s="102">
        <f ca="1">--(Tabel3[[#This Row],[jour]]&lt;&gt;TRUNC(Tabel3[[#This Row],[fin]]))</f>
        <v>1</v>
      </c>
      <c r="U552" s="102">
        <f ca="1">IF(Tabel3[[#This Row],[Type]]="j0",0,--(TRUNC(Tabel3[[#This Row],[debut]])-TRUNC(Tabel3[[#This Row],[fin precedent]])&lt;Tabel3[[#This Row],[delai]]))</f>
        <v>1</v>
      </c>
    </row>
    <row r="553" spans="12:21" ht="18" customHeight="1" x14ac:dyDescent="0.2">
      <c r="L553" s="98" t="s">
        <v>138</v>
      </c>
      <c r="M553" s="98" t="s">
        <v>42</v>
      </c>
      <c r="N553" s="104">
        <v>45961</v>
      </c>
      <c r="O553" s="98">
        <v>4.8</v>
      </c>
      <c r="P553" s="98">
        <f>INDEX($C$1:$I$1,MATCH(Tabel3[[#This Row],[Type]],Devoirs[[#Headers],[J0]:[J60]],0))</f>
        <v>30</v>
      </c>
      <c r="Q553" s="105" cm="1">
        <f t="array" aca="1" ref="Q5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45944.684930555588</v>
      </c>
      <c r="R553" s="105">
        <f ca="1">MAX(Tabel3[[#This Row],[jour]]+$R$3,IF(ROW()-ROW(Tabel3[[#Headers],[debut]])=1,DATE(2025,9,1)+$R$3,OFFSET(Tabel3[[#This Row],[fin]],-1,)))</f>
        <v>45972.501562500132</v>
      </c>
      <c r="S5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45972.504895833466</v>
      </c>
      <c r="T553" s="102">
        <f ca="1">--(Tabel3[[#This Row],[jour]]&lt;&gt;TRUNC(Tabel3[[#This Row],[fin]]))</f>
        <v>1</v>
      </c>
      <c r="U553" s="102">
        <f ca="1">IF(Tabel3[[#This Row],[Type]]="j0",0,--(TRUNC(Tabel3[[#This Row],[debut]])-TRUNC(Tabel3[[#This Row],[fin precedent]])&lt;Tabel3[[#This Row],[delai]]))</f>
        <v>1</v>
      </c>
    </row>
    <row r="554" spans="12:21" ht="18" customHeight="1" x14ac:dyDescent="0.2">
      <c r="L554" s="98" t="s">
        <v>124</v>
      </c>
      <c r="M554" s="98" t="s">
        <v>41</v>
      </c>
      <c r="N554" s="104">
        <v>45961</v>
      </c>
      <c r="O554" s="98">
        <v>15</v>
      </c>
      <c r="P554" s="98">
        <f>INDEX($C$1:$I$1,MATCH(Tabel3[[#This Row],[Type]],Devoirs[[#Headers],[J0]:[J60]],0))</f>
        <v>15</v>
      </c>
      <c r="Q554" s="105" cm="1">
        <f t="array" aca="1" ref="Q5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45966.520520833452</v>
      </c>
      <c r="R554" s="105">
        <f ca="1">MAX(Tabel3[[#This Row],[jour]]+$R$3,IF(ROW()-ROW(Tabel3[[#Headers],[debut]])=1,DATE(2025,9,1)+$R$3,OFFSET(Tabel3[[#This Row],[fin]],-1,)))</f>
        <v>45972.504895833466</v>
      </c>
      <c r="S5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45972.515312500131</v>
      </c>
      <c r="T554" s="102">
        <f ca="1">--(Tabel3[[#This Row],[jour]]&lt;&gt;TRUNC(Tabel3[[#This Row],[fin]]))</f>
        <v>1</v>
      </c>
      <c r="U554" s="102">
        <f ca="1">IF(Tabel3[[#This Row],[Type]]="j0",0,--(TRUNC(Tabel3[[#This Row],[debut]])-TRUNC(Tabel3[[#This Row],[fin precedent]])&lt;Tabel3[[#This Row],[delai]]))</f>
        <v>1</v>
      </c>
    </row>
    <row r="555" spans="12:21" ht="18" customHeight="1" x14ac:dyDescent="0.2">
      <c r="L555" s="98" t="s">
        <v>56</v>
      </c>
      <c r="M555" s="98" t="s">
        <v>41</v>
      </c>
      <c r="N555" s="104">
        <v>45961</v>
      </c>
      <c r="O555" s="98">
        <v>18</v>
      </c>
      <c r="P555" s="98">
        <f>INDEX($C$1:$I$1,MATCH(Tabel3[[#This Row],[Type]],Devoirs[[#Headers],[J0]:[J60]],0))</f>
        <v>15</v>
      </c>
      <c r="Q555" s="105" cm="1">
        <f t="array" aca="1" ref="Q5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45966.539270833455</v>
      </c>
      <c r="R555" s="105">
        <f ca="1">MAX(Tabel3[[#This Row],[jour]]+$R$3,IF(ROW()-ROW(Tabel3[[#Headers],[debut]])=1,DATE(2025,9,1)+$R$3,OFFSET(Tabel3[[#This Row],[fin]],-1,)))</f>
        <v>45972.515312500131</v>
      </c>
      <c r="S5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45972.527812500128</v>
      </c>
      <c r="T555" s="102">
        <f ca="1">--(Tabel3[[#This Row],[jour]]&lt;&gt;TRUNC(Tabel3[[#This Row],[fin]]))</f>
        <v>1</v>
      </c>
      <c r="U555" s="102">
        <f ca="1">IF(Tabel3[[#This Row],[Type]]="j0",0,--(TRUNC(Tabel3[[#This Row],[debut]])-TRUNC(Tabel3[[#This Row],[fin precedent]])&lt;Tabel3[[#This Row],[delai]]))</f>
        <v>1</v>
      </c>
    </row>
    <row r="556" spans="12:21" ht="18" customHeight="1" x14ac:dyDescent="0.2">
      <c r="L556" s="98" t="s">
        <v>73</v>
      </c>
      <c r="M556" s="98" t="s">
        <v>41</v>
      </c>
      <c r="N556" s="104">
        <v>45961</v>
      </c>
      <c r="O556" s="98">
        <v>26.7</v>
      </c>
      <c r="P556" s="98">
        <f>INDEX($C$1:$I$1,MATCH(Tabel3[[#This Row],[Type]],Devoirs[[#Headers],[J0]:[J60]],0))</f>
        <v>15</v>
      </c>
      <c r="Q556" s="105" cm="1">
        <f t="array" aca="1" ref="Q5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45966.567083333452</v>
      </c>
      <c r="R556" s="105">
        <f ca="1">MAX(Tabel3[[#This Row],[jour]]+$R$3,IF(ROW()-ROW(Tabel3[[#Headers],[debut]])=1,DATE(2025,9,1)+$R$3,OFFSET(Tabel3[[#This Row],[fin]],-1,)))</f>
        <v>45972.527812500128</v>
      </c>
      <c r="S5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45972.546354166792</v>
      </c>
      <c r="T556" s="102">
        <f ca="1">--(Tabel3[[#This Row],[jour]]&lt;&gt;TRUNC(Tabel3[[#This Row],[fin]]))</f>
        <v>1</v>
      </c>
      <c r="U556" s="102">
        <f ca="1">IF(Tabel3[[#This Row],[Type]]="j0",0,--(TRUNC(Tabel3[[#This Row],[debut]])-TRUNC(Tabel3[[#This Row],[fin precedent]])&lt;Tabel3[[#This Row],[delai]]))</f>
        <v>1</v>
      </c>
    </row>
    <row r="557" spans="12:21" ht="18" customHeight="1" x14ac:dyDescent="0.2">
      <c r="L557" s="98" t="s">
        <v>120</v>
      </c>
      <c r="M557" s="98" t="s">
        <v>41</v>
      </c>
      <c r="N557" s="104">
        <v>45961</v>
      </c>
      <c r="O557" s="98">
        <v>30.599999999999998</v>
      </c>
      <c r="P557" s="98">
        <f>INDEX($C$1:$I$1,MATCH(Tabel3[[#This Row],[Type]],Devoirs[[#Headers],[J0]:[J60]],0))</f>
        <v>15</v>
      </c>
      <c r="Q557" s="105" cm="1">
        <f t="array" aca="1" ref="Q5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45966.598958333452</v>
      </c>
      <c r="R557" s="105">
        <f ca="1">MAX(Tabel3[[#This Row],[jour]]+$R$3,IF(ROW()-ROW(Tabel3[[#Headers],[debut]])=1,DATE(2025,9,1)+$R$3,OFFSET(Tabel3[[#This Row],[fin]],-1,)))</f>
        <v>45972.546354166792</v>
      </c>
      <c r="S5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45972.56760416679</v>
      </c>
      <c r="T557" s="102">
        <f ca="1">--(Tabel3[[#This Row],[jour]]&lt;&gt;TRUNC(Tabel3[[#This Row],[fin]]))</f>
        <v>1</v>
      </c>
      <c r="U557" s="102">
        <f ca="1">IF(Tabel3[[#This Row],[Type]]="j0",0,--(TRUNC(Tabel3[[#This Row],[debut]])-TRUNC(Tabel3[[#This Row],[fin precedent]])&lt;Tabel3[[#This Row],[delai]]))</f>
        <v>1</v>
      </c>
    </row>
    <row r="558" spans="12:21" ht="18" customHeight="1" x14ac:dyDescent="0.2">
      <c r="L558" s="98" t="s">
        <v>55</v>
      </c>
      <c r="M558" s="98" t="s">
        <v>42</v>
      </c>
      <c r="N558" s="104">
        <v>45962</v>
      </c>
      <c r="O558" s="98">
        <v>7.6499999999999995</v>
      </c>
      <c r="P558" s="98">
        <f>INDEX($C$1:$I$1,MATCH(Tabel3[[#This Row],[Type]],Devoirs[[#Headers],[J0]:[J60]],0))</f>
        <v>30</v>
      </c>
      <c r="Q558" s="105" cm="1">
        <f t="array" aca="1" ref="Q5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45945.679166666698</v>
      </c>
      <c r="R558" s="105">
        <f ca="1">MAX(Tabel3[[#This Row],[jour]]+$R$3,IF(ROW()-ROW(Tabel3[[#Headers],[debut]])=1,DATE(2025,9,1)+$R$3,OFFSET(Tabel3[[#This Row],[fin]],-1,)))</f>
        <v>45972.56760416679</v>
      </c>
      <c r="S5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45972.572916666788</v>
      </c>
      <c r="T558" s="102">
        <f ca="1">--(Tabel3[[#This Row],[jour]]&lt;&gt;TRUNC(Tabel3[[#This Row],[fin]]))</f>
        <v>1</v>
      </c>
      <c r="U558" s="102">
        <f ca="1">IF(Tabel3[[#This Row],[Type]]="j0",0,--(TRUNC(Tabel3[[#This Row],[debut]])-TRUNC(Tabel3[[#This Row],[fin precedent]])&lt;Tabel3[[#This Row],[delai]]))</f>
        <v>1</v>
      </c>
    </row>
    <row r="559" spans="12:21" ht="18" customHeight="1" x14ac:dyDescent="0.2">
      <c r="L559" s="98" t="s">
        <v>62</v>
      </c>
      <c r="M559" s="98" t="s">
        <v>42</v>
      </c>
      <c r="N559" s="104">
        <v>45962</v>
      </c>
      <c r="O559" s="98">
        <v>11.85</v>
      </c>
      <c r="P559" s="98">
        <f>INDEX($C$1:$I$1,MATCH(Tabel3[[#This Row],[Type]],Devoirs[[#Headers],[J0]:[J60]],0))</f>
        <v>30</v>
      </c>
      <c r="Q559" s="105" cm="1">
        <f t="array" aca="1" ref="Q5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45945.695625000029</v>
      </c>
      <c r="R559" s="105">
        <f ca="1">MAX(Tabel3[[#This Row],[jour]]+$R$3,IF(ROW()-ROW(Tabel3[[#Headers],[debut]])=1,DATE(2025,9,1)+$R$3,OFFSET(Tabel3[[#This Row],[fin]],-1,)))</f>
        <v>45972.572916666788</v>
      </c>
      <c r="S5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45972.581145833457</v>
      </c>
      <c r="T559" s="102">
        <f ca="1">--(Tabel3[[#This Row],[jour]]&lt;&gt;TRUNC(Tabel3[[#This Row],[fin]]))</f>
        <v>1</v>
      </c>
      <c r="U559" s="102">
        <f ca="1">IF(Tabel3[[#This Row],[Type]]="j0",0,--(TRUNC(Tabel3[[#This Row],[debut]])-TRUNC(Tabel3[[#This Row],[fin precedent]])&lt;Tabel3[[#This Row],[delai]]))</f>
        <v>1</v>
      </c>
    </row>
    <row r="560" spans="12:21" ht="18" customHeight="1" x14ac:dyDescent="0.2">
      <c r="L560" s="98" t="s">
        <v>114</v>
      </c>
      <c r="M560" s="98" t="s">
        <v>42</v>
      </c>
      <c r="N560" s="104">
        <v>45962</v>
      </c>
      <c r="O560" s="98">
        <v>13.799999999999999</v>
      </c>
      <c r="P560" s="98">
        <f>INDEX($C$1:$I$1,MATCH(Tabel3[[#This Row],[Type]],Devoirs[[#Headers],[J0]:[J60]],0))</f>
        <v>30</v>
      </c>
      <c r="Q560" s="105" cm="1">
        <f t="array" aca="1" ref="Q5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45945.714791666695</v>
      </c>
      <c r="R560" s="105">
        <f ca="1">MAX(Tabel3[[#This Row],[jour]]+$R$3,IF(ROW()-ROW(Tabel3[[#Headers],[debut]])=1,DATE(2025,9,1)+$R$3,OFFSET(Tabel3[[#This Row],[fin]],-1,)))</f>
        <v>45972.581145833457</v>
      </c>
      <c r="S5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45972.59072916679</v>
      </c>
      <c r="T560" s="102">
        <f ca="1">--(Tabel3[[#This Row],[jour]]&lt;&gt;TRUNC(Tabel3[[#This Row],[fin]]))</f>
        <v>1</v>
      </c>
      <c r="U560" s="102">
        <f ca="1">IF(Tabel3[[#This Row],[Type]]="j0",0,--(TRUNC(Tabel3[[#This Row],[debut]])-TRUNC(Tabel3[[#This Row],[fin precedent]])&lt;Tabel3[[#This Row],[delai]]))</f>
        <v>1</v>
      </c>
    </row>
    <row r="561" spans="12:21" ht="18" customHeight="1" x14ac:dyDescent="0.2">
      <c r="L561" s="98" t="s">
        <v>88</v>
      </c>
      <c r="M561" s="98" t="s">
        <v>42</v>
      </c>
      <c r="N561" s="104">
        <v>45962</v>
      </c>
      <c r="O561" s="98">
        <v>16.95</v>
      </c>
      <c r="P561" s="98">
        <f>INDEX($C$1:$I$1,MATCH(Tabel3[[#This Row],[Type]],Devoirs[[#Headers],[J0]:[J60]],0))</f>
        <v>30</v>
      </c>
      <c r="Q561" s="105" cm="1">
        <f t="array" aca="1" ref="Q5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45945.738333333364</v>
      </c>
      <c r="R561" s="105">
        <f ca="1">MAX(Tabel3[[#This Row],[jour]]+$R$3,IF(ROW()-ROW(Tabel3[[#Headers],[debut]])=1,DATE(2025,9,1)+$R$3,OFFSET(Tabel3[[#This Row],[fin]],-1,)))</f>
        <v>45972.59072916679</v>
      </c>
      <c r="S5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45972.602500000125</v>
      </c>
      <c r="T561" s="102">
        <f ca="1">--(Tabel3[[#This Row],[jour]]&lt;&gt;TRUNC(Tabel3[[#This Row],[fin]]))</f>
        <v>1</v>
      </c>
      <c r="U561" s="102">
        <f ca="1">IF(Tabel3[[#This Row],[Type]]="j0",0,--(TRUNC(Tabel3[[#This Row],[debut]])-TRUNC(Tabel3[[#This Row],[fin precedent]])&lt;Tabel3[[#This Row],[delai]]))</f>
        <v>1</v>
      </c>
    </row>
    <row r="562" spans="12:21" ht="18" customHeight="1" x14ac:dyDescent="0.2">
      <c r="L562" s="98" t="s">
        <v>123</v>
      </c>
      <c r="M562" s="98" t="s">
        <v>41</v>
      </c>
      <c r="N562" s="104">
        <v>45962</v>
      </c>
      <c r="O562" s="98">
        <v>22.8</v>
      </c>
      <c r="P562" s="98">
        <f>INDEX($C$1:$I$1,MATCH(Tabel3[[#This Row],[Type]],Devoirs[[#Headers],[J0]:[J60]],0))</f>
        <v>15</v>
      </c>
      <c r="Q562" s="105" cm="1">
        <f t="array" aca="1" ref="Q5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45967.355833333466</v>
      </c>
      <c r="R562" s="105">
        <f ca="1">MAX(Tabel3[[#This Row],[jour]]+$R$3,IF(ROW()-ROW(Tabel3[[#Headers],[debut]])=1,DATE(2025,9,1)+$R$3,OFFSET(Tabel3[[#This Row],[fin]],-1,)))</f>
        <v>45972.602500000125</v>
      </c>
      <c r="S5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45972.618333333456</v>
      </c>
      <c r="T562" s="102">
        <f ca="1">--(Tabel3[[#This Row],[jour]]&lt;&gt;TRUNC(Tabel3[[#This Row],[fin]]))</f>
        <v>1</v>
      </c>
      <c r="U562" s="102">
        <f ca="1">IF(Tabel3[[#This Row],[Type]]="j0",0,--(TRUNC(Tabel3[[#This Row],[debut]])-TRUNC(Tabel3[[#This Row],[fin precedent]])&lt;Tabel3[[#This Row],[delai]]))</f>
        <v>1</v>
      </c>
    </row>
    <row r="563" spans="12:21" ht="18" customHeight="1" x14ac:dyDescent="0.2">
      <c r="L563" s="98" t="s">
        <v>50</v>
      </c>
      <c r="M563" s="98" t="s">
        <v>41</v>
      </c>
      <c r="N563" s="104">
        <v>45962</v>
      </c>
      <c r="O563" s="98">
        <v>35.699999999999996</v>
      </c>
      <c r="P563" s="98">
        <f>INDEX($C$1:$I$1,MATCH(Tabel3[[#This Row],[Type]],Devoirs[[#Headers],[J0]:[J60]],0))</f>
        <v>15</v>
      </c>
      <c r="Q563" s="105" cm="1">
        <f t="array" aca="1" ref="Q5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45967.393020833464</v>
      </c>
      <c r="R563" s="105">
        <f ca="1">MAX(Tabel3[[#This Row],[jour]]+$R$3,IF(ROW()-ROW(Tabel3[[#Headers],[debut]])=1,DATE(2025,9,1)+$R$3,OFFSET(Tabel3[[#This Row],[fin]],-1,)))</f>
        <v>45972.618333333456</v>
      </c>
      <c r="S5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45972.643125000119</v>
      </c>
      <c r="T563" s="102">
        <f ca="1">--(Tabel3[[#This Row],[jour]]&lt;&gt;TRUNC(Tabel3[[#This Row],[fin]]))</f>
        <v>1</v>
      </c>
      <c r="U563" s="102">
        <f ca="1">IF(Tabel3[[#This Row],[Type]]="j0",0,--(TRUNC(Tabel3[[#This Row],[debut]])-TRUNC(Tabel3[[#This Row],[fin precedent]])&lt;Tabel3[[#This Row],[delai]]))</f>
        <v>1</v>
      </c>
    </row>
    <row r="564" spans="12:21" ht="18" customHeight="1" x14ac:dyDescent="0.2">
      <c r="L564" s="98" t="s">
        <v>89</v>
      </c>
      <c r="M564" s="98" t="s">
        <v>42</v>
      </c>
      <c r="N564" s="104">
        <v>45963</v>
      </c>
      <c r="O564" s="98">
        <v>9.9</v>
      </c>
      <c r="P564" s="98">
        <f>INDEX($C$1:$I$1,MATCH(Tabel3[[#This Row],[Type]],Devoirs[[#Headers],[J0]:[J60]],0))</f>
        <v>30</v>
      </c>
      <c r="Q564" s="105" cm="1">
        <f t="array" aca="1" ref="Q5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45947.478229166692</v>
      </c>
      <c r="R564" s="105">
        <f ca="1">MAX(Tabel3[[#This Row],[jour]]+$R$3,IF(ROW()-ROW(Tabel3[[#Headers],[debut]])=1,DATE(2025,9,1)+$R$3,OFFSET(Tabel3[[#This Row],[fin]],-1,)))</f>
        <v>45972.643125000119</v>
      </c>
      <c r="S5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45972.650000000118</v>
      </c>
      <c r="T564" s="102">
        <f ca="1">--(Tabel3[[#This Row],[jour]]&lt;&gt;TRUNC(Tabel3[[#This Row],[fin]]))</f>
        <v>1</v>
      </c>
      <c r="U564" s="102">
        <f ca="1">IF(Tabel3[[#This Row],[Type]]="j0",0,--(TRUNC(Tabel3[[#This Row],[debut]])-TRUNC(Tabel3[[#This Row],[fin precedent]])&lt;Tabel3[[#This Row],[delai]]))</f>
        <v>1</v>
      </c>
    </row>
    <row r="565" spans="12:21" ht="18" customHeight="1" x14ac:dyDescent="0.2">
      <c r="L565" s="98" t="s">
        <v>90</v>
      </c>
      <c r="M565" s="98" t="s">
        <v>42</v>
      </c>
      <c r="N565" s="104">
        <v>45963</v>
      </c>
      <c r="O565" s="98">
        <v>15</v>
      </c>
      <c r="P565" s="98">
        <f>INDEX($C$1:$I$1,MATCH(Tabel3[[#This Row],[Type]],Devoirs[[#Headers],[J0]:[J60]],0))</f>
        <v>30</v>
      </c>
      <c r="Q565" s="105" cm="1">
        <f t="array" aca="1" ref="Q5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45947.499062500028</v>
      </c>
      <c r="R565" s="105">
        <f ca="1">MAX(Tabel3[[#This Row],[jour]]+$R$3,IF(ROW()-ROW(Tabel3[[#Headers],[debut]])=1,DATE(2025,9,1)+$R$3,OFFSET(Tabel3[[#This Row],[fin]],-1,)))</f>
        <v>45972.650000000118</v>
      </c>
      <c r="S5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45972.660416666782</v>
      </c>
      <c r="T565" s="102">
        <f ca="1">--(Tabel3[[#This Row],[jour]]&lt;&gt;TRUNC(Tabel3[[#This Row],[fin]]))</f>
        <v>1</v>
      </c>
      <c r="U565" s="102">
        <f ca="1">IF(Tabel3[[#This Row],[Type]]="j0",0,--(TRUNC(Tabel3[[#This Row],[debut]])-TRUNC(Tabel3[[#This Row],[fin precedent]])&lt;Tabel3[[#This Row],[delai]]))</f>
        <v>1</v>
      </c>
    </row>
    <row r="566" spans="12:21" ht="18" customHeight="1" x14ac:dyDescent="0.2">
      <c r="L566" s="98" t="s">
        <v>107</v>
      </c>
      <c r="M566" s="98" t="s">
        <v>42</v>
      </c>
      <c r="N566" s="104">
        <v>45963</v>
      </c>
      <c r="O566" s="98">
        <v>15.75</v>
      </c>
      <c r="P566" s="98">
        <f>INDEX($C$1:$I$1,MATCH(Tabel3[[#This Row],[Type]],Devoirs[[#Headers],[J0]:[J60]],0))</f>
        <v>30</v>
      </c>
      <c r="Q566" s="105" cm="1">
        <f t="array" aca="1" ref="Q5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45947.520937500027</v>
      </c>
      <c r="R566" s="105">
        <f ca="1">MAX(Tabel3[[#This Row],[jour]]+$R$3,IF(ROW()-ROW(Tabel3[[#Headers],[debut]])=1,DATE(2025,9,1)+$R$3,OFFSET(Tabel3[[#This Row],[fin]],-1,)))</f>
        <v>45972.660416666782</v>
      </c>
      <c r="S5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45972.671354166785</v>
      </c>
      <c r="T566" s="102">
        <f ca="1">--(Tabel3[[#This Row],[jour]]&lt;&gt;TRUNC(Tabel3[[#This Row],[fin]]))</f>
        <v>1</v>
      </c>
      <c r="U566" s="102">
        <f ca="1">IF(Tabel3[[#This Row],[Type]]="j0",0,--(TRUNC(Tabel3[[#This Row],[debut]])-TRUNC(Tabel3[[#This Row],[fin precedent]])&lt;Tabel3[[#This Row],[delai]]))</f>
        <v>1</v>
      </c>
    </row>
    <row r="567" spans="12:21" ht="18" customHeight="1" x14ac:dyDescent="0.2">
      <c r="L567" s="98" t="s">
        <v>53</v>
      </c>
      <c r="M567" s="98" t="s">
        <v>41</v>
      </c>
      <c r="N567" s="104">
        <v>45963</v>
      </c>
      <c r="O567" s="98">
        <v>18.599999999999998</v>
      </c>
      <c r="P567" s="98">
        <f>INDEX($C$1:$I$1,MATCH(Tabel3[[#This Row],[Type]],Devoirs[[#Headers],[J0]:[J60]],0))</f>
        <v>15</v>
      </c>
      <c r="Q567" s="105" cm="1">
        <f t="array" aca="1" ref="Q5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45967.702812500131</v>
      </c>
      <c r="R567" s="105">
        <f ca="1">MAX(Tabel3[[#This Row],[jour]]+$R$3,IF(ROW()-ROW(Tabel3[[#Headers],[debut]])=1,DATE(2025,9,1)+$R$3,OFFSET(Tabel3[[#This Row],[fin]],-1,)))</f>
        <v>45972.671354166785</v>
      </c>
      <c r="S5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45972.684270833452</v>
      </c>
      <c r="T567" s="102">
        <f ca="1">--(Tabel3[[#This Row],[jour]]&lt;&gt;TRUNC(Tabel3[[#This Row],[fin]]))</f>
        <v>1</v>
      </c>
      <c r="U567" s="102">
        <f ca="1">IF(Tabel3[[#This Row],[Type]]="j0",0,--(TRUNC(Tabel3[[#This Row],[debut]])-TRUNC(Tabel3[[#This Row],[fin precedent]])&lt;Tabel3[[#This Row],[delai]]))</f>
        <v>1</v>
      </c>
    </row>
    <row r="568" spans="12:21" ht="18" customHeight="1" x14ac:dyDescent="0.2">
      <c r="L568" s="98" t="s">
        <v>111</v>
      </c>
      <c r="M568" s="98" t="s">
        <v>41</v>
      </c>
      <c r="N568" s="104">
        <v>45963</v>
      </c>
      <c r="O568" s="98">
        <v>18.599999999999998</v>
      </c>
      <c r="P568" s="98">
        <f>INDEX($C$1:$I$1,MATCH(Tabel3[[#This Row],[Type]],Devoirs[[#Headers],[J0]:[J60]],0))</f>
        <v>15</v>
      </c>
      <c r="Q568" s="105" cm="1">
        <f t="array" aca="1" ref="Q5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45967.722187500134</v>
      </c>
      <c r="R568" s="105">
        <f ca="1">MAX(Tabel3[[#This Row],[jour]]+$R$3,IF(ROW()-ROW(Tabel3[[#Headers],[debut]])=1,DATE(2025,9,1)+$R$3,OFFSET(Tabel3[[#This Row],[fin]],-1,)))</f>
        <v>45972.684270833452</v>
      </c>
      <c r="S5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45972.697187500118</v>
      </c>
      <c r="T568" s="102">
        <f ca="1">--(Tabel3[[#This Row],[jour]]&lt;&gt;TRUNC(Tabel3[[#This Row],[fin]]))</f>
        <v>1</v>
      </c>
      <c r="U568" s="102">
        <f ca="1">IF(Tabel3[[#This Row],[Type]]="j0",0,--(TRUNC(Tabel3[[#This Row],[debut]])-TRUNC(Tabel3[[#This Row],[fin precedent]])&lt;Tabel3[[#This Row],[delai]]))</f>
        <v>1</v>
      </c>
    </row>
    <row r="569" spans="12:21" ht="18" customHeight="1" x14ac:dyDescent="0.2">
      <c r="L569" s="98" t="s">
        <v>81</v>
      </c>
      <c r="M569" s="98" t="s">
        <v>41</v>
      </c>
      <c r="N569" s="104">
        <v>45963</v>
      </c>
      <c r="O569" s="98">
        <v>31.799999999999997</v>
      </c>
      <c r="P569" s="98">
        <f>INDEX($C$1:$I$1,MATCH(Tabel3[[#This Row],[Type]],Devoirs[[#Headers],[J0]:[J60]],0))</f>
        <v>15</v>
      </c>
      <c r="Q569" s="105" cm="1">
        <f t="array" aca="1" ref="Q56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45968.338645833472</v>
      </c>
      <c r="R569" s="105">
        <f ca="1">MAX(Tabel3[[#This Row],[jour]]+$R$3,IF(ROW()-ROW(Tabel3[[#Headers],[debut]])=1,DATE(2025,9,1)+$R$3,OFFSET(Tabel3[[#This Row],[fin]],-1,)))</f>
        <v>45972.697187500118</v>
      </c>
      <c r="S5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45972.719270833455</v>
      </c>
      <c r="T569" s="102">
        <f ca="1">--(Tabel3[[#This Row],[jour]]&lt;&gt;TRUNC(Tabel3[[#This Row],[fin]]))</f>
        <v>1</v>
      </c>
      <c r="U569" s="102">
        <f ca="1">IF(Tabel3[[#This Row],[Type]]="j0",0,--(TRUNC(Tabel3[[#This Row],[debut]])-TRUNC(Tabel3[[#This Row],[fin precedent]])&lt;Tabel3[[#This Row],[delai]]))</f>
        <v>1</v>
      </c>
    </row>
    <row r="570" spans="12:21" ht="18" customHeight="1" x14ac:dyDescent="0.2">
      <c r="L570" s="98" t="s">
        <v>141</v>
      </c>
      <c r="M570" s="98" t="s">
        <v>42</v>
      </c>
      <c r="N570" s="104">
        <v>45965</v>
      </c>
      <c r="O570" s="98">
        <v>9.4499999999999993</v>
      </c>
      <c r="P570" s="98">
        <f>INDEX($C$1:$I$1,MATCH(Tabel3[[#This Row],[Type]],Devoirs[[#Headers],[J0]:[J60]],0))</f>
        <v>30</v>
      </c>
      <c r="Q570" s="105" cm="1">
        <f t="array" aca="1" ref="Q57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45952.518263888938</v>
      </c>
      <c r="R570" s="105">
        <f ca="1">MAX(Tabel3[[#This Row],[jour]]+$R$3,IF(ROW()-ROW(Tabel3[[#Headers],[debut]])=1,DATE(2025,9,1)+$R$3,OFFSET(Tabel3[[#This Row],[fin]],-1,)))</f>
        <v>45972.719270833455</v>
      </c>
      <c r="S57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45972.725833333454</v>
      </c>
      <c r="T570" s="102">
        <f ca="1">--(Tabel3[[#This Row],[jour]]&lt;&gt;TRUNC(Tabel3[[#This Row],[fin]]))</f>
        <v>1</v>
      </c>
      <c r="U570" s="102">
        <f ca="1">IF(Tabel3[[#This Row],[Type]]="j0",0,--(TRUNC(Tabel3[[#This Row],[debut]])-TRUNC(Tabel3[[#This Row],[fin precedent]])&lt;Tabel3[[#This Row],[delai]]))</f>
        <v>1</v>
      </c>
    </row>
    <row r="571" spans="12:21" ht="18" customHeight="1" x14ac:dyDescent="0.2">
      <c r="L571" s="98" t="s">
        <v>63</v>
      </c>
      <c r="M571" s="98" t="s">
        <v>41</v>
      </c>
      <c r="N571" s="104">
        <v>45966</v>
      </c>
      <c r="O571" s="98">
        <v>21.3</v>
      </c>
      <c r="P571" s="98">
        <f>INDEX($C$1:$I$1,MATCH(Tabel3[[#This Row],[Type]],Devoirs[[#Headers],[J0]:[J60]],0))</f>
        <v>15</v>
      </c>
      <c r="Q571" s="105" cm="1">
        <f t="array" aca="1" ref="Q57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45968.636250000134</v>
      </c>
      <c r="R571" s="105">
        <f ca="1">MAX(Tabel3[[#This Row],[jour]]+$R$3,IF(ROW()-ROW(Tabel3[[#Headers],[debut]])=1,DATE(2025,9,1)+$R$3,OFFSET(Tabel3[[#This Row],[fin]],-1,)))</f>
        <v>45972.725833333454</v>
      </c>
      <c r="S57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45972.740625000122</v>
      </c>
      <c r="T571" s="102">
        <f ca="1">--(Tabel3[[#This Row],[jour]]&lt;&gt;TRUNC(Tabel3[[#This Row],[fin]]))</f>
        <v>1</v>
      </c>
      <c r="U571" s="102">
        <f ca="1">IF(Tabel3[[#This Row],[Type]]="j0",0,--(TRUNC(Tabel3[[#This Row],[debut]])-TRUNC(Tabel3[[#This Row],[fin precedent]])&lt;Tabel3[[#This Row],[delai]]))</f>
        <v>1</v>
      </c>
    </row>
    <row r="572" spans="12:21" ht="18" customHeight="1" x14ac:dyDescent="0.2">
      <c r="L572" s="98" t="s">
        <v>91</v>
      </c>
      <c r="M572" s="98" t="s">
        <v>41</v>
      </c>
      <c r="N572" s="104">
        <v>45966</v>
      </c>
      <c r="O572" s="98">
        <v>21.3</v>
      </c>
      <c r="P572" s="98">
        <f>INDEX($C$1:$I$1,MATCH(Tabel3[[#This Row],[Type]],Devoirs[[#Headers],[J0]:[J60]],0))</f>
        <v>15</v>
      </c>
      <c r="Q572" s="105" cm="1">
        <f t="array" aca="1" ref="Q57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45968.658437500133</v>
      </c>
      <c r="R572" s="105">
        <f ca="1">MAX(Tabel3[[#This Row],[jour]]+$R$3,IF(ROW()-ROW(Tabel3[[#Headers],[debut]])=1,DATE(2025,9,1)+$R$3,OFFSET(Tabel3[[#This Row],[fin]],-1,)))</f>
        <v>45972.740625000122</v>
      </c>
      <c r="S57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45973.338750000126</v>
      </c>
      <c r="T572" s="102">
        <f ca="1">--(Tabel3[[#This Row],[jour]]&lt;&gt;TRUNC(Tabel3[[#This Row],[fin]]))</f>
        <v>1</v>
      </c>
      <c r="U572" s="102">
        <f ca="1">IF(Tabel3[[#This Row],[Type]]="j0",0,--(TRUNC(Tabel3[[#This Row],[debut]])-TRUNC(Tabel3[[#This Row],[fin precedent]])&lt;Tabel3[[#This Row],[delai]]))</f>
        <v>1</v>
      </c>
    </row>
    <row r="573" spans="12:21" ht="18" customHeight="1" x14ac:dyDescent="0.2">
      <c r="L573" s="98" t="s">
        <v>103</v>
      </c>
      <c r="M573" s="98" t="s">
        <v>41</v>
      </c>
      <c r="N573" s="104">
        <v>45967</v>
      </c>
      <c r="O573" s="98">
        <v>10.799999999999999</v>
      </c>
      <c r="P573" s="98">
        <f>INDEX($C$1:$I$1,MATCH(Tabel3[[#This Row],[Type]],Devoirs[[#Headers],[J0]:[J60]],0))</f>
        <v>15</v>
      </c>
      <c r="Q573" s="105" cm="1">
        <f t="array" aca="1" ref="Q57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45968.722812500135</v>
      </c>
      <c r="R573" s="105">
        <f ca="1">MAX(Tabel3[[#This Row],[jour]]+$R$3,IF(ROW()-ROW(Tabel3[[#Headers],[debut]])=1,DATE(2025,9,1)+$R$3,OFFSET(Tabel3[[#This Row],[fin]],-1,)))</f>
        <v>45973.338750000126</v>
      </c>
      <c r="S57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45973.346250000126</v>
      </c>
      <c r="T573" s="102">
        <f ca="1">--(Tabel3[[#This Row],[jour]]&lt;&gt;TRUNC(Tabel3[[#This Row],[fin]]))</f>
        <v>1</v>
      </c>
      <c r="U573" s="102">
        <f ca="1">IF(Tabel3[[#This Row],[Type]]="j0",0,--(TRUNC(Tabel3[[#This Row],[debut]])-TRUNC(Tabel3[[#This Row],[fin precedent]])&lt;Tabel3[[#This Row],[delai]]))</f>
        <v>1</v>
      </c>
    </row>
    <row r="574" spans="12:21" ht="18" customHeight="1" x14ac:dyDescent="0.2">
      <c r="L574" s="98" t="s">
        <v>126</v>
      </c>
      <c r="M574" s="98" t="s">
        <v>41</v>
      </c>
      <c r="N574" s="104">
        <v>45967</v>
      </c>
      <c r="O574" s="98">
        <v>19.8</v>
      </c>
      <c r="P574" s="98">
        <f>INDEX($C$1:$I$1,MATCH(Tabel3[[#This Row],[Type]],Devoirs[[#Headers],[J0]:[J60]],0))</f>
        <v>15</v>
      </c>
      <c r="Q574" s="105" cm="1">
        <f t="array" aca="1" ref="Q57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45968.743437500132</v>
      </c>
      <c r="R574" s="105">
        <f ca="1">MAX(Tabel3[[#This Row],[jour]]+$R$3,IF(ROW()-ROW(Tabel3[[#Headers],[debut]])=1,DATE(2025,9,1)+$R$3,OFFSET(Tabel3[[#This Row],[fin]],-1,)))</f>
        <v>45973.346250000126</v>
      </c>
      <c r="S57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45973.360000000124</v>
      </c>
      <c r="T574" s="102">
        <f ca="1">--(Tabel3[[#This Row],[jour]]&lt;&gt;TRUNC(Tabel3[[#This Row],[fin]]))</f>
        <v>1</v>
      </c>
      <c r="U574" s="102">
        <f ca="1">IF(Tabel3[[#This Row],[Type]]="j0",0,--(TRUNC(Tabel3[[#This Row],[debut]])-TRUNC(Tabel3[[#This Row],[fin precedent]])&lt;Tabel3[[#This Row],[delai]]))</f>
        <v>1</v>
      </c>
    </row>
    <row r="575" spans="12:21" ht="18" customHeight="1" x14ac:dyDescent="0.2">
      <c r="L575" s="98" t="s">
        <v>70</v>
      </c>
      <c r="M575" s="98" t="s">
        <v>41</v>
      </c>
      <c r="N575" s="104">
        <v>45967</v>
      </c>
      <c r="O575" s="98">
        <v>25.2</v>
      </c>
      <c r="P575" s="98">
        <f>INDEX($C$1:$I$1,MATCH(Tabel3[[#This Row],[Type]],Devoirs[[#Headers],[J0]:[J60]],0))</f>
        <v>15</v>
      </c>
      <c r="Q575" s="105" cm="1">
        <f t="array" aca="1" ref="Q57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45971.353020833471</v>
      </c>
      <c r="R575" s="105">
        <f ca="1">MAX(Tabel3[[#This Row],[jour]]+$R$3,IF(ROW()-ROW(Tabel3[[#Headers],[debut]])=1,DATE(2025,9,1)+$R$3,OFFSET(Tabel3[[#This Row],[fin]],-1,)))</f>
        <v>45973.360000000124</v>
      </c>
      <c r="S57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45973.377500000126</v>
      </c>
      <c r="T575" s="102">
        <f ca="1">--(Tabel3[[#This Row],[jour]]&lt;&gt;TRUNC(Tabel3[[#This Row],[fin]]))</f>
        <v>1</v>
      </c>
      <c r="U575" s="102">
        <f ca="1">IF(Tabel3[[#This Row],[Type]]="j0",0,--(TRUNC(Tabel3[[#This Row],[debut]])-TRUNC(Tabel3[[#This Row],[fin precedent]])&lt;Tabel3[[#This Row],[delai]]))</f>
        <v>1</v>
      </c>
    </row>
    <row r="576" spans="12:21" ht="18" customHeight="1" x14ac:dyDescent="0.2">
      <c r="L576" s="98" t="s">
        <v>71</v>
      </c>
      <c r="M576" s="98" t="s">
        <v>41</v>
      </c>
      <c r="N576" s="104">
        <v>45967</v>
      </c>
      <c r="O576" s="98">
        <v>30.299999999999997</v>
      </c>
      <c r="P576" s="98">
        <f>INDEX($C$1:$I$1,MATCH(Tabel3[[#This Row],[Type]],Devoirs[[#Headers],[J0]:[J60]],0))</f>
        <v>15</v>
      </c>
      <c r="Q576" s="105" cm="1">
        <f t="array" aca="1" ref="Q57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45971.384583333471</v>
      </c>
      <c r="R576" s="105">
        <f ca="1">MAX(Tabel3[[#This Row],[jour]]+$R$3,IF(ROW()-ROW(Tabel3[[#Headers],[debut]])=1,DATE(2025,9,1)+$R$3,OFFSET(Tabel3[[#This Row],[fin]],-1,)))</f>
        <v>45973.377500000126</v>
      </c>
      <c r="S57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45973.398541666793</v>
      </c>
      <c r="T576" s="102">
        <f ca="1">--(Tabel3[[#This Row],[jour]]&lt;&gt;TRUNC(Tabel3[[#This Row],[fin]]))</f>
        <v>1</v>
      </c>
      <c r="U576" s="102">
        <f ca="1">IF(Tabel3[[#This Row],[Type]]="j0",0,--(TRUNC(Tabel3[[#This Row],[debut]])-TRUNC(Tabel3[[#This Row],[fin precedent]])&lt;Tabel3[[#This Row],[delai]]))</f>
        <v>1</v>
      </c>
    </row>
    <row r="577" spans="12:21" ht="18" customHeight="1" x14ac:dyDescent="0.2">
      <c r="L577" s="98" t="s">
        <v>65</v>
      </c>
      <c r="M577" s="98" t="s">
        <v>41</v>
      </c>
      <c r="N577" s="104">
        <v>45967</v>
      </c>
      <c r="O577" s="98">
        <v>32.699999999999996</v>
      </c>
      <c r="P577" s="98">
        <f>INDEX($C$1:$I$1,MATCH(Tabel3[[#This Row],[Type]],Devoirs[[#Headers],[J0]:[J60]],0))</f>
        <v>15</v>
      </c>
      <c r="Q577" s="105" cm="1">
        <f t="array" aca="1" ref="Q57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45971.418645833473</v>
      </c>
      <c r="R577" s="105">
        <f ca="1">MAX(Tabel3[[#This Row],[jour]]+$R$3,IF(ROW()-ROW(Tabel3[[#Headers],[debut]])=1,DATE(2025,9,1)+$R$3,OFFSET(Tabel3[[#This Row],[fin]],-1,)))</f>
        <v>45973.398541666793</v>
      </c>
      <c r="S57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45973.421250000123</v>
      </c>
      <c r="T577" s="102">
        <f ca="1">--(Tabel3[[#This Row],[jour]]&lt;&gt;TRUNC(Tabel3[[#This Row],[fin]]))</f>
        <v>1</v>
      </c>
      <c r="U577" s="102">
        <f ca="1">IF(Tabel3[[#This Row],[Type]]="j0",0,--(TRUNC(Tabel3[[#This Row],[debut]])-TRUNC(Tabel3[[#This Row],[fin precedent]])&lt;Tabel3[[#This Row],[delai]]))</f>
        <v>1</v>
      </c>
    </row>
    <row r="578" spans="12:21" ht="18" customHeight="1" x14ac:dyDescent="0.2">
      <c r="L578" s="98" t="s">
        <v>140</v>
      </c>
      <c r="M578" s="98" t="s">
        <v>42</v>
      </c>
      <c r="N578" s="104">
        <v>45968</v>
      </c>
      <c r="O578" s="98">
        <v>10.35</v>
      </c>
      <c r="P578" s="98">
        <f>INDEX($C$1:$I$1,MATCH(Tabel3[[#This Row],[Type]],Devoirs[[#Headers],[J0]:[J60]],0))</f>
        <v>30</v>
      </c>
      <c r="Q578" s="105" cm="1">
        <f t="array" aca="1" ref="Q57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45957.416250000068</v>
      </c>
      <c r="R578" s="105">
        <f ca="1">MAX(Tabel3[[#This Row],[jour]]+$R$3,IF(ROW()-ROW(Tabel3[[#Headers],[debut]])=1,DATE(2025,9,1)+$R$3,OFFSET(Tabel3[[#This Row],[fin]],-1,)))</f>
        <v>45973.421250000123</v>
      </c>
      <c r="S57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45973.428437500123</v>
      </c>
      <c r="T578" s="102">
        <f ca="1">--(Tabel3[[#This Row],[jour]]&lt;&gt;TRUNC(Tabel3[[#This Row],[fin]]))</f>
        <v>1</v>
      </c>
      <c r="U578" s="102">
        <f ca="1">IF(Tabel3[[#This Row],[Type]]="j0",0,--(TRUNC(Tabel3[[#This Row],[debut]])-TRUNC(Tabel3[[#This Row],[fin precedent]])&lt;Tabel3[[#This Row],[delai]]))</f>
        <v>1</v>
      </c>
    </row>
    <row r="579" spans="12:21" ht="18" customHeight="1" x14ac:dyDescent="0.2">
      <c r="L579" s="98" t="s">
        <v>133</v>
      </c>
      <c r="M579" s="98" t="s">
        <v>42</v>
      </c>
      <c r="N579" s="104">
        <v>45968</v>
      </c>
      <c r="O579" s="98">
        <v>11.7</v>
      </c>
      <c r="P579" s="98">
        <f>INDEX($C$1:$I$1,MATCH(Tabel3[[#This Row],[Type]],Devoirs[[#Headers],[J0]:[J60]],0))</f>
        <v>30</v>
      </c>
      <c r="Q579" s="105" cm="1">
        <f t="array" aca="1" ref="Q57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45957.432500000068</v>
      </c>
      <c r="R579" s="105">
        <f ca="1">MAX(Tabel3[[#This Row],[jour]]+$R$3,IF(ROW()-ROW(Tabel3[[#Headers],[debut]])=1,DATE(2025,9,1)+$R$3,OFFSET(Tabel3[[#This Row],[fin]],-1,)))</f>
        <v>45973.428437500123</v>
      </c>
      <c r="S57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45973.436562500123</v>
      </c>
      <c r="T579" s="102">
        <f ca="1">--(Tabel3[[#This Row],[jour]]&lt;&gt;TRUNC(Tabel3[[#This Row],[fin]]))</f>
        <v>1</v>
      </c>
      <c r="U579" s="102">
        <f ca="1">IF(Tabel3[[#This Row],[Type]]="j0",0,--(TRUNC(Tabel3[[#This Row],[debut]])-TRUNC(Tabel3[[#This Row],[fin precedent]])&lt;Tabel3[[#This Row],[delai]]))</f>
        <v>1</v>
      </c>
    </row>
    <row r="580" spans="12:21" ht="18" customHeight="1" x14ac:dyDescent="0.2">
      <c r="L580" s="98" t="s">
        <v>376</v>
      </c>
      <c r="M580" s="98" t="s">
        <v>42</v>
      </c>
      <c r="N580" s="104">
        <v>45968</v>
      </c>
      <c r="O580" s="98">
        <v>12.45</v>
      </c>
      <c r="P580" s="98">
        <f>INDEX($C$1:$I$1,MATCH(Tabel3[[#This Row],[Type]],Devoirs[[#Headers],[J0]:[J60]],0))</f>
        <v>30</v>
      </c>
      <c r="Q580" s="105" cm="1">
        <f t="array" aca="1" ref="Q58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45957.449791666731</v>
      </c>
      <c r="R580" s="105">
        <f ca="1">MAX(Tabel3[[#This Row],[jour]]+$R$3,IF(ROW()-ROW(Tabel3[[#Headers],[debut]])=1,DATE(2025,9,1)+$R$3,OFFSET(Tabel3[[#This Row],[fin]],-1,)))</f>
        <v>45973.436562500123</v>
      </c>
      <c r="S58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45973.445208333455</v>
      </c>
      <c r="T580" s="102">
        <f ca="1">--(Tabel3[[#This Row],[jour]]&lt;&gt;TRUNC(Tabel3[[#This Row],[fin]]))</f>
        <v>1</v>
      </c>
      <c r="U580" s="102">
        <f ca="1">IF(Tabel3[[#This Row],[Type]]="j0",0,--(TRUNC(Tabel3[[#This Row],[debut]])-TRUNC(Tabel3[[#This Row],[fin precedent]])&lt;Tabel3[[#This Row],[delai]]))</f>
        <v>1</v>
      </c>
    </row>
    <row r="581" spans="12:21" ht="18" customHeight="1" x14ac:dyDescent="0.2">
      <c r="L581" s="98" t="s">
        <v>115</v>
      </c>
      <c r="M581" s="98" t="s">
        <v>42</v>
      </c>
      <c r="N581" s="104">
        <v>45968</v>
      </c>
      <c r="O581" s="98">
        <v>12.75</v>
      </c>
      <c r="P581" s="98">
        <f>INDEX($C$1:$I$1,MATCH(Tabel3[[#This Row],[Type]],Devoirs[[#Headers],[J0]:[J60]],0))</f>
        <v>30</v>
      </c>
      <c r="Q581" s="105" cm="1">
        <f t="array" aca="1" ref="Q58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45957.467500000064</v>
      </c>
      <c r="R581" s="105">
        <f ca="1">MAX(Tabel3[[#This Row],[jour]]+$R$3,IF(ROW()-ROW(Tabel3[[#Headers],[debut]])=1,DATE(2025,9,1)+$R$3,OFFSET(Tabel3[[#This Row],[fin]],-1,)))</f>
        <v>45973.445208333455</v>
      </c>
      <c r="S58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45973.454062500125</v>
      </c>
      <c r="T581" s="102">
        <f ca="1">--(Tabel3[[#This Row],[jour]]&lt;&gt;TRUNC(Tabel3[[#This Row],[fin]]))</f>
        <v>1</v>
      </c>
      <c r="U581" s="102">
        <f ca="1">IF(Tabel3[[#This Row],[Type]]="j0",0,--(TRUNC(Tabel3[[#This Row],[debut]])-TRUNC(Tabel3[[#This Row],[fin precedent]])&lt;Tabel3[[#This Row],[delai]]))</f>
        <v>1</v>
      </c>
    </row>
    <row r="582" spans="12:21" ht="18" customHeight="1" x14ac:dyDescent="0.2">
      <c r="L582" s="98" t="s">
        <v>113</v>
      </c>
      <c r="M582" s="98" t="s">
        <v>42</v>
      </c>
      <c r="N582" s="104">
        <v>45968</v>
      </c>
      <c r="O582" s="98">
        <v>13.95</v>
      </c>
      <c r="P582" s="98">
        <f>INDEX($C$1:$I$1,MATCH(Tabel3[[#This Row],[Type]],Devoirs[[#Headers],[J0]:[J60]],0))</f>
        <v>30</v>
      </c>
      <c r="Q582" s="105" cm="1">
        <f t="array" aca="1" ref="Q58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45957.486875000068</v>
      </c>
      <c r="R582" s="105">
        <f ca="1">MAX(Tabel3[[#This Row],[jour]]+$R$3,IF(ROW()-ROW(Tabel3[[#Headers],[debut]])=1,DATE(2025,9,1)+$R$3,OFFSET(Tabel3[[#This Row],[fin]],-1,)))</f>
        <v>45973.454062500125</v>
      </c>
      <c r="S58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45973.463750000126</v>
      </c>
      <c r="T582" s="102">
        <f ca="1">--(Tabel3[[#This Row],[jour]]&lt;&gt;TRUNC(Tabel3[[#This Row],[fin]]))</f>
        <v>1</v>
      </c>
      <c r="U582" s="102">
        <f ca="1">IF(Tabel3[[#This Row],[Type]]="j0",0,--(TRUNC(Tabel3[[#This Row],[debut]])-TRUNC(Tabel3[[#This Row],[fin precedent]])&lt;Tabel3[[#This Row],[delai]]))</f>
        <v>1</v>
      </c>
    </row>
    <row r="583" spans="12:21" ht="18" customHeight="1" x14ac:dyDescent="0.2">
      <c r="L583" s="98" t="s">
        <v>130</v>
      </c>
      <c r="M583" s="98" t="s">
        <v>42</v>
      </c>
      <c r="N583" s="104">
        <v>45968</v>
      </c>
      <c r="O583" s="98">
        <v>15.149999999999999</v>
      </c>
      <c r="P583" s="98">
        <f>INDEX($C$1:$I$1,MATCH(Tabel3[[#This Row],[Type]],Devoirs[[#Headers],[J0]:[J60]],0))</f>
        <v>30</v>
      </c>
      <c r="Q583" s="105" cm="1">
        <f t="array" aca="1" ref="Q58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45957.507916666735</v>
      </c>
      <c r="R583" s="105">
        <f ca="1">MAX(Tabel3[[#This Row],[jour]]+$R$3,IF(ROW()-ROW(Tabel3[[#Headers],[debut]])=1,DATE(2025,9,1)+$R$3,OFFSET(Tabel3[[#This Row],[fin]],-1,)))</f>
        <v>45973.463750000126</v>
      </c>
      <c r="S58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45973.47427083346</v>
      </c>
      <c r="T583" s="102">
        <f ca="1">--(Tabel3[[#This Row],[jour]]&lt;&gt;TRUNC(Tabel3[[#This Row],[fin]]))</f>
        <v>1</v>
      </c>
      <c r="U583" s="102">
        <f ca="1">IF(Tabel3[[#This Row],[Type]]="j0",0,--(TRUNC(Tabel3[[#This Row],[debut]])-TRUNC(Tabel3[[#This Row],[fin precedent]])&lt;Tabel3[[#This Row],[delai]]))</f>
        <v>1</v>
      </c>
    </row>
    <row r="584" spans="12:21" ht="18" customHeight="1" x14ac:dyDescent="0.2">
      <c r="L584" s="98" t="s">
        <v>106</v>
      </c>
      <c r="M584" s="98" t="s">
        <v>42</v>
      </c>
      <c r="N584" s="104">
        <v>45968</v>
      </c>
      <c r="O584" s="98">
        <v>15.899999999999999</v>
      </c>
      <c r="P584" s="98">
        <f>INDEX($C$1:$I$1,MATCH(Tabel3[[#This Row],[Type]],Devoirs[[#Headers],[J0]:[J60]],0))</f>
        <v>30</v>
      </c>
      <c r="Q584" s="105" cm="1">
        <f t="array" aca="1" ref="Q58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45957.530000000072</v>
      </c>
      <c r="R584" s="105">
        <f ca="1">MAX(Tabel3[[#This Row],[jour]]+$R$3,IF(ROW()-ROW(Tabel3[[#Headers],[debut]])=1,DATE(2025,9,1)+$R$3,OFFSET(Tabel3[[#This Row],[fin]],-1,)))</f>
        <v>45973.47427083346</v>
      </c>
      <c r="S58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45973.485312500125</v>
      </c>
      <c r="T584" s="102">
        <f ca="1">--(Tabel3[[#This Row],[jour]]&lt;&gt;TRUNC(Tabel3[[#This Row],[fin]]))</f>
        <v>1</v>
      </c>
      <c r="U584" s="102">
        <f ca="1">IF(Tabel3[[#This Row],[Type]]="j0",0,--(TRUNC(Tabel3[[#This Row],[debut]])-TRUNC(Tabel3[[#This Row],[fin precedent]])&lt;Tabel3[[#This Row],[delai]]))</f>
        <v>1</v>
      </c>
    </row>
    <row r="585" spans="12:21" ht="18" customHeight="1" x14ac:dyDescent="0.2">
      <c r="L585" s="98" t="s">
        <v>60</v>
      </c>
      <c r="M585" s="98" t="s">
        <v>41</v>
      </c>
      <c r="N585" s="104">
        <v>45968</v>
      </c>
      <c r="O585" s="98">
        <v>12</v>
      </c>
      <c r="P585" s="98">
        <f>INDEX($C$1:$I$1,MATCH(Tabel3[[#This Row],[Type]],Devoirs[[#Headers],[J0]:[J60]],0))</f>
        <v>15</v>
      </c>
      <c r="Q585" s="105" cm="1">
        <f t="array" aca="1" ref="Q58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45971.497812500136</v>
      </c>
      <c r="R585" s="105">
        <f ca="1">MAX(Tabel3[[#This Row],[jour]]+$R$3,IF(ROW()-ROW(Tabel3[[#Headers],[debut]])=1,DATE(2025,9,1)+$R$3,OFFSET(Tabel3[[#This Row],[fin]],-1,)))</f>
        <v>45973.485312500125</v>
      </c>
      <c r="S58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45973.493645833456</v>
      </c>
      <c r="T585" s="102">
        <f ca="1">--(Tabel3[[#This Row],[jour]]&lt;&gt;TRUNC(Tabel3[[#This Row],[fin]]))</f>
        <v>1</v>
      </c>
      <c r="U585" s="102">
        <f ca="1">IF(Tabel3[[#This Row],[Type]]="j0",0,--(TRUNC(Tabel3[[#This Row],[debut]])-TRUNC(Tabel3[[#This Row],[fin precedent]])&lt;Tabel3[[#This Row],[delai]]))</f>
        <v>1</v>
      </c>
    </row>
    <row r="586" spans="12:21" ht="18" customHeight="1" x14ac:dyDescent="0.2">
      <c r="L586" s="98" t="s">
        <v>79</v>
      </c>
      <c r="M586" s="98" t="s">
        <v>41</v>
      </c>
      <c r="N586" s="104">
        <v>45968</v>
      </c>
      <c r="O586" s="98">
        <v>24.3</v>
      </c>
      <c r="P586" s="98">
        <f>INDEX($C$1:$I$1,MATCH(Tabel3[[#This Row],[Type]],Devoirs[[#Headers],[J0]:[J60]],0))</f>
        <v>15</v>
      </c>
      <c r="Q586" s="105" cm="1">
        <f t="array" aca="1" ref="Q58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45971.523125000138</v>
      </c>
      <c r="R586" s="105">
        <f ca="1">MAX(Tabel3[[#This Row],[jour]]+$R$3,IF(ROW()-ROW(Tabel3[[#Headers],[debut]])=1,DATE(2025,9,1)+$R$3,OFFSET(Tabel3[[#This Row],[fin]],-1,)))</f>
        <v>45973.493645833456</v>
      </c>
      <c r="S58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45973.510520833457</v>
      </c>
      <c r="T586" s="102">
        <f ca="1">--(Tabel3[[#This Row],[jour]]&lt;&gt;TRUNC(Tabel3[[#This Row],[fin]]))</f>
        <v>1</v>
      </c>
      <c r="U586" s="102">
        <f ca="1">IF(Tabel3[[#This Row],[Type]]="j0",0,--(TRUNC(Tabel3[[#This Row],[debut]])-TRUNC(Tabel3[[#This Row],[fin precedent]])&lt;Tabel3[[#This Row],[delai]]))</f>
        <v>1</v>
      </c>
    </row>
    <row r="587" spans="12:21" ht="18" customHeight="1" x14ac:dyDescent="0.2">
      <c r="L587" s="98" t="s">
        <v>128</v>
      </c>
      <c r="M587" s="98" t="s">
        <v>42</v>
      </c>
      <c r="N587" s="104">
        <v>45969</v>
      </c>
      <c r="O587" s="98">
        <v>10.5</v>
      </c>
      <c r="P587" s="98">
        <f>INDEX($C$1:$I$1,MATCH(Tabel3[[#This Row],[Type]],Devoirs[[#Headers],[J0]:[J60]],0))</f>
        <v>30</v>
      </c>
      <c r="Q587" s="105" cm="1">
        <f t="array" aca="1" ref="Q58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45958.520486111192</v>
      </c>
      <c r="R587" s="105">
        <f ca="1">MAX(Tabel3[[#This Row],[jour]]+$R$3,IF(ROW()-ROW(Tabel3[[#Headers],[debut]])=1,DATE(2025,9,1)+$R$3,OFFSET(Tabel3[[#This Row],[fin]],-1,)))</f>
        <v>45973.510520833457</v>
      </c>
      <c r="S58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45973.517812500126</v>
      </c>
      <c r="T587" s="102">
        <f ca="1">--(Tabel3[[#This Row],[jour]]&lt;&gt;TRUNC(Tabel3[[#This Row],[fin]]))</f>
        <v>1</v>
      </c>
      <c r="U587" s="102">
        <f ca="1">IF(Tabel3[[#This Row],[Type]]="j0",0,--(TRUNC(Tabel3[[#This Row],[debut]])-TRUNC(Tabel3[[#This Row],[fin precedent]])&lt;Tabel3[[#This Row],[delai]]))</f>
        <v>1</v>
      </c>
    </row>
    <row r="588" spans="12:21" ht="18" customHeight="1" x14ac:dyDescent="0.2">
      <c r="L588" s="98" t="s">
        <v>373</v>
      </c>
      <c r="M588" s="98" t="s">
        <v>42</v>
      </c>
      <c r="N588" s="104">
        <v>45969</v>
      </c>
      <c r="O588" s="98">
        <v>16.2</v>
      </c>
      <c r="P588" s="98">
        <f>INDEX($C$1:$I$1,MATCH(Tabel3[[#This Row],[Type]],Devoirs[[#Headers],[J0]:[J60]],0))</f>
        <v>30</v>
      </c>
      <c r="Q588" s="105" cm="1">
        <f t="array" aca="1" ref="Q58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45958.542986111192</v>
      </c>
      <c r="R588" s="105">
        <f ca="1">MAX(Tabel3[[#This Row],[jour]]+$R$3,IF(ROW()-ROW(Tabel3[[#Headers],[debut]])=1,DATE(2025,9,1)+$R$3,OFFSET(Tabel3[[#This Row],[fin]],-1,)))</f>
        <v>45973.517812500126</v>
      </c>
      <c r="S58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45973.529062500129</v>
      </c>
      <c r="T588" s="102">
        <f ca="1">--(Tabel3[[#This Row],[jour]]&lt;&gt;TRUNC(Tabel3[[#This Row],[fin]]))</f>
        <v>1</v>
      </c>
      <c r="U588" s="102">
        <f ca="1">IF(Tabel3[[#This Row],[Type]]="j0",0,--(TRUNC(Tabel3[[#This Row],[debut]])-TRUNC(Tabel3[[#This Row],[fin precedent]])&lt;Tabel3[[#This Row],[delai]]))</f>
        <v>1</v>
      </c>
    </row>
    <row r="589" spans="12:21" ht="18" customHeight="1" x14ac:dyDescent="0.2">
      <c r="L589" s="98" t="s">
        <v>83</v>
      </c>
      <c r="M589" s="98" t="s">
        <v>42</v>
      </c>
      <c r="N589" s="104">
        <v>45969</v>
      </c>
      <c r="O589" s="98">
        <v>16.649999999999999</v>
      </c>
      <c r="P589" s="98">
        <f>INDEX($C$1:$I$1,MATCH(Tabel3[[#This Row],[Type]],Devoirs[[#Headers],[J0]:[J60]],0))</f>
        <v>30</v>
      </c>
      <c r="Q589" s="105" cm="1">
        <f t="array" aca="1" ref="Q58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45958.566111111191</v>
      </c>
      <c r="R589" s="105">
        <f ca="1">MAX(Tabel3[[#This Row],[jour]]+$R$3,IF(ROW()-ROW(Tabel3[[#Headers],[debut]])=1,DATE(2025,9,1)+$R$3,OFFSET(Tabel3[[#This Row],[fin]],-1,)))</f>
        <v>45973.529062500129</v>
      </c>
      <c r="S58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45973.540625000132</v>
      </c>
      <c r="T589" s="102">
        <f ca="1">--(Tabel3[[#This Row],[jour]]&lt;&gt;TRUNC(Tabel3[[#This Row],[fin]]))</f>
        <v>1</v>
      </c>
      <c r="U589" s="102">
        <f ca="1">IF(Tabel3[[#This Row],[Type]]="j0",0,--(TRUNC(Tabel3[[#This Row],[debut]])-TRUNC(Tabel3[[#This Row],[fin precedent]])&lt;Tabel3[[#This Row],[delai]]))</f>
        <v>1</v>
      </c>
    </row>
    <row r="590" spans="12:21" ht="18" customHeight="1" x14ac:dyDescent="0.2">
      <c r="L590" s="98" t="s">
        <v>54</v>
      </c>
      <c r="M590" s="98" t="s">
        <v>41</v>
      </c>
      <c r="N590" s="104">
        <v>45969</v>
      </c>
      <c r="O590" s="98">
        <v>19.8</v>
      </c>
      <c r="P590" s="98">
        <f>INDEX($C$1:$I$1,MATCH(Tabel3[[#This Row],[Type]],Devoirs[[#Headers],[J0]:[J60]],0))</f>
        <v>15</v>
      </c>
      <c r="Q590" s="105" cm="1">
        <f t="array" aca="1" ref="Q59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45971.661875000136</v>
      </c>
      <c r="R590" s="105">
        <f ca="1">MAX(Tabel3[[#This Row],[jour]]+$R$3,IF(ROW()-ROW(Tabel3[[#Headers],[debut]])=1,DATE(2025,9,1)+$R$3,OFFSET(Tabel3[[#This Row],[fin]],-1,)))</f>
        <v>45973.540625000132</v>
      </c>
      <c r="S59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45973.554375000131</v>
      </c>
      <c r="T590" s="102">
        <f ca="1">--(Tabel3[[#This Row],[jour]]&lt;&gt;TRUNC(Tabel3[[#This Row],[fin]]))</f>
        <v>1</v>
      </c>
      <c r="U590" s="102">
        <f ca="1">IF(Tabel3[[#This Row],[Type]]="j0",0,--(TRUNC(Tabel3[[#This Row],[debut]])-TRUNC(Tabel3[[#This Row],[fin precedent]])&lt;Tabel3[[#This Row],[delai]]))</f>
        <v>1</v>
      </c>
    </row>
    <row r="591" spans="12:21" ht="18" customHeight="1" x14ac:dyDescent="0.2">
      <c r="L591" s="98" t="s">
        <v>97</v>
      </c>
      <c r="M591" s="98" t="s">
        <v>41</v>
      </c>
      <c r="N591" s="104">
        <v>45969</v>
      </c>
      <c r="O591" s="98">
        <v>33</v>
      </c>
      <c r="P591" s="98">
        <f>INDEX($C$1:$I$1,MATCH(Tabel3[[#This Row],[Type]],Devoirs[[#Headers],[J0]:[J60]],0))</f>
        <v>15</v>
      </c>
      <c r="Q591" s="105" cm="1">
        <f t="array" aca="1" ref="Q59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45971.696250000139</v>
      </c>
      <c r="R591" s="105">
        <f ca="1">MAX(Tabel3[[#This Row],[jour]]+$R$3,IF(ROW()-ROW(Tabel3[[#Headers],[debut]])=1,DATE(2025,9,1)+$R$3,OFFSET(Tabel3[[#This Row],[fin]],-1,)))</f>
        <v>45973.554375000131</v>
      </c>
      <c r="S59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45973.577291666799</v>
      </c>
      <c r="T591" s="102">
        <f ca="1">--(Tabel3[[#This Row],[jour]]&lt;&gt;TRUNC(Tabel3[[#This Row],[fin]]))</f>
        <v>1</v>
      </c>
      <c r="U591" s="102">
        <f ca="1">IF(Tabel3[[#This Row],[Type]]="j0",0,--(TRUNC(Tabel3[[#This Row],[debut]])-TRUNC(Tabel3[[#This Row],[fin precedent]])&lt;Tabel3[[#This Row],[delai]]))</f>
        <v>1</v>
      </c>
    </row>
    <row r="592" spans="12:21" ht="18" customHeight="1" x14ac:dyDescent="0.2">
      <c r="L592" s="98" t="s">
        <v>132</v>
      </c>
      <c r="M592" s="98" t="s">
        <v>41</v>
      </c>
      <c r="N592" s="104">
        <v>45970</v>
      </c>
      <c r="O592" s="98">
        <v>24.3</v>
      </c>
      <c r="P592" s="98">
        <f>INDEX($C$1:$I$1,MATCH(Tabel3[[#This Row],[Type]],Devoirs[[#Headers],[J0]:[J60]],0))</f>
        <v>15</v>
      </c>
      <c r="Q592" s="105" cm="1">
        <f t="array" aca="1" ref="Q59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45972.368229166801</v>
      </c>
      <c r="R592" s="105">
        <f ca="1">MAX(Tabel3[[#This Row],[jour]]+$R$3,IF(ROW()-ROW(Tabel3[[#Headers],[debut]])=1,DATE(2025,9,1)+$R$3,OFFSET(Tabel3[[#This Row],[fin]],-1,)))</f>
        <v>45973.577291666799</v>
      </c>
      <c r="S59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45973.5941666668</v>
      </c>
      <c r="T592" s="102">
        <f ca="1">--(Tabel3[[#This Row],[jour]]&lt;&gt;TRUNC(Tabel3[[#This Row],[fin]]))</f>
        <v>1</v>
      </c>
      <c r="U592" s="102">
        <f ca="1">IF(Tabel3[[#This Row],[Type]]="j0",0,--(TRUNC(Tabel3[[#This Row],[debut]])-TRUNC(Tabel3[[#This Row],[fin precedent]])&lt;Tabel3[[#This Row],[delai]]))</f>
        <v>1</v>
      </c>
    </row>
    <row r="593" spans="12:21" ht="18" customHeight="1" x14ac:dyDescent="0.2">
      <c r="L593" s="98" t="s">
        <v>139</v>
      </c>
      <c r="M593" s="98" t="s">
        <v>41</v>
      </c>
      <c r="N593" s="104">
        <v>45970</v>
      </c>
      <c r="O593" s="98">
        <v>32.4</v>
      </c>
      <c r="P593" s="98">
        <f>INDEX($C$1:$I$1,MATCH(Tabel3[[#This Row],[Type]],Devoirs[[#Headers],[J0]:[J60]],0))</f>
        <v>15</v>
      </c>
      <c r="Q593" s="105" cm="1">
        <f t="array" aca="1" ref="Q59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45972.401979166803</v>
      </c>
      <c r="R593" s="105">
        <f ca="1">MAX(Tabel3[[#This Row],[jour]]+$R$3,IF(ROW()-ROW(Tabel3[[#Headers],[debut]])=1,DATE(2025,9,1)+$R$3,OFFSET(Tabel3[[#This Row],[fin]],-1,)))</f>
        <v>45973.5941666668</v>
      </c>
      <c r="S59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45973.6166666668</v>
      </c>
      <c r="T593" s="102">
        <f ca="1">--(Tabel3[[#This Row],[jour]]&lt;&gt;TRUNC(Tabel3[[#This Row],[fin]]))</f>
        <v>1</v>
      </c>
      <c r="U593" s="102">
        <f ca="1">IF(Tabel3[[#This Row],[Type]]="j0",0,--(TRUNC(Tabel3[[#This Row],[debut]])-TRUNC(Tabel3[[#This Row],[fin precedent]])&lt;Tabel3[[#This Row],[delai]]))</f>
        <v>1</v>
      </c>
    </row>
    <row r="594" spans="12:21" ht="18" customHeight="1" x14ac:dyDescent="0.2">
      <c r="L594" s="98" t="s">
        <v>374</v>
      </c>
      <c r="M594" s="98" t="s">
        <v>42</v>
      </c>
      <c r="N594" s="104">
        <v>45971</v>
      </c>
      <c r="O594" s="98">
        <v>8.1</v>
      </c>
      <c r="P594" s="98">
        <f>INDEX($C$1:$I$1,MATCH(Tabel3[[#This Row],[Type]],Devoirs[[#Headers],[J0]:[J60]],0))</f>
        <v>30</v>
      </c>
      <c r="Q594" s="105" cm="1">
        <f t="array" aca="1" ref="Q59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45961.37531250008</v>
      </c>
      <c r="R594" s="105">
        <f ca="1">MAX(Tabel3[[#This Row],[jour]]+$R$3,IF(ROW()-ROW(Tabel3[[#Headers],[debut]])=1,DATE(2025,9,1)+$R$3,OFFSET(Tabel3[[#This Row],[fin]],-1,)))</f>
        <v>45973.6166666668</v>
      </c>
      <c r="S59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45973.622291666798</v>
      </c>
      <c r="T594" s="102">
        <f ca="1">--(Tabel3[[#This Row],[jour]]&lt;&gt;TRUNC(Tabel3[[#This Row],[fin]]))</f>
        <v>1</v>
      </c>
      <c r="U594" s="102">
        <f ca="1">IF(Tabel3[[#This Row],[Type]]="j0",0,--(TRUNC(Tabel3[[#This Row],[debut]])-TRUNC(Tabel3[[#This Row],[fin precedent]])&lt;Tabel3[[#This Row],[delai]]))</f>
        <v>1</v>
      </c>
    </row>
    <row r="595" spans="12:21" ht="18" customHeight="1" x14ac:dyDescent="0.2">
      <c r="L595" s="98" t="s">
        <v>61</v>
      </c>
      <c r="M595" s="98" t="s">
        <v>42</v>
      </c>
      <c r="N595" s="104">
        <v>45971</v>
      </c>
      <c r="O595" s="98">
        <v>9.4499999999999993</v>
      </c>
      <c r="P595" s="98">
        <f>INDEX($C$1:$I$1,MATCH(Tabel3[[#This Row],[Type]],Devoirs[[#Headers],[J0]:[J60]],0))</f>
        <v>30</v>
      </c>
      <c r="Q595" s="105" cm="1">
        <f t="array" aca="1" ref="Q59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45961.388437500078</v>
      </c>
      <c r="R595" s="105">
        <f ca="1">MAX(Tabel3[[#This Row],[jour]]+$R$3,IF(ROW()-ROW(Tabel3[[#Headers],[debut]])=1,DATE(2025,9,1)+$R$3,OFFSET(Tabel3[[#This Row],[fin]],-1,)))</f>
        <v>45973.622291666798</v>
      </c>
      <c r="S59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45973.628854166796</v>
      </c>
      <c r="T595" s="102">
        <f ca="1">--(Tabel3[[#This Row],[jour]]&lt;&gt;TRUNC(Tabel3[[#This Row],[fin]]))</f>
        <v>1</v>
      </c>
      <c r="U595" s="102">
        <f ca="1">IF(Tabel3[[#This Row],[Type]]="j0",0,--(TRUNC(Tabel3[[#This Row],[debut]])-TRUNC(Tabel3[[#This Row],[fin precedent]])&lt;Tabel3[[#This Row],[delai]]))</f>
        <v>1</v>
      </c>
    </row>
    <row r="596" spans="12:21" ht="18" customHeight="1" x14ac:dyDescent="0.2">
      <c r="L596" s="98" t="s">
        <v>118</v>
      </c>
      <c r="M596" s="98" t="s">
        <v>42</v>
      </c>
      <c r="N596" s="104">
        <v>45972</v>
      </c>
      <c r="O596" s="98">
        <v>6.75</v>
      </c>
      <c r="P596" s="98">
        <f>INDEX($C$1:$I$1,MATCH(Tabel3[[#This Row],[Type]],Devoirs[[#Headers],[J0]:[J60]],0))</f>
        <v>30</v>
      </c>
      <c r="Q596" s="105" cm="1">
        <f t="array" aca="1" ref="Q59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45961.707187500091</v>
      </c>
      <c r="R596" s="105">
        <f ca="1">MAX(Tabel3[[#This Row],[jour]]+$R$3,IF(ROW()-ROW(Tabel3[[#Headers],[debut]])=1,DATE(2025,9,1)+$R$3,OFFSET(Tabel3[[#This Row],[fin]],-1,)))</f>
        <v>45973.628854166796</v>
      </c>
      <c r="S59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45973.633541666793</v>
      </c>
      <c r="T596" s="102">
        <f ca="1">--(Tabel3[[#This Row],[jour]]&lt;&gt;TRUNC(Tabel3[[#This Row],[fin]]))</f>
        <v>1</v>
      </c>
      <c r="U596" s="102">
        <f ca="1">IF(Tabel3[[#This Row],[Type]]="j0",0,--(TRUNC(Tabel3[[#This Row],[debut]])-TRUNC(Tabel3[[#This Row],[fin precedent]])&lt;Tabel3[[#This Row],[delai]]))</f>
        <v>1</v>
      </c>
    </row>
    <row r="597" spans="12:21" ht="18" customHeight="1" x14ac:dyDescent="0.2">
      <c r="L597" s="98" t="s">
        <v>96</v>
      </c>
      <c r="M597" s="98" t="s">
        <v>42</v>
      </c>
      <c r="N597" s="104">
        <v>45972</v>
      </c>
      <c r="O597" s="98">
        <v>9.6</v>
      </c>
      <c r="P597" s="98">
        <f>INDEX($C$1:$I$1,MATCH(Tabel3[[#This Row],[Type]],Devoirs[[#Headers],[J0]:[J60]],0))</f>
        <v>30</v>
      </c>
      <c r="Q597" s="105" cm="1">
        <f t="array" aca="1" ref="Q59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45961.720520833427</v>
      </c>
      <c r="R597" s="105">
        <f ca="1">MAX(Tabel3[[#This Row],[jour]]+$R$3,IF(ROW()-ROW(Tabel3[[#Headers],[debut]])=1,DATE(2025,9,1)+$R$3,OFFSET(Tabel3[[#This Row],[fin]],-1,)))</f>
        <v>45973.633541666793</v>
      </c>
      <c r="S59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45973.640208333461</v>
      </c>
      <c r="T597" s="102">
        <f ca="1">--(Tabel3[[#This Row],[jour]]&lt;&gt;TRUNC(Tabel3[[#This Row],[fin]]))</f>
        <v>1</v>
      </c>
      <c r="U597" s="102">
        <f ca="1">IF(Tabel3[[#This Row],[Type]]="j0",0,--(TRUNC(Tabel3[[#This Row],[debut]])-TRUNC(Tabel3[[#This Row],[fin precedent]])&lt;Tabel3[[#This Row],[delai]]))</f>
        <v>1</v>
      </c>
    </row>
    <row r="598" spans="12:21" ht="18" customHeight="1" x14ac:dyDescent="0.2">
      <c r="L598" s="98" t="s">
        <v>78</v>
      </c>
      <c r="M598" s="98" t="s">
        <v>42</v>
      </c>
      <c r="N598" s="104">
        <v>45972</v>
      </c>
      <c r="O598" s="98">
        <v>13.049999999999999</v>
      </c>
      <c r="P598" s="98">
        <f>INDEX($C$1:$I$1,MATCH(Tabel3[[#This Row],[Type]],Devoirs[[#Headers],[J0]:[J60]],0))</f>
        <v>30</v>
      </c>
      <c r="Q598" s="105" cm="1">
        <f t="array" aca="1" ref="Q59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45961.738645833429</v>
      </c>
      <c r="R598" s="105">
        <f ca="1">MAX(Tabel3[[#This Row],[jour]]+$R$3,IF(ROW()-ROW(Tabel3[[#Headers],[debut]])=1,DATE(2025,9,1)+$R$3,OFFSET(Tabel3[[#This Row],[fin]],-1,)))</f>
        <v>45973.640208333461</v>
      </c>
      <c r="S59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45973.649270833463</v>
      </c>
      <c r="T598" s="102">
        <f ca="1">--(Tabel3[[#This Row],[jour]]&lt;&gt;TRUNC(Tabel3[[#This Row],[fin]]))</f>
        <v>1</v>
      </c>
      <c r="U598" s="102">
        <f ca="1">IF(Tabel3[[#This Row],[Type]]="j0",0,--(TRUNC(Tabel3[[#This Row],[debut]])-TRUNC(Tabel3[[#This Row],[fin precedent]])&lt;Tabel3[[#This Row],[delai]]))</f>
        <v>1</v>
      </c>
    </row>
    <row r="599" spans="12:21" ht="18" customHeight="1" x14ac:dyDescent="0.2">
      <c r="L599" s="98" t="s">
        <v>66</v>
      </c>
      <c r="M599" s="98" t="s">
        <v>42</v>
      </c>
      <c r="N599" s="104">
        <v>45972</v>
      </c>
      <c r="O599" s="98">
        <v>13.799999999999999</v>
      </c>
      <c r="P599" s="98">
        <f>INDEX($C$1:$I$1,MATCH(Tabel3[[#This Row],[Type]],Devoirs[[#Headers],[J0]:[J60]],0))</f>
        <v>30</v>
      </c>
      <c r="Q599" s="105" cm="1">
        <f t="array" aca="1" ref="Q59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45964.34114583343</v>
      </c>
      <c r="R599" s="105">
        <f ca="1">MAX(Tabel3[[#This Row],[jour]]+$R$3,IF(ROW()-ROW(Tabel3[[#Headers],[debut]])=1,DATE(2025,9,1)+$R$3,OFFSET(Tabel3[[#This Row],[fin]],-1,)))</f>
        <v>45973.649270833463</v>
      </c>
      <c r="S59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45973.658854166795</v>
      </c>
      <c r="T599" s="102">
        <f ca="1">--(Tabel3[[#This Row],[jour]]&lt;&gt;TRUNC(Tabel3[[#This Row],[fin]]))</f>
        <v>1</v>
      </c>
      <c r="U599" s="102">
        <f ca="1">IF(Tabel3[[#This Row],[Type]]="j0",0,--(TRUNC(Tabel3[[#This Row],[debut]])-TRUNC(Tabel3[[#This Row],[fin precedent]])&lt;Tabel3[[#This Row],[delai]]))</f>
        <v>1</v>
      </c>
    </row>
    <row r="600" spans="12:21" ht="18" customHeight="1" x14ac:dyDescent="0.2">
      <c r="L600" s="98" t="s">
        <v>44</v>
      </c>
      <c r="M600" s="98" t="s">
        <v>42</v>
      </c>
      <c r="N600" s="104">
        <v>45975</v>
      </c>
      <c r="O600" s="98">
        <v>14.399999999999999</v>
      </c>
      <c r="P600" s="98">
        <f>INDEX($C$1:$I$1,MATCH(Tabel3[[#This Row],[Type]],Devoirs[[#Headers],[J0]:[J60]],0))</f>
        <v>30</v>
      </c>
      <c r="Q600" s="105" cm="1">
        <f t="array" aca="1" ref="Q60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45965.659062500112</v>
      </c>
      <c r="R600" s="105">
        <f ca="1">MAX(Tabel3[[#This Row],[jour]]+$R$3,IF(ROW()-ROW(Tabel3[[#Headers],[debut]])=1,DATE(2025,9,1)+$R$3,OFFSET(Tabel3[[#This Row],[fin]],-1,)))</f>
        <v>45975.333333333336</v>
      </c>
      <c r="S60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45975.343333333338</v>
      </c>
      <c r="T600" s="102">
        <f ca="1">--(Tabel3[[#This Row],[jour]]&lt;&gt;TRUNC(Tabel3[[#This Row],[fin]]))</f>
        <v>0</v>
      </c>
      <c r="U600" s="102">
        <f ca="1">IF(Tabel3[[#This Row],[Type]]="j0",0,--(TRUNC(Tabel3[[#This Row],[debut]])-TRUNC(Tabel3[[#This Row],[fin precedent]])&lt;Tabel3[[#This Row],[delai]]))</f>
        <v>1</v>
      </c>
    </row>
    <row r="601" spans="12:21" ht="18" customHeight="1" x14ac:dyDescent="0.2">
      <c r="L601" s="98" t="s">
        <v>108</v>
      </c>
      <c r="M601" s="98" t="s">
        <v>42</v>
      </c>
      <c r="N601" s="104">
        <v>45975</v>
      </c>
      <c r="O601" s="98">
        <v>16.95</v>
      </c>
      <c r="P601" s="98">
        <f>INDEX($C$1:$I$1,MATCH(Tabel3[[#This Row],[Type]],Devoirs[[#Headers],[J0]:[J60]],0))</f>
        <v>30</v>
      </c>
      <c r="Q601" s="105" cm="1">
        <f t="array" aca="1" ref="Q60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45965.682604166781</v>
      </c>
      <c r="R601" s="105">
        <f ca="1">MAX(Tabel3[[#This Row],[jour]]+$R$3,IF(ROW()-ROW(Tabel3[[#Headers],[debut]])=1,DATE(2025,9,1)+$R$3,OFFSET(Tabel3[[#This Row],[fin]],-1,)))</f>
        <v>45975.343333333338</v>
      </c>
      <c r="S60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45975.355104166672</v>
      </c>
      <c r="T601" s="102">
        <f ca="1">--(Tabel3[[#This Row],[jour]]&lt;&gt;TRUNC(Tabel3[[#This Row],[fin]]))</f>
        <v>0</v>
      </c>
      <c r="U601" s="102">
        <f ca="1">IF(Tabel3[[#This Row],[Type]]="j0",0,--(TRUNC(Tabel3[[#This Row],[debut]])-TRUNC(Tabel3[[#This Row],[fin precedent]])&lt;Tabel3[[#This Row],[delai]]))</f>
        <v>1</v>
      </c>
    </row>
    <row r="602" spans="12:21" ht="18" customHeight="1" x14ac:dyDescent="0.2">
      <c r="L602" s="98" t="s">
        <v>137</v>
      </c>
      <c r="M602" s="98" t="s">
        <v>42</v>
      </c>
      <c r="N602" s="104">
        <v>45976</v>
      </c>
      <c r="O602" s="98">
        <v>5.3999999999999995</v>
      </c>
      <c r="P602" s="98">
        <f>INDEX($C$1:$I$1,MATCH(Tabel3[[#This Row],[Type]],Devoirs[[#Headers],[J0]:[J60]],0))</f>
        <v>30</v>
      </c>
      <c r="Q602" s="105" cm="1">
        <f t="array" aca="1" ref="Q60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45966.462812500118</v>
      </c>
      <c r="R602" s="105">
        <f ca="1">MAX(Tabel3[[#This Row],[jour]]+$R$3,IF(ROW()-ROW(Tabel3[[#Headers],[debut]])=1,DATE(2025,9,1)+$R$3,OFFSET(Tabel3[[#This Row],[fin]],-1,)))</f>
        <v>45976.333333333336</v>
      </c>
      <c r="S60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45976.337083333339</v>
      </c>
      <c r="T602" s="102">
        <f ca="1">--(Tabel3[[#This Row],[jour]]&lt;&gt;TRUNC(Tabel3[[#This Row],[fin]]))</f>
        <v>0</v>
      </c>
      <c r="U602" s="102">
        <f ca="1">IF(Tabel3[[#This Row],[Type]]="j0",0,--(TRUNC(Tabel3[[#This Row],[debut]])-TRUNC(Tabel3[[#This Row],[fin precedent]])&lt;Tabel3[[#This Row],[delai]]))</f>
        <v>1</v>
      </c>
    </row>
    <row r="603" spans="12:21" ht="18" customHeight="1" x14ac:dyDescent="0.2">
      <c r="L603" s="98" t="s">
        <v>105</v>
      </c>
      <c r="M603" s="98" t="s">
        <v>42</v>
      </c>
      <c r="N603" s="104">
        <v>45976</v>
      </c>
      <c r="O603" s="98">
        <v>6.75</v>
      </c>
      <c r="P603" s="98">
        <f>INDEX($C$1:$I$1,MATCH(Tabel3[[#This Row],[Type]],Devoirs[[#Headers],[J0]:[J60]],0))</f>
        <v>30</v>
      </c>
      <c r="Q603" s="105" cm="1">
        <f t="array" aca="1" ref="Q60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45966.47218750012</v>
      </c>
      <c r="R603" s="105">
        <f ca="1">MAX(Tabel3[[#This Row],[jour]]+$R$3,IF(ROW()-ROW(Tabel3[[#Headers],[debut]])=1,DATE(2025,9,1)+$R$3,OFFSET(Tabel3[[#This Row],[fin]],-1,)))</f>
        <v>45976.337083333339</v>
      </c>
      <c r="S60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45976.341770833336</v>
      </c>
      <c r="T603" s="102">
        <f ca="1">--(Tabel3[[#This Row],[jour]]&lt;&gt;TRUNC(Tabel3[[#This Row],[fin]]))</f>
        <v>0</v>
      </c>
      <c r="U603" s="102">
        <f ca="1">IF(Tabel3[[#This Row],[Type]]="j0",0,--(TRUNC(Tabel3[[#This Row],[debut]])-TRUNC(Tabel3[[#This Row],[fin precedent]])&lt;Tabel3[[#This Row],[delai]]))</f>
        <v>1</v>
      </c>
    </row>
    <row r="604" spans="12:21" ht="18" customHeight="1" x14ac:dyDescent="0.2">
      <c r="L604" s="98" t="s">
        <v>69</v>
      </c>
      <c r="M604" s="98" t="s">
        <v>42</v>
      </c>
      <c r="N604" s="104">
        <v>45976</v>
      </c>
      <c r="O604" s="98">
        <v>7.1999999999999993</v>
      </c>
      <c r="P604" s="98">
        <f>INDEX($C$1:$I$1,MATCH(Tabel3[[#This Row],[Type]],Devoirs[[#Headers],[J0]:[J60]],0))</f>
        <v>30</v>
      </c>
      <c r="Q604" s="105" cm="1">
        <f t="array" aca="1" ref="Q60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45966.482187500122</v>
      </c>
      <c r="R604" s="105">
        <f ca="1">MAX(Tabel3[[#This Row],[jour]]+$R$3,IF(ROW()-ROW(Tabel3[[#Headers],[debut]])=1,DATE(2025,9,1)+$R$3,OFFSET(Tabel3[[#This Row],[fin]],-1,)))</f>
        <v>45976.341770833336</v>
      </c>
      <c r="S60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45976.346770833334</v>
      </c>
      <c r="T604" s="102">
        <f ca="1">--(Tabel3[[#This Row],[jour]]&lt;&gt;TRUNC(Tabel3[[#This Row],[fin]]))</f>
        <v>0</v>
      </c>
      <c r="U604" s="102">
        <f ca="1">IF(Tabel3[[#This Row],[Type]]="j0",0,--(TRUNC(Tabel3[[#This Row],[debut]])-TRUNC(Tabel3[[#This Row],[fin precedent]])&lt;Tabel3[[#This Row],[delai]]))</f>
        <v>1</v>
      </c>
    </row>
    <row r="605" spans="12:21" ht="18" customHeight="1" x14ac:dyDescent="0.2">
      <c r="L605" s="98" t="s">
        <v>80</v>
      </c>
      <c r="M605" s="98" t="s">
        <v>42</v>
      </c>
      <c r="N605" s="104">
        <v>45976</v>
      </c>
      <c r="O605" s="98">
        <v>7.35</v>
      </c>
      <c r="P605" s="98">
        <f>INDEX($C$1:$I$1,MATCH(Tabel3[[#This Row],[Type]],Devoirs[[#Headers],[J0]:[J60]],0))</f>
        <v>30</v>
      </c>
      <c r="Q605" s="105" cm="1">
        <f t="array" aca="1" ref="Q60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45966.492395833455</v>
      </c>
      <c r="R605" s="105">
        <f ca="1">MAX(Tabel3[[#This Row],[jour]]+$R$3,IF(ROW()-ROW(Tabel3[[#Headers],[debut]])=1,DATE(2025,9,1)+$R$3,OFFSET(Tabel3[[#This Row],[fin]],-1,)))</f>
        <v>45976.346770833334</v>
      </c>
      <c r="S60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45976.351875</v>
      </c>
      <c r="T605" s="102">
        <f ca="1">--(Tabel3[[#This Row],[jour]]&lt;&gt;TRUNC(Tabel3[[#This Row],[fin]]))</f>
        <v>0</v>
      </c>
      <c r="U605" s="102">
        <f ca="1">IF(Tabel3[[#This Row],[Type]]="j0",0,--(TRUNC(Tabel3[[#This Row],[debut]])-TRUNC(Tabel3[[#This Row],[fin precedent]])&lt;Tabel3[[#This Row],[delai]]))</f>
        <v>1</v>
      </c>
    </row>
    <row r="606" spans="12:21" ht="18" customHeight="1" x14ac:dyDescent="0.2">
      <c r="L606" s="98" t="s">
        <v>117</v>
      </c>
      <c r="M606" s="98" t="s">
        <v>42</v>
      </c>
      <c r="N606" s="104">
        <v>45976</v>
      </c>
      <c r="O606" s="98">
        <v>9</v>
      </c>
      <c r="P606" s="98">
        <f>INDEX($C$1:$I$1,MATCH(Tabel3[[#This Row],[Type]],Devoirs[[#Headers],[J0]:[J60]],0))</f>
        <v>30</v>
      </c>
      <c r="Q606" s="105" cm="1">
        <f t="array" aca="1" ref="Q60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45966.504895833452</v>
      </c>
      <c r="R606" s="105">
        <f ca="1">MAX(Tabel3[[#This Row],[jour]]+$R$3,IF(ROW()-ROW(Tabel3[[#Headers],[debut]])=1,DATE(2025,9,1)+$R$3,OFFSET(Tabel3[[#This Row],[fin]],-1,)))</f>
        <v>45976.351875</v>
      </c>
      <c r="S60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45976.358124999999</v>
      </c>
      <c r="T606" s="102">
        <f ca="1">--(Tabel3[[#This Row],[jour]]&lt;&gt;TRUNC(Tabel3[[#This Row],[fin]]))</f>
        <v>0</v>
      </c>
      <c r="U606" s="102">
        <f ca="1">IF(Tabel3[[#This Row],[Type]]="j0",0,--(TRUNC(Tabel3[[#This Row],[debut]])-TRUNC(Tabel3[[#This Row],[fin precedent]])&lt;Tabel3[[#This Row],[delai]]))</f>
        <v>1</v>
      </c>
    </row>
    <row r="607" spans="12:21" ht="18" customHeight="1" x14ac:dyDescent="0.2">
      <c r="L607" s="98" t="s">
        <v>98</v>
      </c>
      <c r="M607" s="98" t="s">
        <v>42</v>
      </c>
      <c r="N607" s="104">
        <v>45977</v>
      </c>
      <c r="O607" s="98">
        <v>13.5</v>
      </c>
      <c r="P607" s="98">
        <f>INDEX($C$1:$I$1,MATCH(Tabel3[[#This Row],[Type]],Devoirs[[#Headers],[J0]:[J60]],0))</f>
        <v>30</v>
      </c>
      <c r="Q607" s="105" cm="1">
        <f t="array" aca="1" ref="Q60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45966.676875000128</v>
      </c>
      <c r="R607" s="105">
        <f ca="1">MAX(Tabel3[[#This Row],[jour]]+$R$3,IF(ROW()-ROW(Tabel3[[#Headers],[debut]])=1,DATE(2025,9,1)+$R$3,OFFSET(Tabel3[[#This Row],[fin]],-1,)))</f>
        <v>45977.333333333336</v>
      </c>
      <c r="S60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45977.342708333337</v>
      </c>
      <c r="T607" s="102">
        <f ca="1">--(Tabel3[[#This Row],[jour]]&lt;&gt;TRUNC(Tabel3[[#This Row],[fin]]))</f>
        <v>0</v>
      </c>
      <c r="U607" s="102">
        <f ca="1">IF(Tabel3[[#This Row],[Type]]="j0",0,--(TRUNC(Tabel3[[#This Row],[debut]])-TRUNC(Tabel3[[#This Row],[fin precedent]])&lt;Tabel3[[#This Row],[delai]]))</f>
        <v>1</v>
      </c>
    </row>
    <row r="608" spans="12:21" ht="18" customHeight="1" x14ac:dyDescent="0.2">
      <c r="L608" s="98" t="s">
        <v>102</v>
      </c>
      <c r="M608" s="98" t="s">
        <v>42</v>
      </c>
      <c r="N608" s="104">
        <v>45977</v>
      </c>
      <c r="O608" s="98">
        <v>16.8</v>
      </c>
      <c r="P608" s="98">
        <f>INDEX($C$1:$I$1,MATCH(Tabel3[[#This Row],[Type]],Devoirs[[#Headers],[J0]:[J60]],0))</f>
        <v>30</v>
      </c>
      <c r="Q608" s="105" cm="1">
        <f t="array" aca="1" ref="Q60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45966.700208333459</v>
      </c>
      <c r="R608" s="105">
        <f ca="1">MAX(Tabel3[[#This Row],[jour]]+$R$3,IF(ROW()-ROW(Tabel3[[#Headers],[debut]])=1,DATE(2025,9,1)+$R$3,OFFSET(Tabel3[[#This Row],[fin]],-1,)))</f>
        <v>45977.342708333337</v>
      </c>
      <c r="S60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45977.354375000003</v>
      </c>
      <c r="T608" s="102">
        <f ca="1">--(Tabel3[[#This Row],[jour]]&lt;&gt;TRUNC(Tabel3[[#This Row],[fin]]))</f>
        <v>0</v>
      </c>
      <c r="U608" s="102">
        <f ca="1">IF(Tabel3[[#This Row],[Type]]="j0",0,--(TRUNC(Tabel3[[#This Row],[debut]])-TRUNC(Tabel3[[#This Row],[fin precedent]])&lt;Tabel3[[#This Row],[delai]]))</f>
        <v>1</v>
      </c>
    </row>
    <row r="609" spans="12:21" ht="18" customHeight="1" x14ac:dyDescent="0.2">
      <c r="L609" s="98" t="s">
        <v>59</v>
      </c>
      <c r="M609" s="98" t="s">
        <v>42</v>
      </c>
      <c r="N609" s="104">
        <v>45977</v>
      </c>
      <c r="O609" s="98">
        <v>16.95</v>
      </c>
      <c r="P609" s="98">
        <f>INDEX($C$1:$I$1,MATCH(Tabel3[[#This Row],[Type]],Devoirs[[#Headers],[J0]:[J60]],0))</f>
        <v>30</v>
      </c>
      <c r="Q609" s="105" cm="1">
        <f t="array" aca="1" ref="Q60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45966.723750000128</v>
      </c>
      <c r="R609" s="105">
        <f ca="1">MAX(Tabel3[[#This Row],[jour]]+$R$3,IF(ROW()-ROW(Tabel3[[#Headers],[debut]])=1,DATE(2025,9,1)+$R$3,OFFSET(Tabel3[[#This Row],[fin]],-1,)))</f>
        <v>45977.354375000003</v>
      </c>
      <c r="S60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45977.366145833337</v>
      </c>
      <c r="T609" s="102">
        <f ca="1">--(Tabel3[[#This Row],[jour]]&lt;&gt;TRUNC(Tabel3[[#This Row],[fin]]))</f>
        <v>0</v>
      </c>
      <c r="U609" s="102">
        <f ca="1">IF(Tabel3[[#This Row],[Type]]="j0",0,--(TRUNC(Tabel3[[#This Row],[debut]])-TRUNC(Tabel3[[#This Row],[fin precedent]])&lt;Tabel3[[#This Row],[delai]]))</f>
        <v>1</v>
      </c>
    </row>
    <row r="610" spans="12:21" ht="18" customHeight="1" x14ac:dyDescent="0.2">
      <c r="L610" s="98" t="s">
        <v>99</v>
      </c>
      <c r="M610" s="98" t="s">
        <v>42</v>
      </c>
      <c r="N610" s="104">
        <v>45977</v>
      </c>
      <c r="O610" s="98">
        <v>18</v>
      </c>
      <c r="P610" s="98">
        <f>INDEX($C$1:$I$1,MATCH(Tabel3[[#This Row],[Type]],Devoirs[[#Headers],[J0]:[J60]],0))</f>
        <v>30</v>
      </c>
      <c r="Q610" s="105" cm="1">
        <f t="array" aca="1" ref="Q61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45966.74875000013</v>
      </c>
      <c r="R610" s="105">
        <f ca="1">MAX(Tabel3[[#This Row],[jour]]+$R$3,IF(ROW()-ROW(Tabel3[[#Headers],[debut]])=1,DATE(2025,9,1)+$R$3,OFFSET(Tabel3[[#This Row],[fin]],-1,)))</f>
        <v>45977.366145833337</v>
      </c>
      <c r="S61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45977.378645833334</v>
      </c>
      <c r="T610" s="102">
        <f ca="1">--(Tabel3[[#This Row],[jour]]&lt;&gt;TRUNC(Tabel3[[#This Row],[fin]]))</f>
        <v>0</v>
      </c>
      <c r="U610" s="102">
        <f ca="1">IF(Tabel3[[#This Row],[Type]]="j0",0,--(TRUNC(Tabel3[[#This Row],[debut]])-TRUNC(Tabel3[[#This Row],[fin precedent]])&lt;Tabel3[[#This Row],[delai]]))</f>
        <v>1</v>
      </c>
    </row>
    <row r="611" spans="12:21" ht="18" customHeight="1" x14ac:dyDescent="0.2">
      <c r="L611" s="98" t="s">
        <v>82</v>
      </c>
      <c r="M611" s="98" t="s">
        <v>42</v>
      </c>
      <c r="N611" s="104">
        <v>45978</v>
      </c>
      <c r="O611" s="98">
        <v>4.6499999999999995</v>
      </c>
      <c r="P611" s="98">
        <f>INDEX($C$1:$I$1,MATCH(Tabel3[[#This Row],[Type]],Devoirs[[#Headers],[J0]:[J60]],0))</f>
        <v>30</v>
      </c>
      <c r="Q611" s="105" cm="1">
        <f t="array" aca="1" ref="Q61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45967.564479166802</v>
      </c>
      <c r="R611" s="105">
        <f ca="1">MAX(Tabel3[[#This Row],[jour]]+$R$3,IF(ROW()-ROW(Tabel3[[#Headers],[debut]])=1,DATE(2025,9,1)+$R$3,OFFSET(Tabel3[[#This Row],[fin]],-1,)))</f>
        <v>45978.333333333336</v>
      </c>
      <c r="S61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45978.336562500001</v>
      </c>
      <c r="T611" s="102">
        <f ca="1">--(Tabel3[[#This Row],[jour]]&lt;&gt;TRUNC(Tabel3[[#This Row],[fin]]))</f>
        <v>0</v>
      </c>
      <c r="U611" s="102">
        <f ca="1">IF(Tabel3[[#This Row],[Type]]="j0",0,--(TRUNC(Tabel3[[#This Row],[debut]])-TRUNC(Tabel3[[#This Row],[fin precedent]])&lt;Tabel3[[#This Row],[delai]]))</f>
        <v>1</v>
      </c>
    </row>
    <row r="612" spans="12:21" ht="18" customHeight="1" x14ac:dyDescent="0.2">
      <c r="L612" s="98" t="s">
        <v>142</v>
      </c>
      <c r="M612" s="98" t="s">
        <v>42</v>
      </c>
      <c r="N612" s="104">
        <v>45978</v>
      </c>
      <c r="O612" s="98">
        <v>6</v>
      </c>
      <c r="P612" s="98">
        <f>INDEX($C$1:$I$1,MATCH(Tabel3[[#This Row],[Type]],Devoirs[[#Headers],[J0]:[J60]],0))</f>
        <v>30</v>
      </c>
      <c r="Q612" s="105" cm="1">
        <f t="array" aca="1" ref="Q61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45967.572812500133</v>
      </c>
      <c r="R612" s="105">
        <f ca="1">MAX(Tabel3[[#This Row],[jour]]+$R$3,IF(ROW()-ROW(Tabel3[[#Headers],[debut]])=1,DATE(2025,9,1)+$R$3,OFFSET(Tabel3[[#This Row],[fin]],-1,)))</f>
        <v>45978.336562500001</v>
      </c>
      <c r="S61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45978.340729166666</v>
      </c>
      <c r="T612" s="102">
        <f ca="1">--(Tabel3[[#This Row],[jour]]&lt;&gt;TRUNC(Tabel3[[#This Row],[fin]]))</f>
        <v>0</v>
      </c>
      <c r="U612" s="102">
        <f ca="1">IF(Tabel3[[#This Row],[Type]]="j0",0,--(TRUNC(Tabel3[[#This Row],[debut]])-TRUNC(Tabel3[[#This Row],[fin precedent]])&lt;Tabel3[[#This Row],[delai]]))</f>
        <v>1</v>
      </c>
    </row>
    <row r="613" spans="12:21" ht="18" customHeight="1" x14ac:dyDescent="0.2">
      <c r="L613" s="98" t="s">
        <v>75</v>
      </c>
      <c r="M613" s="98" t="s">
        <v>42</v>
      </c>
      <c r="N613" s="104">
        <v>45978</v>
      </c>
      <c r="O613" s="98">
        <v>9</v>
      </c>
      <c r="P613" s="98">
        <f>INDEX($C$1:$I$1,MATCH(Tabel3[[#This Row],[Type]],Devoirs[[#Headers],[J0]:[J60]],0))</f>
        <v>30</v>
      </c>
      <c r="Q613" s="105" cm="1">
        <f t="array" aca="1" ref="Q61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45967.58531250013</v>
      </c>
      <c r="R613" s="105">
        <f ca="1">MAX(Tabel3[[#This Row],[jour]]+$R$3,IF(ROW()-ROW(Tabel3[[#Headers],[debut]])=1,DATE(2025,9,1)+$R$3,OFFSET(Tabel3[[#This Row],[fin]],-1,)))</f>
        <v>45978.340729166666</v>
      </c>
      <c r="S61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45978.346979166665</v>
      </c>
      <c r="T613" s="102">
        <f ca="1">--(Tabel3[[#This Row],[jour]]&lt;&gt;TRUNC(Tabel3[[#This Row],[fin]]))</f>
        <v>0</v>
      </c>
      <c r="U613" s="102">
        <f ca="1">IF(Tabel3[[#This Row],[Type]]="j0",0,--(TRUNC(Tabel3[[#This Row],[debut]])-TRUNC(Tabel3[[#This Row],[fin precedent]])&lt;Tabel3[[#This Row],[delai]]))</f>
        <v>1</v>
      </c>
    </row>
    <row r="614" spans="12:21" ht="18" customHeight="1" x14ac:dyDescent="0.2">
      <c r="L614" s="98" t="s">
        <v>57</v>
      </c>
      <c r="M614" s="98" t="s">
        <v>42</v>
      </c>
      <c r="N614" s="104">
        <v>45978</v>
      </c>
      <c r="O614" s="98">
        <v>10.95</v>
      </c>
      <c r="P614" s="98">
        <f>INDEX($C$1:$I$1,MATCH(Tabel3[[#This Row],[Type]],Devoirs[[#Headers],[J0]:[J60]],0))</f>
        <v>30</v>
      </c>
      <c r="Q614" s="105" cm="1">
        <f t="array" aca="1" ref="Q61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45967.600520833461</v>
      </c>
      <c r="R614" s="105">
        <f ca="1">MAX(Tabel3[[#This Row],[jour]]+$R$3,IF(ROW()-ROW(Tabel3[[#Headers],[debut]])=1,DATE(2025,9,1)+$R$3,OFFSET(Tabel3[[#This Row],[fin]],-1,)))</f>
        <v>45978.346979166665</v>
      </c>
      <c r="S61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45978.354583333334</v>
      </c>
      <c r="T614" s="102">
        <f ca="1">--(Tabel3[[#This Row],[jour]]&lt;&gt;TRUNC(Tabel3[[#This Row],[fin]]))</f>
        <v>0</v>
      </c>
      <c r="U614" s="102">
        <f ca="1">IF(Tabel3[[#This Row],[Type]]="j0",0,--(TRUNC(Tabel3[[#This Row],[debut]])-TRUNC(Tabel3[[#This Row],[fin precedent]])&lt;Tabel3[[#This Row],[delai]]))</f>
        <v>1</v>
      </c>
    </row>
    <row r="615" spans="12:21" ht="18" customHeight="1" x14ac:dyDescent="0.2">
      <c r="L615" s="98" t="s">
        <v>72</v>
      </c>
      <c r="M615" s="98" t="s">
        <v>42</v>
      </c>
      <c r="N615" s="104">
        <v>45978</v>
      </c>
      <c r="O615" s="98">
        <v>12.299999999999999</v>
      </c>
      <c r="P615" s="98">
        <f>INDEX($C$1:$I$1,MATCH(Tabel3[[#This Row],[Type]],Devoirs[[#Headers],[J0]:[J60]],0))</f>
        <v>30</v>
      </c>
      <c r="Q615" s="105" cm="1">
        <f t="array" aca="1" ref="Q61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45967.617604166793</v>
      </c>
      <c r="R615" s="105">
        <f ca="1">MAX(Tabel3[[#This Row],[jour]]+$R$3,IF(ROW()-ROW(Tabel3[[#Headers],[debut]])=1,DATE(2025,9,1)+$R$3,OFFSET(Tabel3[[#This Row],[fin]],-1,)))</f>
        <v>45978.354583333334</v>
      </c>
      <c r="S61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45978.363125000003</v>
      </c>
      <c r="T615" s="102">
        <f ca="1">--(Tabel3[[#This Row],[jour]]&lt;&gt;TRUNC(Tabel3[[#This Row],[fin]]))</f>
        <v>0</v>
      </c>
      <c r="U615" s="102">
        <f ca="1">IF(Tabel3[[#This Row],[Type]]="j0",0,--(TRUNC(Tabel3[[#This Row],[debut]])-TRUNC(Tabel3[[#This Row],[fin precedent]])&lt;Tabel3[[#This Row],[delai]]))</f>
        <v>1</v>
      </c>
    </row>
    <row r="616" spans="12:21" ht="18" customHeight="1" x14ac:dyDescent="0.2">
      <c r="L616" s="98" t="s">
        <v>92</v>
      </c>
      <c r="M616" s="98" t="s">
        <v>42</v>
      </c>
      <c r="N616" s="104">
        <v>45978</v>
      </c>
      <c r="O616" s="98">
        <v>14.85</v>
      </c>
      <c r="P616" s="98">
        <f>INDEX($C$1:$I$1,MATCH(Tabel3[[#This Row],[Type]],Devoirs[[#Headers],[J0]:[J60]],0))</f>
        <v>30</v>
      </c>
      <c r="Q616" s="105" cm="1">
        <f t="array" aca="1" ref="Q61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45967.638229166791</v>
      </c>
      <c r="R616" s="105">
        <f ca="1">MAX(Tabel3[[#This Row],[jour]]+$R$3,IF(ROW()-ROW(Tabel3[[#Headers],[debut]])=1,DATE(2025,9,1)+$R$3,OFFSET(Tabel3[[#This Row],[fin]],-1,)))</f>
        <v>45978.363125000003</v>
      </c>
      <c r="S61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45978.373437500006</v>
      </c>
      <c r="T616" s="102">
        <f ca="1">--(Tabel3[[#This Row],[jour]]&lt;&gt;TRUNC(Tabel3[[#This Row],[fin]]))</f>
        <v>0</v>
      </c>
      <c r="U616" s="102">
        <f ca="1">IF(Tabel3[[#This Row],[Type]]="j0",0,--(TRUNC(Tabel3[[#This Row],[debut]])-TRUNC(Tabel3[[#This Row],[fin precedent]])&lt;Tabel3[[#This Row],[delai]]))</f>
        <v>1</v>
      </c>
    </row>
    <row r="617" spans="12:21" ht="18" customHeight="1" x14ac:dyDescent="0.2">
      <c r="L617" s="98" t="s">
        <v>127</v>
      </c>
      <c r="M617" s="98" t="s">
        <v>42</v>
      </c>
      <c r="N617" s="104">
        <v>45978</v>
      </c>
      <c r="O617" s="98">
        <v>16.05</v>
      </c>
      <c r="P617" s="98">
        <f>INDEX($C$1:$I$1,MATCH(Tabel3[[#This Row],[Type]],Devoirs[[#Headers],[J0]:[J60]],0))</f>
        <v>30</v>
      </c>
      <c r="Q617" s="105" cm="1">
        <f t="array" aca="1" ref="Q61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45967.660520833459</v>
      </c>
      <c r="R617" s="105">
        <f ca="1">MAX(Tabel3[[#This Row],[jour]]+$R$3,IF(ROW()-ROW(Tabel3[[#Headers],[debut]])=1,DATE(2025,9,1)+$R$3,OFFSET(Tabel3[[#This Row],[fin]],-1,)))</f>
        <v>45978.373437500006</v>
      </c>
      <c r="S61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45978.38458333334</v>
      </c>
      <c r="T617" s="102">
        <f ca="1">--(Tabel3[[#This Row],[jour]]&lt;&gt;TRUNC(Tabel3[[#This Row],[fin]]))</f>
        <v>0</v>
      </c>
      <c r="U617" s="102">
        <f ca="1">IF(Tabel3[[#This Row],[Type]]="j0",0,--(TRUNC(Tabel3[[#This Row],[debut]])-TRUNC(Tabel3[[#This Row],[fin precedent]])&lt;Tabel3[[#This Row],[delai]]))</f>
        <v>1</v>
      </c>
    </row>
    <row r="618" spans="12:21" ht="18" customHeight="1" x14ac:dyDescent="0.2">
      <c r="L618" s="98" t="s">
        <v>86</v>
      </c>
      <c r="M618" s="98" t="s">
        <v>42</v>
      </c>
      <c r="N618" s="104">
        <v>45978</v>
      </c>
      <c r="O618" s="98">
        <v>16.5</v>
      </c>
      <c r="P618" s="98">
        <f>INDEX($C$1:$I$1,MATCH(Tabel3[[#This Row],[Type]],Devoirs[[#Headers],[J0]:[J60]],0))</f>
        <v>30</v>
      </c>
      <c r="Q618" s="105" cm="1">
        <f t="array" aca="1" ref="Q61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45967.683437500127</v>
      </c>
      <c r="R618" s="105">
        <f ca="1">MAX(Tabel3[[#This Row],[jour]]+$R$3,IF(ROW()-ROW(Tabel3[[#Headers],[debut]])=1,DATE(2025,9,1)+$R$3,OFFSET(Tabel3[[#This Row],[fin]],-1,)))</f>
        <v>45978.38458333334</v>
      </c>
      <c r="S61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45978.396041666674</v>
      </c>
      <c r="T618" s="102">
        <f ca="1">--(Tabel3[[#This Row],[jour]]&lt;&gt;TRUNC(Tabel3[[#This Row],[fin]]))</f>
        <v>0</v>
      </c>
      <c r="U618" s="102">
        <f ca="1">IF(Tabel3[[#This Row],[Type]]="j0",0,--(TRUNC(Tabel3[[#This Row],[debut]])-TRUNC(Tabel3[[#This Row],[fin precedent]])&lt;Tabel3[[#This Row],[delai]]))</f>
        <v>1</v>
      </c>
    </row>
    <row r="619" spans="12:21" ht="18" customHeight="1" x14ac:dyDescent="0.2">
      <c r="L619" s="98" t="s">
        <v>48</v>
      </c>
      <c r="M619" s="98" t="s">
        <v>42</v>
      </c>
      <c r="N619" s="104">
        <v>45979</v>
      </c>
      <c r="O619" s="98">
        <v>4.8</v>
      </c>
      <c r="P619" s="98">
        <f>INDEX($C$1:$I$1,MATCH(Tabel3[[#This Row],[Type]],Devoirs[[#Headers],[J0]:[J60]],0))</f>
        <v>30</v>
      </c>
      <c r="Q619" s="105" cm="1">
        <f t="array" aca="1" ref="Q61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45968.395729166812</v>
      </c>
      <c r="R619" s="105">
        <f ca="1">MAX(Tabel3[[#This Row],[jour]]+$R$3,IF(ROW()-ROW(Tabel3[[#Headers],[debut]])=1,DATE(2025,9,1)+$R$3,OFFSET(Tabel3[[#This Row],[fin]],-1,)))</f>
        <v>45979.333333333336</v>
      </c>
      <c r="S61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45979.33666666667</v>
      </c>
      <c r="T619" s="102">
        <f ca="1">--(Tabel3[[#This Row],[jour]]&lt;&gt;TRUNC(Tabel3[[#This Row],[fin]]))</f>
        <v>0</v>
      </c>
      <c r="U619" s="102">
        <f ca="1">IF(Tabel3[[#This Row],[Type]]="j0",0,--(TRUNC(Tabel3[[#This Row],[debut]])-TRUNC(Tabel3[[#This Row],[fin precedent]])&lt;Tabel3[[#This Row],[delai]]))</f>
        <v>1</v>
      </c>
    </row>
    <row r="620" spans="12:21" ht="18" customHeight="1" x14ac:dyDescent="0.2">
      <c r="L620" s="98" t="s">
        <v>58</v>
      </c>
      <c r="M620" s="98" t="s">
        <v>42</v>
      </c>
      <c r="N620" s="104">
        <v>45979</v>
      </c>
      <c r="O620" s="98">
        <v>8.4</v>
      </c>
      <c r="P620" s="98">
        <f>INDEX($C$1:$I$1,MATCH(Tabel3[[#This Row],[Type]],Devoirs[[#Headers],[J0]:[J60]],0))</f>
        <v>30</v>
      </c>
      <c r="Q620" s="105" cm="1">
        <f t="array" aca="1" ref="Q62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45968.407395833477</v>
      </c>
      <c r="R620" s="105">
        <f ca="1">MAX(Tabel3[[#This Row],[jour]]+$R$3,IF(ROW()-ROW(Tabel3[[#Headers],[debut]])=1,DATE(2025,9,1)+$R$3,OFFSET(Tabel3[[#This Row],[fin]],-1,)))</f>
        <v>45979.33666666667</v>
      </c>
      <c r="S62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45979.342500000006</v>
      </c>
      <c r="T620" s="102">
        <f ca="1">--(Tabel3[[#This Row],[jour]]&lt;&gt;TRUNC(Tabel3[[#This Row],[fin]]))</f>
        <v>0</v>
      </c>
      <c r="U620" s="102">
        <f ca="1">IF(Tabel3[[#This Row],[Type]]="j0",0,--(TRUNC(Tabel3[[#This Row],[debut]])-TRUNC(Tabel3[[#This Row],[fin precedent]])&lt;Tabel3[[#This Row],[delai]]))</f>
        <v>1</v>
      </c>
    </row>
    <row r="621" spans="12:21" ht="18" customHeight="1" x14ac:dyDescent="0.2">
      <c r="L621" s="98" t="s">
        <v>131</v>
      </c>
      <c r="M621" s="98" t="s">
        <v>42</v>
      </c>
      <c r="N621" s="104">
        <v>45979</v>
      </c>
      <c r="O621" s="98">
        <v>8.4</v>
      </c>
      <c r="P621" s="98">
        <f>INDEX($C$1:$I$1,MATCH(Tabel3[[#This Row],[Type]],Devoirs[[#Headers],[J0]:[J60]],0))</f>
        <v>30</v>
      </c>
      <c r="Q621" s="105" cm="1">
        <f t="array" aca="1" ref="Q62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45968.419062500143</v>
      </c>
      <c r="R621" s="105">
        <f ca="1">MAX(Tabel3[[#This Row],[jour]]+$R$3,IF(ROW()-ROW(Tabel3[[#Headers],[debut]])=1,DATE(2025,9,1)+$R$3,OFFSET(Tabel3[[#This Row],[fin]],-1,)))</f>
        <v>45979.342500000006</v>
      </c>
      <c r="S62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45979.348333333342</v>
      </c>
      <c r="T621" s="102">
        <f ca="1">--(Tabel3[[#This Row],[jour]]&lt;&gt;TRUNC(Tabel3[[#This Row],[fin]]))</f>
        <v>0</v>
      </c>
      <c r="U621" s="102">
        <f ca="1">IF(Tabel3[[#This Row],[Type]]="j0",0,--(TRUNC(Tabel3[[#This Row],[debut]])-TRUNC(Tabel3[[#This Row],[fin precedent]])&lt;Tabel3[[#This Row],[delai]]))</f>
        <v>1</v>
      </c>
    </row>
    <row r="622" spans="12:21" ht="18" customHeight="1" x14ac:dyDescent="0.2">
      <c r="L622" s="98" t="s">
        <v>52</v>
      </c>
      <c r="M622" s="98" t="s">
        <v>42</v>
      </c>
      <c r="N622" s="104">
        <v>45979</v>
      </c>
      <c r="O622" s="98">
        <v>15.299999999999999</v>
      </c>
      <c r="P622" s="98">
        <f>INDEX($C$1:$I$1,MATCH(Tabel3[[#This Row],[Type]],Devoirs[[#Headers],[J0]:[J60]],0))</f>
        <v>30</v>
      </c>
      <c r="Q622" s="105" cm="1">
        <f t="array" aca="1" ref="Q62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45968.440312500141</v>
      </c>
      <c r="R622" s="105">
        <f ca="1">MAX(Tabel3[[#This Row],[jour]]+$R$3,IF(ROW()-ROW(Tabel3[[#Headers],[debut]])=1,DATE(2025,9,1)+$R$3,OFFSET(Tabel3[[#This Row],[fin]],-1,)))</f>
        <v>45979.348333333342</v>
      </c>
      <c r="S62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45979.358958333345</v>
      </c>
      <c r="T622" s="102">
        <f ca="1">--(Tabel3[[#This Row],[jour]]&lt;&gt;TRUNC(Tabel3[[#This Row],[fin]]))</f>
        <v>0</v>
      </c>
      <c r="U622" s="102">
        <f ca="1">IF(Tabel3[[#This Row],[Type]]="j0",0,--(TRUNC(Tabel3[[#This Row],[debut]])-TRUNC(Tabel3[[#This Row],[fin precedent]])&lt;Tabel3[[#This Row],[delai]]))</f>
        <v>1</v>
      </c>
    </row>
    <row r="623" spans="12:21" ht="18" customHeight="1" x14ac:dyDescent="0.2">
      <c r="L623" s="98" t="s">
        <v>375</v>
      </c>
      <c r="M623" s="98" t="s">
        <v>42</v>
      </c>
      <c r="N623" s="104">
        <v>45979</v>
      </c>
      <c r="O623" s="98">
        <v>15.6</v>
      </c>
      <c r="P623" s="98">
        <f>INDEX($C$1:$I$1,MATCH(Tabel3[[#This Row],[Type]],Devoirs[[#Headers],[J0]:[J60]],0))</f>
        <v>30</v>
      </c>
      <c r="Q623" s="105" cm="1">
        <f t="array" aca="1" ref="Q62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45968.461979166808</v>
      </c>
      <c r="R623" s="105">
        <f ca="1">MAX(Tabel3[[#This Row],[jour]]+$R$3,IF(ROW()-ROW(Tabel3[[#Headers],[debut]])=1,DATE(2025,9,1)+$R$3,OFFSET(Tabel3[[#This Row],[fin]],-1,)))</f>
        <v>45979.358958333345</v>
      </c>
      <c r="S62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45979.369791666679</v>
      </c>
      <c r="T623" s="102">
        <f ca="1">--(Tabel3[[#This Row],[jour]]&lt;&gt;TRUNC(Tabel3[[#This Row],[fin]]))</f>
        <v>0</v>
      </c>
      <c r="U623" s="102">
        <f ca="1">IF(Tabel3[[#This Row],[Type]]="j0",0,--(TRUNC(Tabel3[[#This Row],[debut]])-TRUNC(Tabel3[[#This Row],[fin precedent]])&lt;Tabel3[[#This Row],[delai]]))</f>
        <v>1</v>
      </c>
    </row>
    <row r="624" spans="12:21" ht="18" customHeight="1" x14ac:dyDescent="0.2">
      <c r="L624" s="98" t="s">
        <v>67</v>
      </c>
      <c r="M624" s="98" t="s">
        <v>42</v>
      </c>
      <c r="N624" s="104">
        <v>45982</v>
      </c>
      <c r="O624" s="98">
        <v>4.95</v>
      </c>
      <c r="P624" s="98">
        <f>INDEX($C$1:$I$1,MATCH(Tabel3[[#This Row],[Type]],Devoirs[[#Headers],[J0]:[J60]],0))</f>
        <v>30</v>
      </c>
      <c r="Q624" s="105" cm="1">
        <f t="array" aca="1" ref="Q62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45968.665312500132</v>
      </c>
      <c r="R624" s="105">
        <f ca="1">MAX(Tabel3[[#This Row],[jour]]+$R$3,IF(ROW()-ROW(Tabel3[[#Headers],[debut]])=1,DATE(2025,9,1)+$R$3,OFFSET(Tabel3[[#This Row],[fin]],-1,)))</f>
        <v>45982.333333333336</v>
      </c>
      <c r="S62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45982.336770833339</v>
      </c>
      <c r="T624" s="102">
        <f ca="1">--(Tabel3[[#This Row],[jour]]&lt;&gt;TRUNC(Tabel3[[#This Row],[fin]]))</f>
        <v>0</v>
      </c>
      <c r="U624" s="102">
        <f ca="1">IF(Tabel3[[#This Row],[Type]]="j0",0,--(TRUNC(Tabel3[[#This Row],[debut]])-TRUNC(Tabel3[[#This Row],[fin precedent]])&lt;Tabel3[[#This Row],[delai]]))</f>
        <v>1</v>
      </c>
    </row>
    <row r="625" spans="12:21" ht="18" customHeight="1" x14ac:dyDescent="0.2">
      <c r="L625" s="98" t="s">
        <v>116</v>
      </c>
      <c r="M625" s="98" t="s">
        <v>42</v>
      </c>
      <c r="N625" s="104">
        <v>45982</v>
      </c>
      <c r="O625" s="98">
        <v>16.5</v>
      </c>
      <c r="P625" s="98">
        <f>INDEX($C$1:$I$1,MATCH(Tabel3[[#This Row],[Type]],Devoirs[[#Headers],[J0]:[J60]],0))</f>
        <v>30</v>
      </c>
      <c r="Q625" s="105" cm="1">
        <f t="array" aca="1" ref="Q62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45968.688229166801</v>
      </c>
      <c r="R625" s="105">
        <f ca="1">MAX(Tabel3[[#This Row],[jour]]+$R$3,IF(ROW()-ROW(Tabel3[[#Headers],[debut]])=1,DATE(2025,9,1)+$R$3,OFFSET(Tabel3[[#This Row],[fin]],-1,)))</f>
        <v>45982.336770833339</v>
      </c>
      <c r="S62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45982.348229166673</v>
      </c>
      <c r="T625" s="102">
        <f ca="1">--(Tabel3[[#This Row],[jour]]&lt;&gt;TRUNC(Tabel3[[#This Row],[fin]]))</f>
        <v>0</v>
      </c>
      <c r="U625" s="102">
        <f ca="1">IF(Tabel3[[#This Row],[Type]]="j0",0,--(TRUNC(Tabel3[[#This Row],[debut]])-TRUNC(Tabel3[[#This Row],[fin precedent]])&lt;Tabel3[[#This Row],[delai]]))</f>
        <v>1</v>
      </c>
    </row>
    <row r="626" spans="12:21" ht="18" customHeight="1" x14ac:dyDescent="0.2">
      <c r="L626" s="98" t="s">
        <v>109</v>
      </c>
      <c r="M626" s="98" t="s">
        <v>42</v>
      </c>
      <c r="N626" s="104">
        <v>45982</v>
      </c>
      <c r="O626" s="98">
        <v>16.8</v>
      </c>
      <c r="P626" s="98">
        <f>INDEX($C$1:$I$1,MATCH(Tabel3[[#This Row],[Type]],Devoirs[[#Headers],[J0]:[J60]],0))</f>
        <v>30</v>
      </c>
      <c r="Q626" s="105" cm="1">
        <f t="array" aca="1" ref="Q62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45968.711562500132</v>
      </c>
      <c r="R626" s="105">
        <f ca="1">MAX(Tabel3[[#This Row],[jour]]+$R$3,IF(ROW()-ROW(Tabel3[[#Headers],[debut]])=1,DATE(2025,9,1)+$R$3,OFFSET(Tabel3[[#This Row],[fin]],-1,)))</f>
        <v>45982.348229166673</v>
      </c>
      <c r="S62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45982.359895833339</v>
      </c>
      <c r="T626" s="102">
        <f ca="1">--(Tabel3[[#This Row],[jour]]&lt;&gt;TRUNC(Tabel3[[#This Row],[fin]]))</f>
        <v>0</v>
      </c>
      <c r="U626" s="102">
        <f ca="1">IF(Tabel3[[#This Row],[Type]]="j0",0,--(TRUNC(Tabel3[[#This Row],[debut]])-TRUNC(Tabel3[[#This Row],[fin precedent]])&lt;Tabel3[[#This Row],[delai]]))</f>
        <v>1</v>
      </c>
    </row>
    <row r="627" spans="12:21" ht="18" customHeight="1" x14ac:dyDescent="0.2">
      <c r="L627" s="98" t="s">
        <v>136</v>
      </c>
      <c r="M627" s="98" t="s">
        <v>42</v>
      </c>
      <c r="N627" s="104">
        <v>45983</v>
      </c>
      <c r="O627" s="98">
        <v>8.6999999999999993</v>
      </c>
      <c r="P627" s="98">
        <f>INDEX($C$1:$I$1,MATCH(Tabel3[[#This Row],[Type]],Devoirs[[#Headers],[J0]:[J60]],0))</f>
        <v>30</v>
      </c>
      <c r="Q627" s="105" cm="1">
        <f t="array" aca="1" ref="Q62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45971.430729166808</v>
      </c>
      <c r="R627" s="105">
        <f ca="1">MAX(Tabel3[[#This Row],[jour]]+$R$3,IF(ROW()-ROW(Tabel3[[#Headers],[debut]])=1,DATE(2025,9,1)+$R$3,OFFSET(Tabel3[[#This Row],[fin]],-1,)))</f>
        <v>45983.333333333336</v>
      </c>
      <c r="S62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45983.339375000003</v>
      </c>
      <c r="T627" s="102">
        <f ca="1">--(Tabel3[[#This Row],[jour]]&lt;&gt;TRUNC(Tabel3[[#This Row],[fin]]))</f>
        <v>0</v>
      </c>
      <c r="U627" s="102">
        <f ca="1">IF(Tabel3[[#This Row],[Type]]="j0",0,--(TRUNC(Tabel3[[#This Row],[debut]])-TRUNC(Tabel3[[#This Row],[fin precedent]])&lt;Tabel3[[#This Row],[delai]]))</f>
        <v>1</v>
      </c>
    </row>
    <row r="628" spans="12:21" ht="18" customHeight="1" x14ac:dyDescent="0.2">
      <c r="L628" s="98" t="s">
        <v>93</v>
      </c>
      <c r="M628" s="98" t="s">
        <v>42</v>
      </c>
      <c r="N628" s="104">
        <v>45983</v>
      </c>
      <c r="O628" s="98">
        <v>11.7</v>
      </c>
      <c r="P628" s="98">
        <f>INDEX($C$1:$I$1,MATCH(Tabel3[[#This Row],[Type]],Devoirs[[#Headers],[J0]:[J60]],0))</f>
        <v>30</v>
      </c>
      <c r="Q628" s="105" cm="1">
        <f t="array" aca="1" ref="Q62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45971.446979166809</v>
      </c>
      <c r="R628" s="105">
        <f ca="1">MAX(Tabel3[[#This Row],[jour]]+$R$3,IF(ROW()-ROW(Tabel3[[#Headers],[debut]])=1,DATE(2025,9,1)+$R$3,OFFSET(Tabel3[[#This Row],[fin]],-1,)))</f>
        <v>45983.339375000003</v>
      </c>
      <c r="S62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45983.347500000003</v>
      </c>
      <c r="T628" s="102">
        <f ca="1">--(Tabel3[[#This Row],[jour]]&lt;&gt;TRUNC(Tabel3[[#This Row],[fin]]))</f>
        <v>0</v>
      </c>
      <c r="U628" s="102">
        <f ca="1">IF(Tabel3[[#This Row],[Type]]="j0",0,--(TRUNC(Tabel3[[#This Row],[debut]])-TRUNC(Tabel3[[#This Row],[fin precedent]])&lt;Tabel3[[#This Row],[delai]]))</f>
        <v>1</v>
      </c>
    </row>
    <row r="629" spans="12:21" ht="18" customHeight="1" x14ac:dyDescent="0.2">
      <c r="L629" s="98" t="s">
        <v>45</v>
      </c>
      <c r="M629" s="98" t="s">
        <v>42</v>
      </c>
      <c r="N629" s="104">
        <v>45983</v>
      </c>
      <c r="O629" s="98">
        <v>12.299999999999999</v>
      </c>
      <c r="P629" s="98">
        <f>INDEX($C$1:$I$1,MATCH(Tabel3[[#This Row],[Type]],Devoirs[[#Headers],[J0]:[J60]],0))</f>
        <v>30</v>
      </c>
      <c r="Q629" s="105" cm="1">
        <f t="array" aca="1" ref="Q62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45971.464062500141</v>
      </c>
      <c r="R629" s="105">
        <f ca="1">MAX(Tabel3[[#This Row],[jour]]+$R$3,IF(ROW()-ROW(Tabel3[[#Headers],[debut]])=1,DATE(2025,9,1)+$R$3,OFFSET(Tabel3[[#This Row],[fin]],-1,)))</f>
        <v>45983.347500000003</v>
      </c>
      <c r="S62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45983.356041666673</v>
      </c>
      <c r="T629" s="102">
        <f ca="1">--(Tabel3[[#This Row],[jour]]&lt;&gt;TRUNC(Tabel3[[#This Row],[fin]]))</f>
        <v>0</v>
      </c>
      <c r="U629" s="102">
        <f ca="1">IF(Tabel3[[#This Row],[Type]]="j0",0,--(TRUNC(Tabel3[[#This Row],[debut]])-TRUNC(Tabel3[[#This Row],[fin precedent]])&lt;Tabel3[[#This Row],[delai]]))</f>
        <v>1</v>
      </c>
    </row>
    <row r="630" spans="12:21" ht="18" customHeight="1" x14ac:dyDescent="0.2">
      <c r="L630" s="98" t="s">
        <v>134</v>
      </c>
      <c r="M630" s="98" t="s">
        <v>42</v>
      </c>
      <c r="N630" s="104">
        <v>45983</v>
      </c>
      <c r="O630" s="98">
        <v>15.299999999999999</v>
      </c>
      <c r="P630" s="98">
        <f>INDEX($C$1:$I$1,MATCH(Tabel3[[#This Row],[Type]],Devoirs[[#Headers],[J0]:[J60]],0))</f>
        <v>30</v>
      </c>
      <c r="Q630" s="105" cm="1">
        <f t="array" aca="1" ref="Q63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45971.485312500139</v>
      </c>
      <c r="R630" s="105">
        <f ca="1">MAX(Tabel3[[#This Row],[jour]]+$R$3,IF(ROW()-ROW(Tabel3[[#Headers],[debut]])=1,DATE(2025,9,1)+$R$3,OFFSET(Tabel3[[#This Row],[fin]],-1,)))</f>
        <v>45983.356041666673</v>
      </c>
      <c r="S63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45983.366666666676</v>
      </c>
      <c r="T630" s="102">
        <f ca="1">--(Tabel3[[#This Row],[jour]]&lt;&gt;TRUNC(Tabel3[[#This Row],[fin]]))</f>
        <v>0</v>
      </c>
      <c r="U630" s="102">
        <f ca="1">IF(Tabel3[[#This Row],[Type]]="j0",0,--(TRUNC(Tabel3[[#This Row],[debut]])-TRUNC(Tabel3[[#This Row],[fin precedent]])&lt;Tabel3[[#This Row],[delai]]))</f>
        <v>1</v>
      </c>
    </row>
    <row r="631" spans="12:21" ht="18" customHeight="1" x14ac:dyDescent="0.2">
      <c r="L631" s="98" t="s">
        <v>84</v>
      </c>
      <c r="M631" s="98" t="s">
        <v>42</v>
      </c>
      <c r="N631" s="104">
        <v>45984</v>
      </c>
      <c r="O631" s="98">
        <v>6</v>
      </c>
      <c r="P631" s="98">
        <f>INDEX($C$1:$I$1,MATCH(Tabel3[[#This Row],[Type]],Devoirs[[#Headers],[J0]:[J60]],0))</f>
        <v>30</v>
      </c>
      <c r="Q631" s="105" cm="1">
        <f t="array" aca="1" ref="Q63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45971.531458333469</v>
      </c>
      <c r="R631" s="105">
        <f ca="1">MAX(Tabel3[[#This Row],[jour]]+$R$3,IF(ROW()-ROW(Tabel3[[#Headers],[debut]])=1,DATE(2025,9,1)+$R$3,OFFSET(Tabel3[[#This Row],[fin]],-1,)))</f>
        <v>45984.333333333336</v>
      </c>
      <c r="S63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45984.337500000001</v>
      </c>
      <c r="T631" s="102">
        <f ca="1">--(Tabel3[[#This Row],[jour]]&lt;&gt;TRUNC(Tabel3[[#This Row],[fin]]))</f>
        <v>0</v>
      </c>
      <c r="U631" s="102">
        <f ca="1">IF(Tabel3[[#This Row],[Type]]="j0",0,--(TRUNC(Tabel3[[#This Row],[debut]])-TRUNC(Tabel3[[#This Row],[fin precedent]])&lt;Tabel3[[#This Row],[delai]]))</f>
        <v>1</v>
      </c>
    </row>
    <row r="632" spans="12:21" ht="18" customHeight="1" x14ac:dyDescent="0.2">
      <c r="L632" s="98" t="s">
        <v>68</v>
      </c>
      <c r="M632" s="98" t="s">
        <v>42</v>
      </c>
      <c r="N632" s="104">
        <v>45984</v>
      </c>
      <c r="O632" s="98">
        <v>9</v>
      </c>
      <c r="P632" s="98">
        <f>INDEX($C$1:$I$1,MATCH(Tabel3[[#This Row],[Type]],Devoirs[[#Headers],[J0]:[J60]],0))</f>
        <v>30</v>
      </c>
      <c r="Q632" s="105" cm="1">
        <f t="array" aca="1" ref="Q63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45971.543958333466</v>
      </c>
      <c r="R632" s="105">
        <f ca="1">MAX(Tabel3[[#This Row],[jour]]+$R$3,IF(ROW()-ROW(Tabel3[[#Headers],[debut]])=1,DATE(2025,9,1)+$R$3,OFFSET(Tabel3[[#This Row],[fin]],-1,)))</f>
        <v>45984.337500000001</v>
      </c>
      <c r="S63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45984.34375</v>
      </c>
      <c r="T632" s="102">
        <f ca="1">--(Tabel3[[#This Row],[jour]]&lt;&gt;TRUNC(Tabel3[[#This Row],[fin]]))</f>
        <v>0</v>
      </c>
      <c r="U632" s="102">
        <f ca="1">IF(Tabel3[[#This Row],[Type]]="j0",0,--(TRUNC(Tabel3[[#This Row],[debut]])-TRUNC(Tabel3[[#This Row],[fin precedent]])&lt;Tabel3[[#This Row],[delai]]))</f>
        <v>1</v>
      </c>
    </row>
    <row r="633" spans="12:21" ht="18" customHeight="1" x14ac:dyDescent="0.2">
      <c r="L633" s="98" t="s">
        <v>121</v>
      </c>
      <c r="M633" s="98" t="s">
        <v>42</v>
      </c>
      <c r="N633" s="104">
        <v>45984</v>
      </c>
      <c r="O633" s="98">
        <v>10.35</v>
      </c>
      <c r="P633" s="98">
        <f>INDEX($C$1:$I$1,MATCH(Tabel3[[#This Row],[Type]],Devoirs[[#Headers],[J0]:[J60]],0))</f>
        <v>30</v>
      </c>
      <c r="Q633" s="105" cm="1">
        <f t="array" aca="1" ref="Q63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45971.558333333465</v>
      </c>
      <c r="R633" s="105">
        <f ca="1">MAX(Tabel3[[#This Row],[jour]]+$R$3,IF(ROW()-ROW(Tabel3[[#Headers],[debut]])=1,DATE(2025,9,1)+$R$3,OFFSET(Tabel3[[#This Row],[fin]],-1,)))</f>
        <v>45984.34375</v>
      </c>
      <c r="S63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45984.350937499999</v>
      </c>
      <c r="T633" s="102">
        <f ca="1">--(Tabel3[[#This Row],[jour]]&lt;&gt;TRUNC(Tabel3[[#This Row],[fin]]))</f>
        <v>0</v>
      </c>
      <c r="U633" s="102">
        <f ca="1">IF(Tabel3[[#This Row],[Type]]="j0",0,--(TRUNC(Tabel3[[#This Row],[debut]])-TRUNC(Tabel3[[#This Row],[fin precedent]])&lt;Tabel3[[#This Row],[delai]]))</f>
        <v>1</v>
      </c>
    </row>
    <row r="634" spans="12:21" ht="18" customHeight="1" x14ac:dyDescent="0.2">
      <c r="L634" s="98" t="s">
        <v>112</v>
      </c>
      <c r="M634" s="98" t="s">
        <v>42</v>
      </c>
      <c r="N634" s="104">
        <v>45984</v>
      </c>
      <c r="O634" s="98">
        <v>14.7</v>
      </c>
      <c r="P634" s="98">
        <f>INDEX($C$1:$I$1,MATCH(Tabel3[[#This Row],[Type]],Devoirs[[#Headers],[J0]:[J60]],0))</f>
        <v>30</v>
      </c>
      <c r="Q634" s="105" cm="1">
        <f t="array" aca="1" ref="Q63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45971.578750000132</v>
      </c>
      <c r="R634" s="105">
        <f ca="1">MAX(Tabel3[[#This Row],[jour]]+$R$3,IF(ROW()-ROW(Tabel3[[#Headers],[debut]])=1,DATE(2025,9,1)+$R$3,OFFSET(Tabel3[[#This Row],[fin]],-1,)))</f>
        <v>45984.350937499999</v>
      </c>
      <c r="S63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45984.361145833333</v>
      </c>
      <c r="T634" s="102">
        <f ca="1">--(Tabel3[[#This Row],[jour]]&lt;&gt;TRUNC(Tabel3[[#This Row],[fin]]))</f>
        <v>0</v>
      </c>
      <c r="U634" s="102">
        <f ca="1">IF(Tabel3[[#This Row],[Type]]="j0",0,--(TRUNC(Tabel3[[#This Row],[debut]])-TRUNC(Tabel3[[#This Row],[fin precedent]])&lt;Tabel3[[#This Row],[delai]]))</f>
        <v>1</v>
      </c>
    </row>
    <row r="635" spans="12:21" ht="18" customHeight="1" x14ac:dyDescent="0.2">
      <c r="L635" s="98" t="s">
        <v>100</v>
      </c>
      <c r="M635" s="98" t="s">
        <v>42</v>
      </c>
      <c r="N635" s="104">
        <v>45984</v>
      </c>
      <c r="O635" s="98">
        <v>15</v>
      </c>
      <c r="P635" s="98">
        <f>INDEX($C$1:$I$1,MATCH(Tabel3[[#This Row],[Type]],Devoirs[[#Headers],[J0]:[J60]],0))</f>
        <v>30</v>
      </c>
      <c r="Q635" s="105" cm="1">
        <f t="array" aca="1" ref="Q63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45971.599583333467</v>
      </c>
      <c r="R635" s="105">
        <f ca="1">MAX(Tabel3[[#This Row],[jour]]+$R$3,IF(ROW()-ROW(Tabel3[[#Headers],[debut]])=1,DATE(2025,9,1)+$R$3,OFFSET(Tabel3[[#This Row],[fin]],-1,)))</f>
        <v>45984.361145833333</v>
      </c>
      <c r="S63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45984.371562499997</v>
      </c>
      <c r="T635" s="102">
        <f ca="1">--(Tabel3[[#This Row],[jour]]&lt;&gt;TRUNC(Tabel3[[#This Row],[fin]]))</f>
        <v>0</v>
      </c>
      <c r="U635" s="102">
        <f ca="1">IF(Tabel3[[#This Row],[Type]]="j0",0,--(TRUNC(Tabel3[[#This Row],[debut]])-TRUNC(Tabel3[[#This Row],[fin precedent]])&lt;Tabel3[[#This Row],[delai]]))</f>
        <v>1</v>
      </c>
    </row>
    <row r="636" spans="12:21" ht="18" customHeight="1" x14ac:dyDescent="0.2">
      <c r="L636" s="98" t="s">
        <v>101</v>
      </c>
      <c r="M636" s="98" t="s">
        <v>42</v>
      </c>
      <c r="N636" s="104">
        <v>45984</v>
      </c>
      <c r="O636" s="98">
        <v>15</v>
      </c>
      <c r="P636" s="98">
        <f>INDEX($C$1:$I$1,MATCH(Tabel3[[#This Row],[Type]],Devoirs[[#Headers],[J0]:[J60]],0))</f>
        <v>30</v>
      </c>
      <c r="Q636" s="105" cm="1">
        <f t="array" aca="1" ref="Q63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45971.620416666803</v>
      </c>
      <c r="R636" s="105">
        <f ca="1">MAX(Tabel3[[#This Row],[jour]]+$R$3,IF(ROW()-ROW(Tabel3[[#Headers],[debut]])=1,DATE(2025,9,1)+$R$3,OFFSET(Tabel3[[#This Row],[fin]],-1,)))</f>
        <v>45984.371562499997</v>
      </c>
      <c r="S63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45984.381979166661</v>
      </c>
      <c r="T636" s="102">
        <f ca="1">--(Tabel3[[#This Row],[jour]]&lt;&gt;TRUNC(Tabel3[[#This Row],[fin]]))</f>
        <v>0</v>
      </c>
      <c r="U636" s="102">
        <f ca="1">IF(Tabel3[[#This Row],[Type]]="j0",0,--(TRUNC(Tabel3[[#This Row],[debut]])-TRUNC(Tabel3[[#This Row],[fin precedent]])&lt;Tabel3[[#This Row],[delai]]))</f>
        <v>1</v>
      </c>
    </row>
    <row r="637" spans="12:21" ht="18" customHeight="1" x14ac:dyDescent="0.2">
      <c r="L637" s="98" t="s">
        <v>110</v>
      </c>
      <c r="M637" s="98" t="s">
        <v>42</v>
      </c>
      <c r="N637" s="104">
        <v>45984</v>
      </c>
      <c r="O637" s="98">
        <v>15</v>
      </c>
      <c r="P637" s="98">
        <f>INDEX($C$1:$I$1,MATCH(Tabel3[[#This Row],[Type]],Devoirs[[#Headers],[J0]:[J60]],0))</f>
        <v>30</v>
      </c>
      <c r="Q637" s="105" cm="1">
        <f t="array" aca="1" ref="Q63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45971.641250000139</v>
      </c>
      <c r="R637" s="105">
        <f ca="1">MAX(Tabel3[[#This Row],[jour]]+$R$3,IF(ROW()-ROW(Tabel3[[#Headers],[debut]])=1,DATE(2025,9,1)+$R$3,OFFSET(Tabel3[[#This Row],[fin]],-1,)))</f>
        <v>45984.381979166661</v>
      </c>
      <c r="S63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45984.392395833325</v>
      </c>
      <c r="T637" s="102">
        <f ca="1">--(Tabel3[[#This Row],[jour]]&lt;&gt;TRUNC(Tabel3[[#This Row],[fin]]))</f>
        <v>0</v>
      </c>
      <c r="U637" s="102">
        <f ca="1">IF(Tabel3[[#This Row],[Type]]="j0",0,--(TRUNC(Tabel3[[#This Row],[debut]])-TRUNC(Tabel3[[#This Row],[fin precedent]])&lt;Tabel3[[#This Row],[delai]]))</f>
        <v>1</v>
      </c>
    </row>
    <row r="638" spans="12:21" ht="18" customHeight="1" x14ac:dyDescent="0.2">
      <c r="L638" s="98" t="s">
        <v>119</v>
      </c>
      <c r="M638" s="98" t="s">
        <v>42</v>
      </c>
      <c r="N638" s="104">
        <v>45985</v>
      </c>
      <c r="O638" s="98">
        <v>5.0999999999999996</v>
      </c>
      <c r="P638" s="98">
        <f>INDEX($C$1:$I$1,MATCH(Tabel3[[#This Row],[Type]],Devoirs[[#Headers],[J0]:[J60]],0))</f>
        <v>30</v>
      </c>
      <c r="Q638" s="105" cm="1">
        <f t="array" aca="1" ref="Q63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45971.703333333469</v>
      </c>
      <c r="R638" s="105">
        <f ca="1">MAX(Tabel3[[#This Row],[jour]]+$R$3,IF(ROW()-ROW(Tabel3[[#Headers],[debut]])=1,DATE(2025,9,1)+$R$3,OFFSET(Tabel3[[#This Row],[fin]],-1,)))</f>
        <v>45985.333333333336</v>
      </c>
      <c r="S63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45985.336875000001</v>
      </c>
      <c r="T638" s="102">
        <f ca="1">--(Tabel3[[#This Row],[jour]]&lt;&gt;TRUNC(Tabel3[[#This Row],[fin]]))</f>
        <v>0</v>
      </c>
      <c r="U638" s="102">
        <f ca="1">IF(Tabel3[[#This Row],[Type]]="j0",0,--(TRUNC(Tabel3[[#This Row],[debut]])-TRUNC(Tabel3[[#This Row],[fin precedent]])&lt;Tabel3[[#This Row],[delai]]))</f>
        <v>1</v>
      </c>
    </row>
    <row r="639" spans="12:21" ht="18" customHeight="1" x14ac:dyDescent="0.2">
      <c r="L639" s="98" t="s">
        <v>87</v>
      </c>
      <c r="M639" s="98" t="s">
        <v>42</v>
      </c>
      <c r="N639" s="104">
        <v>45985</v>
      </c>
      <c r="O639" s="98">
        <v>5.3999999999999995</v>
      </c>
      <c r="P639" s="98">
        <f>INDEX($C$1:$I$1,MATCH(Tabel3[[#This Row],[Type]],Devoirs[[#Headers],[J0]:[J60]],0))</f>
        <v>30</v>
      </c>
      <c r="Q639" s="105" cm="1">
        <f t="array" aca="1" ref="Q63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45971.710833333469</v>
      </c>
      <c r="R639" s="105">
        <f ca="1">MAX(Tabel3[[#This Row],[jour]]+$R$3,IF(ROW()-ROW(Tabel3[[#Headers],[debut]])=1,DATE(2025,9,1)+$R$3,OFFSET(Tabel3[[#This Row],[fin]],-1,)))</f>
        <v>45985.336875000001</v>
      </c>
      <c r="S63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45985.340625000004</v>
      </c>
      <c r="T639" s="102">
        <f ca="1">--(Tabel3[[#This Row],[jour]]&lt;&gt;TRUNC(Tabel3[[#This Row],[fin]]))</f>
        <v>0</v>
      </c>
      <c r="U639" s="102">
        <f ca="1">IF(Tabel3[[#This Row],[Type]]="j0",0,--(TRUNC(Tabel3[[#This Row],[debut]])-TRUNC(Tabel3[[#This Row],[fin precedent]])&lt;Tabel3[[#This Row],[delai]]))</f>
        <v>1</v>
      </c>
    </row>
    <row r="640" spans="12:21" ht="18" customHeight="1" x14ac:dyDescent="0.2">
      <c r="L640" s="98" t="s">
        <v>94</v>
      </c>
      <c r="M640" s="98" t="s">
        <v>42</v>
      </c>
      <c r="N640" s="104">
        <v>45985</v>
      </c>
      <c r="O640" s="98">
        <v>10.5</v>
      </c>
      <c r="P640" s="98">
        <f>INDEX($C$1:$I$1,MATCH(Tabel3[[#This Row],[Type]],Devoirs[[#Headers],[J0]:[J60]],0))</f>
        <v>30</v>
      </c>
      <c r="Q640" s="105" cm="1">
        <f t="array" aca="1" ref="Q64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45971.725416666799</v>
      </c>
      <c r="R640" s="105">
        <f ca="1">MAX(Tabel3[[#This Row],[jour]]+$R$3,IF(ROW()-ROW(Tabel3[[#Headers],[debut]])=1,DATE(2025,9,1)+$R$3,OFFSET(Tabel3[[#This Row],[fin]],-1,)))</f>
        <v>45985.340625000004</v>
      </c>
      <c r="S64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45985.347916666673</v>
      </c>
      <c r="T640" s="102">
        <f ca="1">--(Tabel3[[#This Row],[jour]]&lt;&gt;TRUNC(Tabel3[[#This Row],[fin]]))</f>
        <v>0</v>
      </c>
      <c r="U640" s="102">
        <f ca="1">IF(Tabel3[[#This Row],[Type]]="j0",0,--(TRUNC(Tabel3[[#This Row],[debut]])-TRUNC(Tabel3[[#This Row],[fin precedent]])&lt;Tabel3[[#This Row],[delai]]))</f>
        <v>1</v>
      </c>
    </row>
    <row r="641" spans="12:21" ht="18" customHeight="1" x14ac:dyDescent="0.2">
      <c r="L641" s="98" t="s">
        <v>46</v>
      </c>
      <c r="M641" s="98" t="s">
        <v>42</v>
      </c>
      <c r="N641" s="104">
        <v>45985</v>
      </c>
      <c r="O641" s="98">
        <v>11.4</v>
      </c>
      <c r="P641" s="98">
        <f>INDEX($C$1:$I$1,MATCH(Tabel3[[#This Row],[Type]],Devoirs[[#Headers],[J0]:[J60]],0))</f>
        <v>30</v>
      </c>
      <c r="Q641" s="105" cm="1">
        <f t="array" aca="1" ref="Q64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45971.74125000013</v>
      </c>
      <c r="R641" s="105">
        <f ca="1">MAX(Tabel3[[#This Row],[jour]]+$R$3,IF(ROW()-ROW(Tabel3[[#Headers],[debut]])=1,DATE(2025,9,1)+$R$3,OFFSET(Tabel3[[#This Row],[fin]],-1,)))</f>
        <v>45985.347916666673</v>
      </c>
      <c r="S64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45985.355833333342</v>
      </c>
      <c r="T641" s="102">
        <f ca="1">--(Tabel3[[#This Row],[jour]]&lt;&gt;TRUNC(Tabel3[[#This Row],[fin]]))</f>
        <v>0</v>
      </c>
      <c r="U641" s="102">
        <f ca="1">IF(Tabel3[[#This Row],[Type]]="j0",0,--(TRUNC(Tabel3[[#This Row],[debut]])-TRUNC(Tabel3[[#This Row],[fin precedent]])&lt;Tabel3[[#This Row],[delai]]))</f>
        <v>1</v>
      </c>
    </row>
    <row r="642" spans="12:21" ht="18" customHeight="1" x14ac:dyDescent="0.2">
      <c r="L642" s="98" t="s">
        <v>129</v>
      </c>
      <c r="M642" s="98" t="s">
        <v>42</v>
      </c>
      <c r="N642" s="104">
        <v>45985</v>
      </c>
      <c r="O642" s="98">
        <v>13.2</v>
      </c>
      <c r="P642" s="98">
        <f>INDEX($C$1:$I$1,MATCH(Tabel3[[#This Row],[Type]],Devoirs[[#Headers],[J0]:[J60]],0))</f>
        <v>30</v>
      </c>
      <c r="Q642" s="105" cm="1">
        <f t="array" aca="1" ref="Q64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45972.342916666799</v>
      </c>
      <c r="R642" s="105">
        <f ca="1">MAX(Tabel3[[#This Row],[jour]]+$R$3,IF(ROW()-ROW(Tabel3[[#Headers],[debut]])=1,DATE(2025,9,1)+$R$3,OFFSET(Tabel3[[#This Row],[fin]],-1,)))</f>
        <v>45985.355833333342</v>
      </c>
      <c r="S64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45985.365000000005</v>
      </c>
      <c r="T642" s="102">
        <f ca="1">--(Tabel3[[#This Row],[jour]]&lt;&gt;TRUNC(Tabel3[[#This Row],[fin]]))</f>
        <v>0</v>
      </c>
      <c r="U642" s="102">
        <f ca="1">IF(Tabel3[[#This Row],[Type]]="j0",0,--(TRUNC(Tabel3[[#This Row],[debut]])-TRUNC(Tabel3[[#This Row],[fin precedent]])&lt;Tabel3[[#This Row],[delai]]))</f>
        <v>1</v>
      </c>
    </row>
    <row r="643" spans="12:21" ht="18" customHeight="1" x14ac:dyDescent="0.2">
      <c r="L643" s="98" t="s">
        <v>122</v>
      </c>
      <c r="M643" s="98" t="s">
        <v>42</v>
      </c>
      <c r="N643" s="104">
        <v>45989</v>
      </c>
      <c r="O643" s="98">
        <v>11.85</v>
      </c>
      <c r="P643" s="98">
        <f>INDEX($C$1:$I$1,MATCH(Tabel3[[#This Row],[Type]],Devoirs[[#Headers],[J0]:[J60]],0))</f>
        <v>30</v>
      </c>
      <c r="Q643" s="105" cm="1">
        <f t="array" aca="1" ref="Q64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45972.418437500135</v>
      </c>
      <c r="R643" s="105">
        <f ca="1">MAX(Tabel3[[#This Row],[jour]]+$R$3,IF(ROW()-ROW(Tabel3[[#Headers],[debut]])=1,DATE(2025,9,1)+$R$3,OFFSET(Tabel3[[#This Row],[fin]],-1,)))</f>
        <v>45989.333333333336</v>
      </c>
      <c r="S64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45989.341562500005</v>
      </c>
      <c r="T643" s="102">
        <f ca="1">--(Tabel3[[#This Row],[jour]]&lt;&gt;TRUNC(Tabel3[[#This Row],[fin]]))</f>
        <v>0</v>
      </c>
      <c r="U643" s="102">
        <f ca="1">IF(Tabel3[[#This Row],[Type]]="j0",0,--(TRUNC(Tabel3[[#This Row],[debut]])-TRUNC(Tabel3[[#This Row],[fin precedent]])&lt;Tabel3[[#This Row],[delai]]))</f>
        <v>1</v>
      </c>
    </row>
    <row r="644" spans="12:21" ht="18" customHeight="1" x14ac:dyDescent="0.2">
      <c r="L644" s="98" t="s">
        <v>77</v>
      </c>
      <c r="M644" s="98" t="s">
        <v>42</v>
      </c>
      <c r="N644" s="104">
        <v>45989</v>
      </c>
      <c r="O644" s="98">
        <v>16.2</v>
      </c>
      <c r="P644" s="98">
        <f>INDEX($C$1:$I$1,MATCH(Tabel3[[#This Row],[Type]],Devoirs[[#Headers],[J0]:[J60]],0))</f>
        <v>30</v>
      </c>
      <c r="Q644" s="105" cm="1">
        <f t="array" aca="1" ref="Q64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45972.440937500134</v>
      </c>
      <c r="R644" s="105">
        <f ca="1">MAX(Tabel3[[#This Row],[jour]]+$R$3,IF(ROW()-ROW(Tabel3[[#Headers],[debut]])=1,DATE(2025,9,1)+$R$3,OFFSET(Tabel3[[#This Row],[fin]],-1,)))</f>
        <v>45989.341562500005</v>
      </c>
      <c r="S64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45989.352812500008</v>
      </c>
      <c r="T644" s="102">
        <f ca="1">--(Tabel3[[#This Row],[jour]]&lt;&gt;TRUNC(Tabel3[[#This Row],[fin]]))</f>
        <v>0</v>
      </c>
      <c r="U644" s="102">
        <f ca="1">IF(Tabel3[[#This Row],[Type]]="j0",0,--(TRUNC(Tabel3[[#This Row],[debut]])-TRUNC(Tabel3[[#This Row],[fin precedent]])&lt;Tabel3[[#This Row],[delai]]))</f>
        <v>1</v>
      </c>
    </row>
    <row r="645" spans="12:21" ht="18" customHeight="1" x14ac:dyDescent="0.2">
      <c r="L645" s="98" t="s">
        <v>47</v>
      </c>
      <c r="M645" s="98" t="s">
        <v>42</v>
      </c>
      <c r="N645" s="104">
        <v>45990</v>
      </c>
      <c r="O645" s="98">
        <v>8.85</v>
      </c>
      <c r="P645" s="98">
        <f>INDEX($C$1:$I$1,MATCH(Tabel3[[#This Row],[Type]],Devoirs[[#Headers],[J0]:[J60]],0))</f>
        <v>30</v>
      </c>
      <c r="Q645" s="105" cm="1">
        <f t="array" aca="1" ref="Q64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45972.4532291668</v>
      </c>
      <c r="R645" s="105">
        <f ca="1">MAX(Tabel3[[#This Row],[jour]]+$R$3,IF(ROW()-ROW(Tabel3[[#Headers],[debut]])=1,DATE(2025,9,1)+$R$3,OFFSET(Tabel3[[#This Row],[fin]],-1,)))</f>
        <v>45990.333333333336</v>
      </c>
      <c r="S64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45990.339479166672</v>
      </c>
      <c r="T645" s="102">
        <f ca="1">--(Tabel3[[#This Row],[jour]]&lt;&gt;TRUNC(Tabel3[[#This Row],[fin]]))</f>
        <v>0</v>
      </c>
      <c r="U645" s="102">
        <f ca="1">IF(Tabel3[[#This Row],[Type]]="j0",0,--(TRUNC(Tabel3[[#This Row],[debut]])-TRUNC(Tabel3[[#This Row],[fin precedent]])&lt;Tabel3[[#This Row],[delai]]))</f>
        <v>1</v>
      </c>
    </row>
    <row r="646" spans="12:21" ht="18" customHeight="1" x14ac:dyDescent="0.2">
      <c r="L646" s="98" t="s">
        <v>76</v>
      </c>
      <c r="M646" s="98" t="s">
        <v>42</v>
      </c>
      <c r="N646" s="104">
        <v>45990</v>
      </c>
      <c r="O646" s="98">
        <v>17.099999999999998</v>
      </c>
      <c r="P646" s="98">
        <f>INDEX($C$1:$I$1,MATCH(Tabel3[[#This Row],[Type]],Devoirs[[#Headers],[J0]:[J60]],0))</f>
        <v>30</v>
      </c>
      <c r="Q646" s="105" cm="1">
        <f t="array" aca="1" ref="Q64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45972.4769791668</v>
      </c>
      <c r="R646" s="105">
        <f ca="1">MAX(Tabel3[[#This Row],[jour]]+$R$3,IF(ROW()-ROW(Tabel3[[#Headers],[debut]])=1,DATE(2025,9,1)+$R$3,OFFSET(Tabel3[[#This Row],[fin]],-1,)))</f>
        <v>45990.339479166672</v>
      </c>
      <c r="S64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45990.351354166669</v>
      </c>
      <c r="T646" s="102">
        <f ca="1">--(Tabel3[[#This Row],[jour]]&lt;&gt;TRUNC(Tabel3[[#This Row],[fin]]))</f>
        <v>0</v>
      </c>
      <c r="U646" s="102">
        <f ca="1">IF(Tabel3[[#This Row],[Type]]="j0",0,--(TRUNC(Tabel3[[#This Row],[debut]])-TRUNC(Tabel3[[#This Row],[fin precedent]])&lt;Tabel3[[#This Row],[delai]]))</f>
        <v>1</v>
      </c>
    </row>
    <row r="647" spans="12:21" ht="18" customHeight="1" x14ac:dyDescent="0.2">
      <c r="L647" s="98" t="s">
        <v>49</v>
      </c>
      <c r="M647" s="98" t="s">
        <v>42</v>
      </c>
      <c r="N647" s="104">
        <v>45990</v>
      </c>
      <c r="O647" s="98">
        <v>17.7</v>
      </c>
      <c r="P647" s="98">
        <f>INDEX($C$1:$I$1,MATCH(Tabel3[[#This Row],[Type]],Devoirs[[#Headers],[J0]:[J60]],0))</f>
        <v>30</v>
      </c>
      <c r="Q647" s="105" cm="1">
        <f t="array" aca="1" ref="Q64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45972.501562500132</v>
      </c>
      <c r="R647" s="105">
        <f ca="1">MAX(Tabel3[[#This Row],[jour]]+$R$3,IF(ROW()-ROW(Tabel3[[#Headers],[debut]])=1,DATE(2025,9,1)+$R$3,OFFSET(Tabel3[[#This Row],[fin]],-1,)))</f>
        <v>45990.351354166669</v>
      </c>
      <c r="S64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45990.363645833335</v>
      </c>
      <c r="T647" s="102">
        <f ca="1">--(Tabel3[[#This Row],[jour]]&lt;&gt;TRUNC(Tabel3[[#This Row],[fin]]))</f>
        <v>0</v>
      </c>
      <c r="U647" s="102">
        <f ca="1">IF(Tabel3[[#This Row],[Type]]="j0",0,--(TRUNC(Tabel3[[#This Row],[debut]])-TRUNC(Tabel3[[#This Row],[fin precedent]])&lt;Tabel3[[#This Row],[delai]]))</f>
        <v>1</v>
      </c>
    </row>
    <row r="648" spans="12:21" ht="18" customHeight="1" x14ac:dyDescent="0.2">
      <c r="L648" s="98" t="s">
        <v>124</v>
      </c>
      <c r="M648" s="98" t="s">
        <v>42</v>
      </c>
      <c r="N648" s="104">
        <v>45991</v>
      </c>
      <c r="O648" s="98">
        <v>7.5</v>
      </c>
      <c r="P648" s="98">
        <f>INDEX($C$1:$I$1,MATCH(Tabel3[[#This Row],[Type]],Devoirs[[#Headers],[J0]:[J60]],0))</f>
        <v>30</v>
      </c>
      <c r="Q648" s="105" cm="1">
        <f t="array" aca="1" ref="Q64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45972.515312500131</v>
      </c>
      <c r="R648" s="105">
        <f ca="1">MAX(Tabel3[[#This Row],[jour]]+$R$3,IF(ROW()-ROW(Tabel3[[#Headers],[debut]])=1,DATE(2025,9,1)+$R$3,OFFSET(Tabel3[[#This Row],[fin]],-1,)))</f>
        <v>45991.333333333336</v>
      </c>
      <c r="S64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45991.338541666672</v>
      </c>
      <c r="T648" s="102">
        <f ca="1">--(Tabel3[[#This Row],[jour]]&lt;&gt;TRUNC(Tabel3[[#This Row],[fin]]))</f>
        <v>0</v>
      </c>
      <c r="U648" s="102">
        <f ca="1">IF(Tabel3[[#This Row],[Type]]="j0",0,--(TRUNC(Tabel3[[#This Row],[debut]])-TRUNC(Tabel3[[#This Row],[fin precedent]])&lt;Tabel3[[#This Row],[delai]]))</f>
        <v>1</v>
      </c>
    </row>
    <row r="649" spans="12:21" ht="18" customHeight="1" x14ac:dyDescent="0.2">
      <c r="L649" s="98" t="s">
        <v>56</v>
      </c>
      <c r="M649" s="98" t="s">
        <v>42</v>
      </c>
      <c r="N649" s="104">
        <v>45991</v>
      </c>
      <c r="O649" s="98">
        <v>9</v>
      </c>
      <c r="P649" s="98">
        <f>INDEX($C$1:$I$1,MATCH(Tabel3[[#This Row],[Type]],Devoirs[[#Headers],[J0]:[J60]],0))</f>
        <v>30</v>
      </c>
      <c r="Q649" s="105" cm="1">
        <f t="array" aca="1" ref="Q64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45972.527812500128</v>
      </c>
      <c r="R649" s="105">
        <f ca="1">MAX(Tabel3[[#This Row],[jour]]+$R$3,IF(ROW()-ROW(Tabel3[[#Headers],[debut]])=1,DATE(2025,9,1)+$R$3,OFFSET(Tabel3[[#This Row],[fin]],-1,)))</f>
        <v>45991.338541666672</v>
      </c>
      <c r="S64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45991.34479166667</v>
      </c>
      <c r="T649" s="102">
        <f ca="1">--(Tabel3[[#This Row],[jour]]&lt;&gt;TRUNC(Tabel3[[#This Row],[fin]]))</f>
        <v>0</v>
      </c>
      <c r="U649" s="102">
        <f ca="1">IF(Tabel3[[#This Row],[Type]]="j0",0,--(TRUNC(Tabel3[[#This Row],[debut]])-TRUNC(Tabel3[[#This Row],[fin precedent]])&lt;Tabel3[[#This Row],[delai]]))</f>
        <v>1</v>
      </c>
    </row>
    <row r="650" spans="12:21" ht="18" customHeight="1" x14ac:dyDescent="0.2">
      <c r="L650" s="98" t="s">
        <v>73</v>
      </c>
      <c r="M650" s="98" t="s">
        <v>42</v>
      </c>
      <c r="N650" s="104">
        <v>45991</v>
      </c>
      <c r="O650" s="98">
        <v>13.35</v>
      </c>
      <c r="P650" s="98">
        <f>INDEX($C$1:$I$1,MATCH(Tabel3[[#This Row],[Type]],Devoirs[[#Headers],[J0]:[J60]],0))</f>
        <v>30</v>
      </c>
      <c r="Q650" s="105" cm="1">
        <f t="array" aca="1" ref="Q65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45972.546354166792</v>
      </c>
      <c r="R650" s="105">
        <f ca="1">MAX(Tabel3[[#This Row],[jour]]+$R$3,IF(ROW()-ROW(Tabel3[[#Headers],[debut]])=1,DATE(2025,9,1)+$R$3,OFFSET(Tabel3[[#This Row],[fin]],-1,)))</f>
        <v>45991.34479166667</v>
      </c>
      <c r="S65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45991.354062500002</v>
      </c>
      <c r="T650" s="102">
        <f ca="1">--(Tabel3[[#This Row],[jour]]&lt;&gt;TRUNC(Tabel3[[#This Row],[fin]]))</f>
        <v>0</v>
      </c>
      <c r="U650" s="102">
        <f ca="1">IF(Tabel3[[#This Row],[Type]]="j0",0,--(TRUNC(Tabel3[[#This Row],[debut]])-TRUNC(Tabel3[[#This Row],[fin precedent]])&lt;Tabel3[[#This Row],[delai]]))</f>
        <v>1</v>
      </c>
    </row>
    <row r="651" spans="12:21" ht="18" customHeight="1" x14ac:dyDescent="0.2">
      <c r="L651" s="98" t="s">
        <v>120</v>
      </c>
      <c r="M651" s="98" t="s">
        <v>42</v>
      </c>
      <c r="N651" s="104">
        <v>45991</v>
      </c>
      <c r="O651" s="98">
        <v>15.299999999999999</v>
      </c>
      <c r="P651" s="98">
        <f>INDEX($C$1:$I$1,MATCH(Tabel3[[#This Row],[Type]],Devoirs[[#Headers],[J0]:[J60]],0))</f>
        <v>30</v>
      </c>
      <c r="Q651" s="105" cm="1">
        <f t="array" aca="1" ref="Q65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45972.56760416679</v>
      </c>
      <c r="R651" s="105">
        <f ca="1">MAX(Tabel3[[#This Row],[jour]]+$R$3,IF(ROW()-ROW(Tabel3[[#Headers],[debut]])=1,DATE(2025,9,1)+$R$3,OFFSET(Tabel3[[#This Row],[fin]],-1,)))</f>
        <v>45991.354062500002</v>
      </c>
      <c r="S65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45991.364687500005</v>
      </c>
      <c r="T651" s="102">
        <f ca="1">--(Tabel3[[#This Row],[jour]]&lt;&gt;TRUNC(Tabel3[[#This Row],[fin]]))</f>
        <v>0</v>
      </c>
      <c r="U651" s="102">
        <f ca="1">IF(Tabel3[[#This Row],[Type]]="j0",0,--(TRUNC(Tabel3[[#This Row],[debut]])-TRUNC(Tabel3[[#This Row],[fin precedent]])&lt;Tabel3[[#This Row],[delai]]))</f>
        <v>1</v>
      </c>
    </row>
    <row r="652" spans="12:21" ht="18" customHeight="1" x14ac:dyDescent="0.2">
      <c r="L652" s="98" t="s">
        <v>123</v>
      </c>
      <c r="M652" s="98" t="s">
        <v>42</v>
      </c>
      <c r="N652" s="104">
        <v>45992</v>
      </c>
      <c r="O652" s="98">
        <v>11.4</v>
      </c>
      <c r="P652" s="98">
        <f>INDEX($C$1:$I$1,MATCH(Tabel3[[#This Row],[Type]],Devoirs[[#Headers],[J0]:[J60]],0))</f>
        <v>30</v>
      </c>
      <c r="Q652" s="105" cm="1">
        <f t="array" aca="1" ref="Q65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45972.618333333456</v>
      </c>
      <c r="R652" s="105">
        <f ca="1">MAX(Tabel3[[#This Row],[jour]]+$R$3,IF(ROW()-ROW(Tabel3[[#Headers],[debut]])=1,DATE(2025,9,1)+$R$3,OFFSET(Tabel3[[#This Row],[fin]],-1,)))</f>
        <v>45992.333333333336</v>
      </c>
      <c r="S65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45992.341250000005</v>
      </c>
      <c r="T652" s="102">
        <f ca="1">--(Tabel3[[#This Row],[jour]]&lt;&gt;TRUNC(Tabel3[[#This Row],[fin]]))</f>
        <v>0</v>
      </c>
      <c r="U652" s="102">
        <f ca="1">IF(Tabel3[[#This Row],[Type]]="j0",0,--(TRUNC(Tabel3[[#This Row],[debut]])-TRUNC(Tabel3[[#This Row],[fin precedent]])&lt;Tabel3[[#This Row],[delai]]))</f>
        <v>1</v>
      </c>
    </row>
    <row r="653" spans="12:21" ht="18" customHeight="1" x14ac:dyDescent="0.2">
      <c r="L653" s="98" t="s">
        <v>50</v>
      </c>
      <c r="M653" s="98" t="s">
        <v>42</v>
      </c>
      <c r="N653" s="104">
        <v>45992</v>
      </c>
      <c r="O653" s="98">
        <v>17.849999999999998</v>
      </c>
      <c r="P653" s="98">
        <f>INDEX($C$1:$I$1,MATCH(Tabel3[[#This Row],[Type]],Devoirs[[#Headers],[J0]:[J60]],0))</f>
        <v>30</v>
      </c>
      <c r="Q653" s="105" cm="1">
        <f t="array" aca="1" ref="Q65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45972.643125000119</v>
      </c>
      <c r="R653" s="105">
        <f ca="1">MAX(Tabel3[[#This Row],[jour]]+$R$3,IF(ROW()-ROW(Tabel3[[#Headers],[debut]])=1,DATE(2025,9,1)+$R$3,OFFSET(Tabel3[[#This Row],[fin]],-1,)))</f>
        <v>45992.341250000005</v>
      </c>
      <c r="S65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45992.35364583334</v>
      </c>
      <c r="T653" s="102">
        <f ca="1">--(Tabel3[[#This Row],[jour]]&lt;&gt;TRUNC(Tabel3[[#This Row],[fin]]))</f>
        <v>0</v>
      </c>
      <c r="U653" s="102">
        <f ca="1">IF(Tabel3[[#This Row],[Type]]="j0",0,--(TRUNC(Tabel3[[#This Row],[debut]])-TRUNC(Tabel3[[#This Row],[fin precedent]])&lt;Tabel3[[#This Row],[delai]]))</f>
        <v>1</v>
      </c>
    </row>
    <row r="654" spans="12:21" ht="18" customHeight="1" x14ac:dyDescent="0.2">
      <c r="L654" s="98" t="s">
        <v>53</v>
      </c>
      <c r="M654" s="98" t="s">
        <v>42</v>
      </c>
      <c r="N654" s="104">
        <v>45993</v>
      </c>
      <c r="O654" s="98">
        <v>9.2999999999999989</v>
      </c>
      <c r="P654" s="98">
        <f>INDEX($C$1:$I$1,MATCH(Tabel3[[#This Row],[Type]],Devoirs[[#Headers],[J0]:[J60]],0))</f>
        <v>30</v>
      </c>
      <c r="Q654" s="105" cm="1">
        <f t="array" aca="1" ref="Q65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45972.684270833452</v>
      </c>
      <c r="R654" s="105">
        <f ca="1">MAX(Tabel3[[#This Row],[jour]]+$R$3,IF(ROW()-ROW(Tabel3[[#Headers],[debut]])=1,DATE(2025,9,1)+$R$3,OFFSET(Tabel3[[#This Row],[fin]],-1,)))</f>
        <v>45993.333333333336</v>
      </c>
      <c r="S65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45993.339791666673</v>
      </c>
      <c r="T654" s="102">
        <f ca="1">--(Tabel3[[#This Row],[jour]]&lt;&gt;TRUNC(Tabel3[[#This Row],[fin]]))</f>
        <v>0</v>
      </c>
      <c r="U654" s="102">
        <f ca="1">IF(Tabel3[[#This Row],[Type]]="j0",0,--(TRUNC(Tabel3[[#This Row],[debut]])-TRUNC(Tabel3[[#This Row],[fin precedent]])&lt;Tabel3[[#This Row],[delai]]))</f>
        <v>1</v>
      </c>
    </row>
    <row r="655" spans="12:21" ht="18" customHeight="1" x14ac:dyDescent="0.2">
      <c r="L655" s="98" t="s">
        <v>111</v>
      </c>
      <c r="M655" s="98" t="s">
        <v>42</v>
      </c>
      <c r="N655" s="104">
        <v>45993</v>
      </c>
      <c r="O655" s="98">
        <v>9.2999999999999989</v>
      </c>
      <c r="P655" s="98">
        <f>INDEX($C$1:$I$1,MATCH(Tabel3[[#This Row],[Type]],Devoirs[[#Headers],[J0]:[J60]],0))</f>
        <v>30</v>
      </c>
      <c r="Q655" s="105" cm="1">
        <f t="array" aca="1" ref="Q65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45972.697187500118</v>
      </c>
      <c r="R655" s="105">
        <f ca="1">MAX(Tabel3[[#This Row],[jour]]+$R$3,IF(ROW()-ROW(Tabel3[[#Headers],[debut]])=1,DATE(2025,9,1)+$R$3,OFFSET(Tabel3[[#This Row],[fin]],-1,)))</f>
        <v>45993.339791666673</v>
      </c>
      <c r="S65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45993.34625000001</v>
      </c>
      <c r="T655" s="102">
        <f ca="1">--(Tabel3[[#This Row],[jour]]&lt;&gt;TRUNC(Tabel3[[#This Row],[fin]]))</f>
        <v>0</v>
      </c>
      <c r="U655" s="102">
        <f ca="1">IF(Tabel3[[#This Row],[Type]]="j0",0,--(TRUNC(Tabel3[[#This Row],[debut]])-TRUNC(Tabel3[[#This Row],[fin precedent]])&lt;Tabel3[[#This Row],[delai]]))</f>
        <v>1</v>
      </c>
    </row>
    <row r="656" spans="12:21" ht="18" customHeight="1" x14ac:dyDescent="0.2">
      <c r="L656" s="98" t="s">
        <v>81</v>
      </c>
      <c r="M656" s="98" t="s">
        <v>42</v>
      </c>
      <c r="N656" s="104">
        <v>45993</v>
      </c>
      <c r="O656" s="98">
        <v>15.899999999999999</v>
      </c>
      <c r="P656" s="98">
        <f>INDEX($C$1:$I$1,MATCH(Tabel3[[#This Row],[Type]],Devoirs[[#Headers],[J0]:[J60]],0))</f>
        <v>30</v>
      </c>
      <c r="Q656" s="105" cm="1">
        <f t="array" aca="1" ref="Q65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45972.719270833455</v>
      </c>
      <c r="R656" s="105">
        <f ca="1">MAX(Tabel3[[#This Row],[jour]]+$R$3,IF(ROW()-ROW(Tabel3[[#Headers],[debut]])=1,DATE(2025,9,1)+$R$3,OFFSET(Tabel3[[#This Row],[fin]],-1,)))</f>
        <v>45993.34625000001</v>
      </c>
      <c r="S65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45993.357291666674</v>
      </c>
      <c r="T656" s="102">
        <f ca="1">--(Tabel3[[#This Row],[jour]]&lt;&gt;TRUNC(Tabel3[[#This Row],[fin]]))</f>
        <v>0</v>
      </c>
      <c r="U656" s="102">
        <f ca="1">IF(Tabel3[[#This Row],[Type]]="j0",0,--(TRUNC(Tabel3[[#This Row],[debut]])-TRUNC(Tabel3[[#This Row],[fin precedent]])&lt;Tabel3[[#This Row],[delai]]))</f>
        <v>1</v>
      </c>
    </row>
    <row r="657" spans="12:21" ht="18" customHeight="1" x14ac:dyDescent="0.2">
      <c r="L657" s="98" t="s">
        <v>63</v>
      </c>
      <c r="M657" s="98" t="s">
        <v>42</v>
      </c>
      <c r="N657" s="104">
        <v>45996</v>
      </c>
      <c r="O657" s="98">
        <v>10.65</v>
      </c>
      <c r="P657" s="98">
        <f>INDEX($C$1:$I$1,MATCH(Tabel3[[#This Row],[Type]],Devoirs[[#Headers],[J0]:[J60]],0))</f>
        <v>30</v>
      </c>
      <c r="Q657" s="105" cm="1">
        <f t="array" aca="1" ref="Q65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45972.740625000122</v>
      </c>
      <c r="R657" s="105">
        <f ca="1">MAX(Tabel3[[#This Row],[jour]]+$R$3,IF(ROW()-ROW(Tabel3[[#Headers],[debut]])=1,DATE(2025,9,1)+$R$3,OFFSET(Tabel3[[#This Row],[fin]],-1,)))</f>
        <v>45996.333333333336</v>
      </c>
      <c r="S65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45996.340729166666</v>
      </c>
      <c r="T657" s="102">
        <f ca="1">--(Tabel3[[#This Row],[jour]]&lt;&gt;TRUNC(Tabel3[[#This Row],[fin]]))</f>
        <v>0</v>
      </c>
      <c r="U657" s="102">
        <f ca="1">IF(Tabel3[[#This Row],[Type]]="j0",0,--(TRUNC(Tabel3[[#This Row],[debut]])-TRUNC(Tabel3[[#This Row],[fin precedent]])&lt;Tabel3[[#This Row],[delai]]))</f>
        <v>1</v>
      </c>
    </row>
    <row r="658" spans="12:21" ht="18" customHeight="1" x14ac:dyDescent="0.2">
      <c r="L658" s="98" t="s">
        <v>91</v>
      </c>
      <c r="M658" s="98" t="s">
        <v>42</v>
      </c>
      <c r="N658" s="104">
        <v>45996</v>
      </c>
      <c r="O658" s="98">
        <v>10.65</v>
      </c>
      <c r="P658" s="98">
        <f>INDEX($C$1:$I$1,MATCH(Tabel3[[#This Row],[Type]],Devoirs[[#Headers],[J0]:[J60]],0))</f>
        <v>30</v>
      </c>
      <c r="Q658" s="105" cm="1">
        <f t="array" aca="1" ref="Q65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45973.338750000126</v>
      </c>
      <c r="R658" s="105">
        <f ca="1">MAX(Tabel3[[#This Row],[jour]]+$R$3,IF(ROW()-ROW(Tabel3[[#Headers],[debut]])=1,DATE(2025,9,1)+$R$3,OFFSET(Tabel3[[#This Row],[fin]],-1,)))</f>
        <v>45996.340729166666</v>
      </c>
      <c r="S65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45996.348124999997</v>
      </c>
      <c r="T658" s="102">
        <f ca="1">--(Tabel3[[#This Row],[jour]]&lt;&gt;TRUNC(Tabel3[[#This Row],[fin]]))</f>
        <v>0</v>
      </c>
      <c r="U658" s="102">
        <f ca="1">IF(Tabel3[[#This Row],[Type]]="j0",0,--(TRUNC(Tabel3[[#This Row],[debut]])-TRUNC(Tabel3[[#This Row],[fin precedent]])&lt;Tabel3[[#This Row],[delai]]))</f>
        <v>1</v>
      </c>
    </row>
    <row r="659" spans="12:21" ht="18" customHeight="1" x14ac:dyDescent="0.2">
      <c r="L659" s="98" t="s">
        <v>103</v>
      </c>
      <c r="M659" s="98" t="s">
        <v>42</v>
      </c>
      <c r="N659" s="104">
        <v>45997</v>
      </c>
      <c r="O659" s="98">
        <v>5.3999999999999995</v>
      </c>
      <c r="P659" s="98">
        <f>INDEX($C$1:$I$1,MATCH(Tabel3[[#This Row],[Type]],Devoirs[[#Headers],[J0]:[J60]],0))</f>
        <v>30</v>
      </c>
      <c r="Q659" s="105" cm="1">
        <f t="array" aca="1" ref="Q65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45973.346250000126</v>
      </c>
      <c r="R659" s="105">
        <f ca="1">MAX(Tabel3[[#This Row],[jour]]+$R$3,IF(ROW()-ROW(Tabel3[[#Headers],[debut]])=1,DATE(2025,9,1)+$R$3,OFFSET(Tabel3[[#This Row],[fin]],-1,)))</f>
        <v>45997.333333333336</v>
      </c>
      <c r="S65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45997.337083333339</v>
      </c>
      <c r="T659" s="102">
        <f ca="1">--(Tabel3[[#This Row],[jour]]&lt;&gt;TRUNC(Tabel3[[#This Row],[fin]]))</f>
        <v>0</v>
      </c>
      <c r="U659" s="102">
        <f ca="1">IF(Tabel3[[#This Row],[Type]]="j0",0,--(TRUNC(Tabel3[[#This Row],[debut]])-TRUNC(Tabel3[[#This Row],[fin precedent]])&lt;Tabel3[[#This Row],[delai]]))</f>
        <v>1</v>
      </c>
    </row>
    <row r="660" spans="12:21" ht="18" customHeight="1" x14ac:dyDescent="0.2">
      <c r="L660" s="98" t="s">
        <v>126</v>
      </c>
      <c r="M660" s="98" t="s">
        <v>42</v>
      </c>
      <c r="N660" s="104">
        <v>45997</v>
      </c>
      <c r="O660" s="98">
        <v>9.9</v>
      </c>
      <c r="P660" s="98">
        <f>INDEX($C$1:$I$1,MATCH(Tabel3[[#This Row],[Type]],Devoirs[[#Headers],[J0]:[J60]],0))</f>
        <v>30</v>
      </c>
      <c r="Q660" s="105" cm="1">
        <f t="array" aca="1" ref="Q660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45973.360000000124</v>
      </c>
      <c r="R660" s="105">
        <f ca="1">MAX(Tabel3[[#This Row],[jour]]+$R$3,IF(ROW()-ROW(Tabel3[[#Headers],[debut]])=1,DATE(2025,9,1)+$R$3,OFFSET(Tabel3[[#This Row],[fin]],-1,)))</f>
        <v>45997.337083333339</v>
      </c>
      <c r="S660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45997.343958333338</v>
      </c>
      <c r="T660" s="102">
        <f ca="1">--(Tabel3[[#This Row],[jour]]&lt;&gt;TRUNC(Tabel3[[#This Row],[fin]]))</f>
        <v>0</v>
      </c>
      <c r="U660" s="102">
        <f ca="1">IF(Tabel3[[#This Row],[Type]]="j0",0,--(TRUNC(Tabel3[[#This Row],[debut]])-TRUNC(Tabel3[[#This Row],[fin precedent]])&lt;Tabel3[[#This Row],[delai]]))</f>
        <v>1</v>
      </c>
    </row>
    <row r="661" spans="12:21" ht="18" customHeight="1" x14ac:dyDescent="0.2">
      <c r="L661" s="98" t="s">
        <v>70</v>
      </c>
      <c r="M661" s="98" t="s">
        <v>42</v>
      </c>
      <c r="N661" s="104">
        <v>45997</v>
      </c>
      <c r="O661" s="98">
        <v>12.6</v>
      </c>
      <c r="P661" s="98">
        <f>INDEX($C$1:$I$1,MATCH(Tabel3[[#This Row],[Type]],Devoirs[[#Headers],[J0]:[J60]],0))</f>
        <v>30</v>
      </c>
      <c r="Q661" s="105" cm="1">
        <f t="array" aca="1" ref="Q661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45973.377500000126</v>
      </c>
      <c r="R661" s="105">
        <f ca="1">MAX(Tabel3[[#This Row],[jour]]+$R$3,IF(ROW()-ROW(Tabel3[[#Headers],[debut]])=1,DATE(2025,9,1)+$R$3,OFFSET(Tabel3[[#This Row],[fin]],-1,)))</f>
        <v>45997.343958333338</v>
      </c>
      <c r="S661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45997.352708333339</v>
      </c>
      <c r="T661" s="102">
        <f ca="1">--(Tabel3[[#This Row],[jour]]&lt;&gt;TRUNC(Tabel3[[#This Row],[fin]]))</f>
        <v>0</v>
      </c>
      <c r="U661" s="102">
        <f ca="1">IF(Tabel3[[#This Row],[Type]]="j0",0,--(TRUNC(Tabel3[[#This Row],[debut]])-TRUNC(Tabel3[[#This Row],[fin precedent]])&lt;Tabel3[[#This Row],[delai]]))</f>
        <v>1</v>
      </c>
    </row>
    <row r="662" spans="12:21" ht="18" customHeight="1" x14ac:dyDescent="0.2">
      <c r="L662" s="98" t="s">
        <v>71</v>
      </c>
      <c r="M662" s="98" t="s">
        <v>42</v>
      </c>
      <c r="N662" s="104">
        <v>45997</v>
      </c>
      <c r="O662" s="98">
        <v>15.149999999999999</v>
      </c>
      <c r="P662" s="98">
        <f>INDEX($C$1:$I$1,MATCH(Tabel3[[#This Row],[Type]],Devoirs[[#Headers],[J0]:[J60]],0))</f>
        <v>30</v>
      </c>
      <c r="Q662" s="105" cm="1">
        <f t="array" aca="1" ref="Q662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45973.398541666793</v>
      </c>
      <c r="R662" s="105">
        <f ca="1">MAX(Tabel3[[#This Row],[jour]]+$R$3,IF(ROW()-ROW(Tabel3[[#Headers],[debut]])=1,DATE(2025,9,1)+$R$3,OFFSET(Tabel3[[#This Row],[fin]],-1,)))</f>
        <v>45997.352708333339</v>
      </c>
      <c r="S662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45997.363229166673</v>
      </c>
      <c r="T662" s="102">
        <f ca="1">--(Tabel3[[#This Row],[jour]]&lt;&gt;TRUNC(Tabel3[[#This Row],[fin]]))</f>
        <v>0</v>
      </c>
      <c r="U662" s="102">
        <f ca="1">IF(Tabel3[[#This Row],[Type]]="j0",0,--(TRUNC(Tabel3[[#This Row],[debut]])-TRUNC(Tabel3[[#This Row],[fin precedent]])&lt;Tabel3[[#This Row],[delai]]))</f>
        <v>1</v>
      </c>
    </row>
    <row r="663" spans="12:21" ht="18" customHeight="1" x14ac:dyDescent="0.2">
      <c r="L663" s="98" t="s">
        <v>65</v>
      </c>
      <c r="M663" s="98" t="s">
        <v>42</v>
      </c>
      <c r="N663" s="104">
        <v>45997</v>
      </c>
      <c r="O663" s="98">
        <v>16.349999999999998</v>
      </c>
      <c r="P663" s="98">
        <f>INDEX($C$1:$I$1,MATCH(Tabel3[[#This Row],[Type]],Devoirs[[#Headers],[J0]:[J60]],0))</f>
        <v>30</v>
      </c>
      <c r="Q663" s="105" cm="1">
        <f t="array" aca="1" ref="Q663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45973.421250000123</v>
      </c>
      <c r="R663" s="105">
        <f ca="1">MAX(Tabel3[[#This Row],[jour]]+$R$3,IF(ROW()-ROW(Tabel3[[#Headers],[debut]])=1,DATE(2025,9,1)+$R$3,OFFSET(Tabel3[[#This Row],[fin]],-1,)))</f>
        <v>45997.363229166673</v>
      </c>
      <c r="S663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45997.374583333338</v>
      </c>
      <c r="T663" s="102">
        <f ca="1">--(Tabel3[[#This Row],[jour]]&lt;&gt;TRUNC(Tabel3[[#This Row],[fin]]))</f>
        <v>0</v>
      </c>
      <c r="U663" s="102">
        <f ca="1">IF(Tabel3[[#This Row],[Type]]="j0",0,--(TRUNC(Tabel3[[#This Row],[debut]])-TRUNC(Tabel3[[#This Row],[fin precedent]])&lt;Tabel3[[#This Row],[delai]]))</f>
        <v>1</v>
      </c>
    </row>
    <row r="664" spans="12:21" ht="18" customHeight="1" x14ac:dyDescent="0.2">
      <c r="L664" s="98" t="s">
        <v>60</v>
      </c>
      <c r="M664" s="98" t="s">
        <v>42</v>
      </c>
      <c r="N664" s="104">
        <v>45998</v>
      </c>
      <c r="O664" s="98">
        <v>6</v>
      </c>
      <c r="P664" s="98">
        <f>INDEX($C$1:$I$1,MATCH(Tabel3[[#This Row],[Type]],Devoirs[[#Headers],[J0]:[J60]],0))</f>
        <v>30</v>
      </c>
      <c r="Q664" s="105" cm="1">
        <f t="array" aca="1" ref="Q664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45973.493645833456</v>
      </c>
      <c r="R664" s="105">
        <f ca="1">MAX(Tabel3[[#This Row],[jour]]+$R$3,IF(ROW()-ROW(Tabel3[[#Headers],[debut]])=1,DATE(2025,9,1)+$R$3,OFFSET(Tabel3[[#This Row],[fin]],-1,)))</f>
        <v>45998.333333333336</v>
      </c>
      <c r="S664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45998.337500000001</v>
      </c>
      <c r="T664" s="102">
        <f ca="1">--(Tabel3[[#This Row],[jour]]&lt;&gt;TRUNC(Tabel3[[#This Row],[fin]]))</f>
        <v>0</v>
      </c>
      <c r="U664" s="102">
        <f ca="1">IF(Tabel3[[#This Row],[Type]]="j0",0,--(TRUNC(Tabel3[[#This Row],[debut]])-TRUNC(Tabel3[[#This Row],[fin precedent]])&lt;Tabel3[[#This Row],[delai]]))</f>
        <v>1</v>
      </c>
    </row>
    <row r="665" spans="12:21" ht="18" customHeight="1" x14ac:dyDescent="0.2">
      <c r="L665" s="98" t="s">
        <v>79</v>
      </c>
      <c r="M665" s="98" t="s">
        <v>42</v>
      </c>
      <c r="N665" s="104">
        <v>45998</v>
      </c>
      <c r="O665" s="98">
        <v>12.15</v>
      </c>
      <c r="P665" s="98">
        <f>INDEX($C$1:$I$1,MATCH(Tabel3[[#This Row],[Type]],Devoirs[[#Headers],[J0]:[J60]],0))</f>
        <v>30</v>
      </c>
      <c r="Q665" s="105" cm="1">
        <f t="array" aca="1" ref="Q665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45973.510520833457</v>
      </c>
      <c r="R665" s="105">
        <f ca="1">MAX(Tabel3[[#This Row],[jour]]+$R$3,IF(ROW()-ROW(Tabel3[[#Headers],[debut]])=1,DATE(2025,9,1)+$R$3,OFFSET(Tabel3[[#This Row],[fin]],-1,)))</f>
        <v>45998.337500000001</v>
      </c>
      <c r="S665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45998.345937500002</v>
      </c>
      <c r="T665" s="102">
        <f ca="1">--(Tabel3[[#This Row],[jour]]&lt;&gt;TRUNC(Tabel3[[#This Row],[fin]]))</f>
        <v>0</v>
      </c>
      <c r="U665" s="102">
        <f ca="1">IF(Tabel3[[#This Row],[Type]]="j0",0,--(TRUNC(Tabel3[[#This Row],[debut]])-TRUNC(Tabel3[[#This Row],[fin precedent]])&lt;Tabel3[[#This Row],[delai]]))</f>
        <v>1</v>
      </c>
    </row>
    <row r="666" spans="12:21" ht="18" customHeight="1" x14ac:dyDescent="0.2">
      <c r="L666" s="98" t="s">
        <v>54</v>
      </c>
      <c r="M666" s="98" t="s">
        <v>42</v>
      </c>
      <c r="N666" s="104">
        <v>45999</v>
      </c>
      <c r="O666" s="98">
        <v>9.9</v>
      </c>
      <c r="P666" s="98">
        <f>INDEX($C$1:$I$1,MATCH(Tabel3[[#This Row],[Type]],Devoirs[[#Headers],[J0]:[J60]],0))</f>
        <v>30</v>
      </c>
      <c r="Q666" s="105" cm="1">
        <f t="array" aca="1" ref="Q666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45973.554375000131</v>
      </c>
      <c r="R666" s="105">
        <f ca="1">MAX(Tabel3[[#This Row],[jour]]+$R$3,IF(ROW()-ROW(Tabel3[[#Headers],[debut]])=1,DATE(2025,9,1)+$R$3,OFFSET(Tabel3[[#This Row],[fin]],-1,)))</f>
        <v>45999.333333333336</v>
      </c>
      <c r="S666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45999.340208333335</v>
      </c>
      <c r="T666" s="102">
        <f ca="1">--(Tabel3[[#This Row],[jour]]&lt;&gt;TRUNC(Tabel3[[#This Row],[fin]]))</f>
        <v>0</v>
      </c>
      <c r="U666" s="102">
        <f ca="1">IF(Tabel3[[#This Row],[Type]]="j0",0,--(TRUNC(Tabel3[[#This Row],[debut]])-TRUNC(Tabel3[[#This Row],[fin precedent]])&lt;Tabel3[[#This Row],[delai]]))</f>
        <v>1</v>
      </c>
    </row>
    <row r="667" spans="12:21" ht="18" customHeight="1" x14ac:dyDescent="0.2">
      <c r="L667" s="98" t="s">
        <v>97</v>
      </c>
      <c r="M667" s="98" t="s">
        <v>42</v>
      </c>
      <c r="N667" s="104">
        <v>45999</v>
      </c>
      <c r="O667" s="98">
        <v>16.5</v>
      </c>
      <c r="P667" s="98">
        <f>INDEX($C$1:$I$1,MATCH(Tabel3[[#This Row],[Type]],Devoirs[[#Headers],[J0]:[J60]],0))</f>
        <v>30</v>
      </c>
      <c r="Q667" s="105" cm="1">
        <f t="array" aca="1" ref="Q667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45973.577291666799</v>
      </c>
      <c r="R667" s="105">
        <f ca="1">MAX(Tabel3[[#This Row],[jour]]+$R$3,IF(ROW()-ROW(Tabel3[[#Headers],[debut]])=1,DATE(2025,9,1)+$R$3,OFFSET(Tabel3[[#This Row],[fin]],-1,)))</f>
        <v>45999.340208333335</v>
      </c>
      <c r="S667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45999.351666666669</v>
      </c>
      <c r="T667" s="102">
        <f ca="1">--(Tabel3[[#This Row],[jour]]&lt;&gt;TRUNC(Tabel3[[#This Row],[fin]]))</f>
        <v>0</v>
      </c>
      <c r="U667" s="102">
        <f ca="1">IF(Tabel3[[#This Row],[Type]]="j0",0,--(TRUNC(Tabel3[[#This Row],[debut]])-TRUNC(Tabel3[[#This Row],[fin precedent]])&lt;Tabel3[[#This Row],[delai]]))</f>
        <v>1</v>
      </c>
    </row>
    <row r="668" spans="12:21" ht="18" customHeight="1" x14ac:dyDescent="0.2">
      <c r="L668" s="98" t="s">
        <v>132</v>
      </c>
      <c r="M668" s="98" t="s">
        <v>42</v>
      </c>
      <c r="N668" s="104">
        <v>46000</v>
      </c>
      <c r="O668" s="98">
        <v>12.15</v>
      </c>
      <c r="P668" s="98">
        <f>INDEX($C$1:$I$1,MATCH(Tabel3[[#This Row],[Type]],Devoirs[[#Headers],[J0]:[J60]],0))</f>
        <v>30</v>
      </c>
      <c r="Q668" s="105" cm="1">
        <f t="array" aca="1" ref="Q668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45973.5941666668</v>
      </c>
      <c r="R668" s="105">
        <f ca="1">MAX(Tabel3[[#This Row],[jour]]+$R$3,IF(ROW()-ROW(Tabel3[[#Headers],[debut]])=1,DATE(2025,9,1)+$R$3,OFFSET(Tabel3[[#This Row],[fin]],-1,)))</f>
        <v>46000.333333333336</v>
      </c>
      <c r="S668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46000.341770833336</v>
      </c>
      <c r="T668" s="102">
        <f ca="1">--(Tabel3[[#This Row],[jour]]&lt;&gt;TRUNC(Tabel3[[#This Row],[fin]]))</f>
        <v>0</v>
      </c>
      <c r="U668" s="102">
        <f ca="1">IF(Tabel3[[#This Row],[Type]]="j0",0,--(TRUNC(Tabel3[[#This Row],[debut]])-TRUNC(Tabel3[[#This Row],[fin precedent]])&lt;Tabel3[[#This Row],[delai]]))</f>
        <v>1</v>
      </c>
    </row>
    <row r="669" spans="12:21" ht="18" customHeight="1" x14ac:dyDescent="0.2">
      <c r="L669" s="98" t="s">
        <v>139</v>
      </c>
      <c r="M669" s="98" t="s">
        <v>42</v>
      </c>
      <c r="N669" s="104">
        <v>46000</v>
      </c>
      <c r="O669" s="98">
        <v>16.2</v>
      </c>
      <c r="P669" s="98">
        <f>INDEX($C$1:$I$1,MATCH(Tabel3[[#This Row],[Type]],Devoirs[[#Headers],[J0]:[J60]],0))</f>
        <v>30</v>
      </c>
      <c r="Q669" s="105" cm="1">
        <f t="array" aca="1" ref="Q669" ca="1">IF(Tabel3[[#This Row],[Type]]="j0","-",INDEX(Tabel3[fin],MATCH(Tabel3[[#This Row],[Nom du cours]]&amp;"|"&amp; INDEX(Devoirs[[#Headers],[J0]:[J60]],MATCH(Tabel3[[#This Row],[Type]],Devoirs[[#Headers],[J0]:[J60]],0)-1),Tabel3[Nom du cours] &amp; "|" &amp;Tabel3[Type],0)))</f>
        <v>45973.6166666668</v>
      </c>
      <c r="R669" s="105">
        <f ca="1">MAX(Tabel3[[#This Row],[jour]]+$R$3,IF(ROW()-ROW(Tabel3[[#Headers],[debut]])=1,DATE(2025,9,1)+$R$3,OFFSET(Tabel3[[#This Row],[fin]],-1,)))</f>
        <v>46000.341770833336</v>
      </c>
      <c r="S669" s="105">
        <f ca="1">_xlfn.LET(_xlpm.debut,Tabel3[[#This Row],[debut]],_xlpm.Trop,MAX(0,MOD(_xlpm.debut,1)+Tabel3[[#This Row],[duree]]/1440-$S$3),IF(_xlpm.Trop&gt;0,WORKDAY.INTL(Tabel3[[#This Row],[debut]],1)+$R$3+_xlpm.Trop,Tabel3[[#This Row],[debut]]+Tabel3[[#This Row],[duree]]/1440))</f>
        <v>46000.35302083334</v>
      </c>
      <c r="T669" s="102">
        <f ca="1">--(Tabel3[[#This Row],[jour]]&lt;&gt;TRUNC(Tabel3[[#This Row],[fin]]))</f>
        <v>0</v>
      </c>
      <c r="U669" s="102">
        <f ca="1">IF(Tabel3[[#This Row],[Type]]="j0",0,--(TRUNC(Tabel3[[#This Row],[debut]])-TRUNC(Tabel3[[#This Row],[fin precedent]])&lt;Tabel3[[#This Row],[delai]]))</f>
        <v>1</v>
      </c>
    </row>
  </sheetData>
  <sortState xmlns:xlrd2="http://schemas.microsoft.com/office/spreadsheetml/2017/richdata2" ref="L5:U669">
    <sortCondition ref="N4"/>
    <sortCondition descending="1" ref="M4"/>
    <sortCondition ref="O4"/>
  </sortState>
  <phoneticPr fontId="34" type="noConversion"/>
  <conditionalFormatting pivot="1" sqref="Y6:Y91">
    <cfRule type="expression" dxfId="2" priority="3">
      <formula>Y6&gt;$Y$2</formula>
    </cfRule>
  </conditionalFormatting>
  <conditionalFormatting sqref="Q5:Q669">
    <cfRule type="expression" dxfId="1" priority="2">
      <formula>U5</formula>
    </cfRule>
  </conditionalFormatting>
  <conditionalFormatting sqref="S5:S669">
    <cfRule type="expression" dxfId="0" priority="1">
      <formula>T5</formula>
    </cfRule>
  </conditionalFormatting>
  <printOptions horizontalCentered="1"/>
  <pageMargins left="0.7" right="0.7" top="0.75" bottom="0.75" header="0.3" footer="0.3"/>
  <pageSetup orientation="portrait" r:id="rId2"/>
  <headerFooter differentFirst="1">
    <oddFooter>Page &amp;P of &amp;N</oddFooter>
  </headerFooter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21"/>
  <sheetViews>
    <sheetView workbookViewId="0">
      <selection activeCell="F16" sqref="F16"/>
    </sheetView>
  </sheetViews>
  <sheetFormatPr defaultColWidth="9.140625" defaultRowHeight="12.75" x14ac:dyDescent="0.2"/>
  <cols>
    <col min="1" max="1" width="3" style="71" bestFit="1" customWidth="1"/>
    <col min="2" max="2" width="20.28515625" bestFit="1" customWidth="1"/>
    <col min="3" max="7" width="19.28515625" customWidth="1"/>
    <col min="8" max="8" width="27.42578125" bestFit="1" customWidth="1"/>
    <col min="9" max="9" width="11.42578125" customWidth="1"/>
  </cols>
  <sheetData>
    <row r="1" spans="1:8" ht="13.5" thickBot="1" x14ac:dyDescent="0.25">
      <c r="A1" s="71" t="s">
        <v>10</v>
      </c>
    </row>
    <row r="2" spans="1:8" s="7" customFormat="1" ht="24" thickTop="1" thickBot="1" x14ac:dyDescent="0.25">
      <c r="A2" s="72" t="s">
        <v>10</v>
      </c>
      <c r="B2" s="5">
        <v>2025</v>
      </c>
      <c r="C2" s="6">
        <v>36</v>
      </c>
      <c r="D2"/>
    </row>
    <row r="3" spans="1:8" ht="13.5" thickTop="1" x14ac:dyDescent="0.2">
      <c r="A3" s="71" t="s">
        <v>10</v>
      </c>
    </row>
    <row r="4" spans="1:8" ht="38.25" thickBot="1" x14ac:dyDescent="0.25">
      <c r="A4" s="71" t="s">
        <v>10</v>
      </c>
      <c r="B4" s="81" t="s">
        <v>9</v>
      </c>
      <c r="C4" s="81"/>
      <c r="D4" s="81"/>
      <c r="E4" s="81"/>
      <c r="F4" s="81"/>
      <c r="G4" s="81"/>
      <c r="H4" s="81"/>
    </row>
    <row r="5" spans="1:8" ht="15" thickTop="1" x14ac:dyDescent="0.2">
      <c r="A5" s="71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36" customFormat="1" ht="15.75" x14ac:dyDescent="0.2">
      <c r="A6" s="73" t="s">
        <v>10</v>
      </c>
      <c r="B6" s="34">
        <f>B7</f>
        <v>45901</v>
      </c>
      <c r="C6" s="35"/>
      <c r="D6" s="35"/>
      <c r="E6" s="35"/>
      <c r="F6" s="35"/>
      <c r="G6" s="35"/>
      <c r="H6" s="34">
        <f>H7</f>
        <v>45907</v>
      </c>
    </row>
    <row r="7" spans="1:8" ht="27" x14ac:dyDescent="0.2">
      <c r="A7" s="71" t="s">
        <v>10</v>
      </c>
      <c r="B7" s="8">
        <f>(C2-1)*7+IF(WEEKDAY(DATE(B2,1,1),2)&gt;4,7,0)+DATE(B2,1,1)-WEEKDAY(DATE(B2,1,1),2)+1</f>
        <v>45901</v>
      </c>
      <c r="C7" s="8">
        <f>B7+1</f>
        <v>45902</v>
      </c>
      <c r="D7" s="8">
        <f t="shared" ref="D7:H7" si="0">C7+1</f>
        <v>45903</v>
      </c>
      <c r="E7" s="8">
        <f t="shared" si="0"/>
        <v>45904</v>
      </c>
      <c r="F7" s="8">
        <f t="shared" si="0"/>
        <v>45905</v>
      </c>
      <c r="G7" s="8">
        <f t="shared" si="0"/>
        <v>45906</v>
      </c>
      <c r="H7" s="8">
        <f t="shared" si="0"/>
        <v>45907</v>
      </c>
    </row>
    <row r="8" spans="1:8" x14ac:dyDescent="0.2">
      <c r="A8">
        <v>1</v>
      </c>
      <c r="B8" s="51" t="s">
        <v>264</v>
      </c>
      <c r="D8" s="51" t="s">
        <v>265</v>
      </c>
      <c r="F8" s="68" t="s">
        <v>266</v>
      </c>
      <c r="H8" s="51" t="s">
        <v>269</v>
      </c>
    </row>
    <row r="9" spans="1:8" x14ac:dyDescent="0.2">
      <c r="A9">
        <v>2</v>
      </c>
      <c r="F9" s="68" t="s">
        <v>267</v>
      </c>
      <c r="H9" s="68" t="s">
        <v>270</v>
      </c>
    </row>
    <row r="10" spans="1:8" x14ac:dyDescent="0.2">
      <c r="A10">
        <v>3</v>
      </c>
      <c r="F10" s="68" t="s">
        <v>268</v>
      </c>
      <c r="H10" s="68" t="s">
        <v>271</v>
      </c>
    </row>
    <row r="11" spans="1:8" x14ac:dyDescent="0.2">
      <c r="A11">
        <v>4</v>
      </c>
      <c r="H11" s="68" t="s">
        <v>272</v>
      </c>
    </row>
    <row r="12" spans="1:8" x14ac:dyDescent="0.2">
      <c r="A12"/>
    </row>
    <row r="13" spans="1:8" x14ac:dyDescent="0.2">
      <c r="A13"/>
    </row>
    <row r="14" spans="1:8" x14ac:dyDescent="0.2">
      <c r="A14"/>
    </row>
    <row r="15" spans="1:8" x14ac:dyDescent="0.2">
      <c r="A15"/>
    </row>
    <row r="16" spans="1:8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  <row r="21" spans="1:1" x14ac:dyDescent="0.2">
      <c r="A21"/>
    </row>
  </sheetData>
  <mergeCells count="1">
    <mergeCell ref="B4:H4"/>
  </mergeCells>
  <conditionalFormatting sqref="B6:H7">
    <cfRule type="expression" dxfId="26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74"/>
  <sheetViews>
    <sheetView zoomScale="90" zoomScaleNormal="90" workbookViewId="0">
      <selection activeCell="C15" sqref="C15"/>
    </sheetView>
  </sheetViews>
  <sheetFormatPr defaultColWidth="9.140625" defaultRowHeight="12.75" x14ac:dyDescent="0.2"/>
  <cols>
    <col min="1" max="1" width="2.28515625" style="26" customWidth="1"/>
    <col min="2" max="2" width="5" style="31" bestFit="1" customWidth="1"/>
    <col min="3" max="3" width="41" bestFit="1" customWidth="1"/>
    <col min="4" max="5" width="52.140625" bestFit="1" customWidth="1"/>
    <col min="6" max="6" width="53.28515625" bestFit="1" customWidth="1"/>
    <col min="7" max="7" width="52.140625" bestFit="1" customWidth="1"/>
    <col min="8" max="8" width="53.28515625" bestFit="1" customWidth="1"/>
    <col min="9" max="9" width="41" bestFit="1" customWidth="1"/>
    <col min="10" max="10" width="1.7109375" customWidth="1"/>
  </cols>
  <sheetData>
    <row r="1" spans="1:9" ht="13.5" thickBot="1" x14ac:dyDescent="0.25"/>
    <row r="2" spans="1:9" s="7" customFormat="1" ht="24" thickTop="1" thickBot="1" x14ac:dyDescent="0.25">
      <c r="A2" s="27"/>
      <c r="B2" s="32"/>
      <c r="C2" s="9">
        <v>2025</v>
      </c>
      <c r="D2" s="10" t="str">
        <f>UPPER(CHOOSE(E2,"Janvier","Février","Mars","Avril","Mai","Juin","Juillet","Août","Septembre","Octobre","Novembre","Décembre"))</f>
        <v>SEPTEMBRE</v>
      </c>
      <c r="E2" s="11">
        <v>9</v>
      </c>
    </row>
    <row r="3" spans="1:9" ht="13.5" thickTop="1" x14ac:dyDescent="0.2"/>
    <row r="4" spans="1:9" ht="38.25" thickBot="1" x14ac:dyDescent="0.25">
      <c r="C4" s="82" t="s">
        <v>11</v>
      </c>
      <c r="D4" s="83"/>
      <c r="E4" s="83"/>
      <c r="F4" s="83"/>
      <c r="G4" s="83"/>
      <c r="H4" s="83"/>
      <c r="I4" s="83"/>
    </row>
    <row r="5" spans="1:9" ht="15.75" thickTop="1" thickBot="1" x14ac:dyDescent="0.25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9" ht="30" thickTop="1" x14ac:dyDescent="0.2">
      <c r="B6" s="33">
        <f>1+INT(MIN(MOD(C6-DATE(YEAR(C6)+{-1;0;1},1,5)+WEEKDAY(DATE(YEAR(C6)+{-1;0;1},1,3)),734))/7)</f>
        <v>36</v>
      </c>
      <c r="C6" s="17">
        <f>DATE(C2,E2,1)-WEEKDAY(DATE(C2,E2,1),2)+1</f>
        <v>45901</v>
      </c>
      <c r="D6" s="18">
        <f t="shared" ref="D6:I6" si="0">C6+1</f>
        <v>45902</v>
      </c>
      <c r="E6" s="18">
        <f t="shared" si="0"/>
        <v>45903</v>
      </c>
      <c r="F6" s="18">
        <f t="shared" si="0"/>
        <v>45904</v>
      </c>
      <c r="G6" s="18">
        <f t="shared" si="0"/>
        <v>45905</v>
      </c>
      <c r="H6" s="18">
        <f t="shared" si="0"/>
        <v>45906</v>
      </c>
      <c r="I6" s="18">
        <f t="shared" si="0"/>
        <v>45907</v>
      </c>
    </row>
    <row r="7" spans="1:9" ht="12.6" customHeight="1" x14ac:dyDescent="0.2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x14ac:dyDescent="0.2">
      <c r="B8" s="26"/>
      <c r="C8" s="80" t="s">
        <v>264</v>
      </c>
      <c r="D8" s="16"/>
      <c r="E8" s="53" t="s">
        <v>265</v>
      </c>
      <c r="F8" s="16"/>
      <c r="G8" s="67" t="s">
        <v>266</v>
      </c>
      <c r="H8" s="16"/>
      <c r="I8" s="53" t="s">
        <v>269</v>
      </c>
    </row>
    <row r="9" spans="1:9" x14ac:dyDescent="0.2">
      <c r="B9" s="26"/>
      <c r="C9" s="15"/>
      <c r="D9" s="16"/>
      <c r="E9" s="16"/>
      <c r="F9" s="16"/>
      <c r="G9" s="67" t="s">
        <v>267</v>
      </c>
      <c r="H9" s="16"/>
      <c r="I9" s="67" t="s">
        <v>270</v>
      </c>
    </row>
    <row r="10" spans="1:9" x14ac:dyDescent="0.2">
      <c r="B10" s="26"/>
      <c r="C10" s="15"/>
      <c r="D10" s="16"/>
      <c r="E10" s="16"/>
      <c r="F10" s="16"/>
      <c r="G10" s="67" t="s">
        <v>268</v>
      </c>
      <c r="H10" s="16"/>
      <c r="I10" s="67" t="s">
        <v>271</v>
      </c>
    </row>
    <row r="11" spans="1:9" x14ac:dyDescent="0.2">
      <c r="B11" s="26"/>
      <c r="C11" s="15"/>
      <c r="D11" s="16"/>
      <c r="E11" s="16"/>
      <c r="F11" s="16"/>
      <c r="G11" s="16"/>
      <c r="H11" s="16"/>
      <c r="I11" s="67" t="s">
        <v>272</v>
      </c>
    </row>
    <row r="12" spans="1:9" ht="13.5" thickBot="1" x14ac:dyDescent="0.25">
      <c r="B12" s="26"/>
      <c r="C12" s="15"/>
      <c r="D12" s="16"/>
      <c r="E12" s="16"/>
      <c r="F12" s="16"/>
      <c r="G12" s="16"/>
      <c r="H12" s="16"/>
      <c r="I12" s="16"/>
    </row>
    <row r="13" spans="1:9" ht="30" thickTop="1" x14ac:dyDescent="0.2">
      <c r="B13" s="33">
        <f>1+INT(MIN(MOD(C13-DATE(YEAR(C13)+{-1;0;1},1,5)+WEEKDAY(DATE(YEAR(C13)+{-1;0;1},1,3)),734))/7)</f>
        <v>37</v>
      </c>
      <c r="C13" s="17">
        <f>C6+7</f>
        <v>45908</v>
      </c>
      <c r="D13" s="18">
        <f t="shared" ref="D13:I13" si="1">C13+1</f>
        <v>45909</v>
      </c>
      <c r="E13" s="18">
        <f t="shared" si="1"/>
        <v>45910</v>
      </c>
      <c r="F13" s="18">
        <f t="shared" si="1"/>
        <v>45911</v>
      </c>
      <c r="G13" s="18">
        <f t="shared" si="1"/>
        <v>45912</v>
      </c>
      <c r="H13" s="18">
        <f t="shared" si="1"/>
        <v>45913</v>
      </c>
      <c r="I13" s="18">
        <f t="shared" si="1"/>
        <v>45914</v>
      </c>
    </row>
    <row r="14" spans="1:9" ht="12.6" customHeight="1" x14ac:dyDescent="0.2">
      <c r="B14" s="26"/>
      <c r="C14" s="19" t="str">
        <f>IFERROR(VLOOKUP(C13,JF_P[],2,0),"")</f>
        <v/>
      </c>
      <c r="D14" s="20" t="str">
        <f>IFERROR(VLOOKUP(D13,JF_P[],2,0),"")</f>
        <v/>
      </c>
      <c r="E14" s="20" t="str">
        <f>IFERROR(VLOOKUP(E13,JF_P[],2,0),"")</f>
        <v/>
      </c>
      <c r="F14" s="20" t="str">
        <f>IFERROR(VLOOKUP(F13,JF_P[],2,0),"")</f>
        <v/>
      </c>
      <c r="G14" s="20" t="str">
        <f>IFERROR(VLOOKUP(G13,JF_P[],2,0),"")</f>
        <v/>
      </c>
      <c r="H14" s="20" t="str">
        <f>IFERROR(VLOOKUP(H13,JF_P[],2,0),"")</f>
        <v/>
      </c>
      <c r="I14" s="20" t="str">
        <f>IFERROR(VLOOKUP(I13,JF_P[],2,0),"")</f>
        <v/>
      </c>
    </row>
    <row r="15" spans="1:9" x14ac:dyDescent="0.2">
      <c r="B15" s="26"/>
      <c r="C15" s="51" t="s">
        <v>273</v>
      </c>
      <c r="D15" s="68" t="s">
        <v>275</v>
      </c>
      <c r="E15" s="51" t="s">
        <v>276</v>
      </c>
      <c r="F15" s="51" t="s">
        <v>279</v>
      </c>
      <c r="G15" s="52" t="s">
        <v>285</v>
      </c>
      <c r="H15" s="68" t="s">
        <v>288</v>
      </c>
      <c r="I15" s="76" t="s">
        <v>290</v>
      </c>
    </row>
    <row r="16" spans="1:9" x14ac:dyDescent="0.2">
      <c r="B16" s="26"/>
      <c r="C16" s="68" t="s">
        <v>274</v>
      </c>
      <c r="E16" s="68" t="s">
        <v>277</v>
      </c>
      <c r="F16" s="68" t="s">
        <v>280</v>
      </c>
      <c r="G16" s="68" t="s">
        <v>286</v>
      </c>
      <c r="H16" s="68" t="s">
        <v>289</v>
      </c>
      <c r="I16" s="51" t="s">
        <v>291</v>
      </c>
    </row>
    <row r="17" spans="2:9" x14ac:dyDescent="0.2">
      <c r="B17" s="26"/>
      <c r="E17" s="68" t="s">
        <v>278</v>
      </c>
      <c r="F17" s="68" t="s">
        <v>281</v>
      </c>
      <c r="G17" s="68" t="s">
        <v>287</v>
      </c>
      <c r="I17" s="52" t="s">
        <v>292</v>
      </c>
    </row>
    <row r="18" spans="2:9" x14ac:dyDescent="0.2">
      <c r="B18" s="26"/>
      <c r="F18" s="68" t="s">
        <v>282</v>
      </c>
      <c r="I18" s="68" t="s">
        <v>293</v>
      </c>
    </row>
    <row r="19" spans="2:9" x14ac:dyDescent="0.2">
      <c r="B19" s="26"/>
      <c r="F19" s="68" t="s">
        <v>283</v>
      </c>
      <c r="I19" s="68" t="s">
        <v>294</v>
      </c>
    </row>
    <row r="20" spans="2:9" x14ac:dyDescent="0.2">
      <c r="B20" s="26"/>
      <c r="F20" s="68" t="s">
        <v>284</v>
      </c>
    </row>
    <row r="21" spans="2:9" ht="13.5" thickBot="1" x14ac:dyDescent="0.25">
      <c r="B21" s="26"/>
    </row>
    <row r="22" spans="2:9" ht="30" thickTop="1" x14ac:dyDescent="0.2">
      <c r="B22" s="33">
        <f>1+INT(MIN(MOD(C22-DATE(YEAR(C22)+{-1;0;1},1,5)+WEEKDAY(DATE(YEAR(C22)+{-1;0;1},1,3)),734))/7)</f>
        <v>38</v>
      </c>
      <c r="C22" s="17">
        <f>C13+7</f>
        <v>45915</v>
      </c>
      <c r="D22" s="18">
        <f t="shared" ref="D22:I22" si="2">C22+1</f>
        <v>45916</v>
      </c>
      <c r="E22" s="18">
        <f t="shared" si="2"/>
        <v>45917</v>
      </c>
      <c r="F22" s="18">
        <f t="shared" si="2"/>
        <v>45918</v>
      </c>
      <c r="G22" s="18">
        <f t="shared" si="2"/>
        <v>45919</v>
      </c>
      <c r="H22" s="18">
        <f t="shared" si="2"/>
        <v>45920</v>
      </c>
      <c r="I22" s="18">
        <f t="shared" si="2"/>
        <v>45921</v>
      </c>
    </row>
    <row r="23" spans="2:9" ht="12.6" customHeight="1" x14ac:dyDescent="0.2">
      <c r="B23" s="26"/>
      <c r="C23" s="19" t="str">
        <f>IFERROR(VLOOKUP(C22,JF_P[],2,0),"")</f>
        <v/>
      </c>
      <c r="D23" s="20" t="str">
        <f>IFERROR(VLOOKUP(D22,JF_P[],2,0),"")</f>
        <v/>
      </c>
      <c r="E23" s="20" t="str">
        <f>IFERROR(VLOOKUP(E22,JF_P[],2,0),"")</f>
        <v/>
      </c>
      <c r="F23" s="20" t="str">
        <f>IFERROR(VLOOKUP(F22,JF_P[],2,0),"")</f>
        <v/>
      </c>
      <c r="G23" s="20" t="str">
        <f>IFERROR(VLOOKUP(G22,JF_P[],2,0),"")</f>
        <v/>
      </c>
      <c r="H23" s="20" t="str">
        <f>IFERROR(VLOOKUP(H22,JF_P[],2,0),"")</f>
        <v/>
      </c>
      <c r="I23" s="20" t="str">
        <f>IFERROR(VLOOKUP(I22,JF_P[],2,0),"")</f>
        <v/>
      </c>
    </row>
    <row r="24" spans="2:9" x14ac:dyDescent="0.2">
      <c r="B24" s="26"/>
      <c r="C24" s="80" t="s">
        <v>143</v>
      </c>
      <c r="D24" s="38" t="s">
        <v>151</v>
      </c>
      <c r="E24" s="53" t="s">
        <v>157</v>
      </c>
      <c r="F24" s="38" t="s">
        <v>166</v>
      </c>
      <c r="G24" s="54" t="s">
        <v>176</v>
      </c>
      <c r="H24" s="38" t="s">
        <v>185</v>
      </c>
      <c r="I24" s="53" t="s">
        <v>195</v>
      </c>
    </row>
    <row r="25" spans="2:9" x14ac:dyDescent="0.2">
      <c r="B25" s="26"/>
      <c r="C25" s="78" t="s">
        <v>144</v>
      </c>
      <c r="D25" s="38" t="s">
        <v>152</v>
      </c>
      <c r="E25" s="54" t="s">
        <v>158</v>
      </c>
      <c r="F25" s="38" t="s">
        <v>167</v>
      </c>
      <c r="G25" s="54" t="s">
        <v>177</v>
      </c>
      <c r="H25" s="38" t="s">
        <v>186</v>
      </c>
      <c r="I25" s="54" t="s">
        <v>196</v>
      </c>
    </row>
    <row r="26" spans="2:9" x14ac:dyDescent="0.2">
      <c r="B26" s="26"/>
      <c r="C26" s="69" t="s">
        <v>145</v>
      </c>
      <c r="D26" s="53" t="s">
        <v>153</v>
      </c>
      <c r="E26" s="54" t="s">
        <v>159</v>
      </c>
      <c r="F26" s="53" t="s">
        <v>168</v>
      </c>
      <c r="G26" s="39" t="s">
        <v>178</v>
      </c>
      <c r="H26" s="54" t="s">
        <v>187</v>
      </c>
      <c r="I26" s="54" t="s">
        <v>197</v>
      </c>
    </row>
    <row r="27" spans="2:9" x14ac:dyDescent="0.2">
      <c r="B27" s="26"/>
      <c r="C27" s="69" t="s">
        <v>146</v>
      </c>
      <c r="D27" s="53" t="s">
        <v>154</v>
      </c>
      <c r="E27" s="39" t="s">
        <v>160</v>
      </c>
      <c r="F27" s="53" t="s">
        <v>169</v>
      </c>
      <c r="G27" s="39" t="s">
        <v>179</v>
      </c>
      <c r="H27" s="54" t="s">
        <v>188</v>
      </c>
      <c r="I27" s="67" t="s">
        <v>198</v>
      </c>
    </row>
    <row r="28" spans="2:9" x14ac:dyDescent="0.2">
      <c r="B28" s="26"/>
      <c r="C28" s="69" t="s">
        <v>147</v>
      </c>
      <c r="D28" s="67" t="s">
        <v>155</v>
      </c>
      <c r="E28" s="39" t="s">
        <v>161</v>
      </c>
      <c r="F28" s="54" t="s">
        <v>170</v>
      </c>
      <c r="G28" s="39" t="s">
        <v>180</v>
      </c>
      <c r="H28" s="67" t="s">
        <v>189</v>
      </c>
      <c r="I28" s="67" t="s">
        <v>199</v>
      </c>
    </row>
    <row r="29" spans="2:9" x14ac:dyDescent="0.2">
      <c r="B29" s="26"/>
      <c r="C29" s="69" t="s">
        <v>148</v>
      </c>
      <c r="D29" s="67" t="s">
        <v>156</v>
      </c>
      <c r="E29" s="39" t="s">
        <v>162</v>
      </c>
      <c r="F29" s="54" t="s">
        <v>171</v>
      </c>
      <c r="G29" s="67" t="s">
        <v>181</v>
      </c>
      <c r="H29" s="67" t="s">
        <v>190</v>
      </c>
      <c r="I29" s="67" t="s">
        <v>200</v>
      </c>
    </row>
    <row r="30" spans="2:9" x14ac:dyDescent="0.2">
      <c r="B30" s="26"/>
      <c r="C30" s="69" t="s">
        <v>149</v>
      </c>
      <c r="D30" s="16"/>
      <c r="E30" s="67" t="s">
        <v>163</v>
      </c>
      <c r="F30" s="67" t="s">
        <v>172</v>
      </c>
      <c r="G30" s="67" t="s">
        <v>182</v>
      </c>
      <c r="H30" s="67" t="s">
        <v>191</v>
      </c>
      <c r="I30" s="16"/>
    </row>
    <row r="31" spans="2:9" x14ac:dyDescent="0.2">
      <c r="B31" s="26"/>
      <c r="C31" s="69" t="s">
        <v>150</v>
      </c>
      <c r="D31" s="16"/>
      <c r="E31" s="67" t="s">
        <v>164</v>
      </c>
      <c r="F31" s="67" t="s">
        <v>173</v>
      </c>
      <c r="G31" s="67" t="s">
        <v>183</v>
      </c>
      <c r="H31" s="67" t="s">
        <v>192</v>
      </c>
      <c r="I31" s="16"/>
    </row>
    <row r="32" spans="2:9" x14ac:dyDescent="0.2">
      <c r="B32" s="26"/>
      <c r="C32" s="15"/>
      <c r="D32" s="16"/>
      <c r="E32" s="67" t="s">
        <v>165</v>
      </c>
      <c r="F32" s="67" t="s">
        <v>174</v>
      </c>
      <c r="G32" s="67" t="s">
        <v>184</v>
      </c>
      <c r="H32" s="67" t="s">
        <v>193</v>
      </c>
      <c r="I32" s="16"/>
    </row>
    <row r="33" spans="2:9" x14ac:dyDescent="0.2">
      <c r="B33" s="26"/>
      <c r="C33" s="15"/>
      <c r="D33" s="16"/>
      <c r="E33" s="16"/>
      <c r="F33" s="67" t="s">
        <v>175</v>
      </c>
      <c r="G33" s="16"/>
      <c r="H33" s="67" t="s">
        <v>194</v>
      </c>
      <c r="I33" s="16"/>
    </row>
    <row r="34" spans="2:9" ht="13.5" thickBot="1" x14ac:dyDescent="0.25">
      <c r="B34" s="26"/>
      <c r="C34" s="15"/>
      <c r="D34" s="16"/>
      <c r="E34" s="16"/>
      <c r="F34" s="16"/>
      <c r="G34" s="16"/>
      <c r="H34" s="16"/>
      <c r="I34" s="16"/>
    </row>
    <row r="35" spans="2:9" ht="30" thickTop="1" x14ac:dyDescent="0.2">
      <c r="B35" s="33">
        <f>1+INT(MIN(MOD(C35-DATE(YEAR(C35)+{-1;0;1},1,5)+WEEKDAY(DATE(YEAR(C35)+{-1;0;1},1,3)),734))/7)</f>
        <v>39</v>
      </c>
      <c r="C35" s="17">
        <f>C22+7</f>
        <v>45922</v>
      </c>
      <c r="D35" s="18">
        <f t="shared" ref="D35:I35" si="3">C35+1</f>
        <v>45923</v>
      </c>
      <c r="E35" s="18">
        <f t="shared" si="3"/>
        <v>45924</v>
      </c>
      <c r="F35" s="18">
        <f t="shared" si="3"/>
        <v>45925</v>
      </c>
      <c r="G35" s="18">
        <f t="shared" si="3"/>
        <v>45926</v>
      </c>
      <c r="H35" s="18">
        <f t="shared" si="3"/>
        <v>45927</v>
      </c>
      <c r="I35" s="18">
        <f t="shared" si="3"/>
        <v>45928</v>
      </c>
    </row>
    <row r="36" spans="2:9" ht="12.6" customHeight="1" x14ac:dyDescent="0.2">
      <c r="B36" s="26"/>
      <c r="C36" s="19" t="str">
        <f>IFERROR(VLOOKUP(C35,JF_P[],2,0),"")</f>
        <v/>
      </c>
      <c r="D36" s="20" t="str">
        <f>IFERROR(VLOOKUP(D35,JF_P[],2,0),"")</f>
        <v/>
      </c>
      <c r="E36" s="20" t="str">
        <f>IFERROR(VLOOKUP(E35,JF_P[],2,0),"")</f>
        <v/>
      </c>
      <c r="F36" s="20" t="str">
        <f>IFERROR(VLOOKUP(F35,JF_P[],2,0),"")</f>
        <v/>
      </c>
      <c r="G36" s="20" t="str">
        <f>IFERROR(VLOOKUP(G35,JF_P[],2,0),"")</f>
        <v/>
      </c>
      <c r="H36" s="20" t="str">
        <f>IFERROR(VLOOKUP(H35,JF_P[],2,0),"")</f>
        <v/>
      </c>
      <c r="I36" s="20" t="str">
        <f>IFERROR(VLOOKUP(I35,JF_P[],2,0),"")</f>
        <v/>
      </c>
    </row>
    <row r="37" spans="2:9" x14ac:dyDescent="0.2">
      <c r="B37" s="26"/>
      <c r="C37" s="76" t="s">
        <v>295</v>
      </c>
      <c r="D37" s="51" t="s">
        <v>303</v>
      </c>
      <c r="E37" s="76" t="s">
        <v>312</v>
      </c>
      <c r="F37" s="51" t="s">
        <v>324</v>
      </c>
      <c r="G37" s="76" t="s">
        <v>332</v>
      </c>
      <c r="H37" s="52" t="s">
        <v>345</v>
      </c>
      <c r="I37" s="76" t="s">
        <v>353</v>
      </c>
    </row>
    <row r="38" spans="2:9" x14ac:dyDescent="0.2">
      <c r="B38" s="26"/>
      <c r="C38" s="51" t="s">
        <v>296</v>
      </c>
      <c r="D38" s="52" t="s">
        <v>304</v>
      </c>
      <c r="E38" s="76" t="s">
        <v>313</v>
      </c>
      <c r="F38" s="52" t="s">
        <v>325</v>
      </c>
      <c r="G38" s="45" t="s">
        <v>333</v>
      </c>
      <c r="H38" s="52" t="s">
        <v>346</v>
      </c>
      <c r="I38" s="52" t="s">
        <v>354</v>
      </c>
    </row>
    <row r="39" spans="2:9" x14ac:dyDescent="0.2">
      <c r="B39" s="26"/>
      <c r="C39" s="52" t="s">
        <v>297</v>
      </c>
      <c r="D39" s="37" t="s">
        <v>305</v>
      </c>
      <c r="E39" s="45" t="s">
        <v>314</v>
      </c>
      <c r="F39" s="52" t="s">
        <v>326</v>
      </c>
      <c r="G39" s="45" t="s">
        <v>334</v>
      </c>
      <c r="H39" s="37" t="s">
        <v>347</v>
      </c>
      <c r="I39" s="68" t="s">
        <v>355</v>
      </c>
    </row>
    <row r="40" spans="2:9" x14ac:dyDescent="0.2">
      <c r="B40" s="26"/>
      <c r="C40" s="52" t="s">
        <v>298</v>
      </c>
      <c r="D40" s="37" t="s">
        <v>306</v>
      </c>
      <c r="E40" s="45" t="s">
        <v>315</v>
      </c>
      <c r="F40" s="68" t="s">
        <v>327</v>
      </c>
      <c r="G40" s="45" t="s">
        <v>335</v>
      </c>
      <c r="H40" s="37" t="s">
        <v>348</v>
      </c>
      <c r="I40" s="68" t="s">
        <v>356</v>
      </c>
    </row>
    <row r="41" spans="2:9" x14ac:dyDescent="0.2">
      <c r="B41" s="26"/>
      <c r="C41" s="68" t="s">
        <v>299</v>
      </c>
      <c r="D41" s="37" t="s">
        <v>307</v>
      </c>
      <c r="E41" s="45" t="s">
        <v>316</v>
      </c>
      <c r="F41" s="68" t="s">
        <v>328</v>
      </c>
      <c r="G41" s="45" t="s">
        <v>336</v>
      </c>
      <c r="H41" s="37" t="s">
        <v>349</v>
      </c>
      <c r="I41" s="68" t="s">
        <v>357</v>
      </c>
    </row>
    <row r="42" spans="2:9" x14ac:dyDescent="0.2">
      <c r="B42" s="26"/>
      <c r="C42" s="68" t="s">
        <v>300</v>
      </c>
      <c r="D42" s="68" t="s">
        <v>308</v>
      </c>
      <c r="E42" s="45" t="s">
        <v>317</v>
      </c>
      <c r="F42" s="68" t="s">
        <v>329</v>
      </c>
      <c r="G42" s="51" t="s">
        <v>337</v>
      </c>
      <c r="H42" s="68" t="s">
        <v>350</v>
      </c>
      <c r="I42" s="68" t="s">
        <v>358</v>
      </c>
    </row>
    <row r="43" spans="2:9" x14ac:dyDescent="0.2">
      <c r="B43" s="26"/>
      <c r="C43" s="68" t="s">
        <v>301</v>
      </c>
      <c r="D43" s="68" t="s">
        <v>309</v>
      </c>
      <c r="E43" s="52" t="s">
        <v>318</v>
      </c>
      <c r="F43" s="68" t="s">
        <v>330</v>
      </c>
      <c r="G43" s="52" t="s">
        <v>338</v>
      </c>
      <c r="H43" s="68" t="s">
        <v>351</v>
      </c>
    </row>
    <row r="44" spans="2:9" x14ac:dyDescent="0.2">
      <c r="B44" s="26"/>
      <c r="C44" s="68" t="s">
        <v>302</v>
      </c>
      <c r="D44" s="68" t="s">
        <v>310</v>
      </c>
      <c r="E44" s="37" t="s">
        <v>319</v>
      </c>
      <c r="F44" s="68" t="s">
        <v>331</v>
      </c>
      <c r="G44" s="37" t="s">
        <v>339</v>
      </c>
      <c r="H44" s="68" t="s">
        <v>352</v>
      </c>
    </row>
    <row r="45" spans="2:9" x14ac:dyDescent="0.2">
      <c r="B45" s="26"/>
      <c r="D45" s="68" t="s">
        <v>311</v>
      </c>
      <c r="E45" s="68" t="s">
        <v>320</v>
      </c>
      <c r="G45" s="68" t="s">
        <v>340</v>
      </c>
    </row>
    <row r="46" spans="2:9" x14ac:dyDescent="0.2">
      <c r="B46" s="26"/>
      <c r="E46" s="68" t="s">
        <v>321</v>
      </c>
      <c r="G46" s="68" t="s">
        <v>341</v>
      </c>
    </row>
    <row r="47" spans="2:9" x14ac:dyDescent="0.2">
      <c r="B47" s="26"/>
      <c r="E47" s="68" t="s">
        <v>322</v>
      </c>
      <c r="G47" s="68" t="s">
        <v>342</v>
      </c>
    </row>
    <row r="48" spans="2:9" x14ac:dyDescent="0.2">
      <c r="B48" s="26"/>
      <c r="E48" s="68" t="s">
        <v>323</v>
      </c>
      <c r="G48" s="68" t="s">
        <v>343</v>
      </c>
    </row>
    <row r="49" spans="2:9" x14ac:dyDescent="0.2">
      <c r="B49" s="26"/>
      <c r="G49" s="68" t="s">
        <v>344</v>
      </c>
    </row>
    <row r="50" spans="2:9" ht="13.5" thickBot="1" x14ac:dyDescent="0.25">
      <c r="B50" s="26"/>
    </row>
    <row r="51" spans="2:9" ht="30" thickTop="1" x14ac:dyDescent="0.2">
      <c r="B51" s="33">
        <f>1+INT(MIN(MOD(C51-DATE(YEAR(C51)+{-1;0;1},1,5)+WEEKDAY(DATE(YEAR(C51)+{-1;0;1},1,3)),734))/7)</f>
        <v>40</v>
      </c>
      <c r="C51" s="17">
        <f>C35+7</f>
        <v>45929</v>
      </c>
      <c r="D51" s="18">
        <f t="shared" ref="D51:I51" si="4">C51+1</f>
        <v>45930</v>
      </c>
      <c r="E51" s="18">
        <f t="shared" si="4"/>
        <v>45931</v>
      </c>
      <c r="F51" s="18">
        <f t="shared" si="4"/>
        <v>45932</v>
      </c>
      <c r="G51" s="18">
        <f t="shared" si="4"/>
        <v>45933</v>
      </c>
      <c r="H51" s="18">
        <f t="shared" si="4"/>
        <v>45934</v>
      </c>
      <c r="I51" s="18">
        <f t="shared" si="4"/>
        <v>45935</v>
      </c>
    </row>
    <row r="52" spans="2:9" ht="12.6" customHeight="1" x14ac:dyDescent="0.2">
      <c r="B52" s="26"/>
      <c r="C52" s="19" t="str">
        <f>IFERROR(VLOOKUP(C51,JF_P[],2,0),"")</f>
        <v/>
      </c>
      <c r="D52" s="20" t="str">
        <f>IFERROR(VLOOKUP(D51,JF_P[],2,0),"")</f>
        <v/>
      </c>
      <c r="E52" s="20" t="str">
        <f>IFERROR(VLOOKUP(E51,JF_P[],2,0),"")</f>
        <v/>
      </c>
      <c r="F52" s="20" t="str">
        <f>IFERROR(VLOOKUP(F51,JF_P[],2,0),"")</f>
        <v/>
      </c>
      <c r="G52" s="20" t="str">
        <f>IFERROR(VLOOKUP(G51,JF_P[],2,0),"")</f>
        <v/>
      </c>
      <c r="H52" s="20" t="str">
        <f>IFERROR(VLOOKUP(H51,JF_P[],2,0),"")</f>
        <v/>
      </c>
      <c r="I52" s="20" t="str">
        <f>IFERROR(VLOOKUP(I51,JF_P[],2,0),"")</f>
        <v/>
      </c>
    </row>
    <row r="53" spans="2:9" x14ac:dyDescent="0.2">
      <c r="B53" s="26"/>
      <c r="C53" s="77" t="s">
        <v>201</v>
      </c>
      <c r="D53" s="79" t="s">
        <v>205</v>
      </c>
      <c r="E53" s="38" t="s">
        <v>216</v>
      </c>
      <c r="F53" s="54" t="s">
        <v>221</v>
      </c>
      <c r="G53" s="38" t="s">
        <v>228</v>
      </c>
      <c r="H53" s="79" t="s">
        <v>232</v>
      </c>
      <c r="I53" s="54" t="s">
        <v>240</v>
      </c>
    </row>
    <row r="54" spans="2:9" x14ac:dyDescent="0.2">
      <c r="B54" s="26"/>
      <c r="C54" s="78" t="s">
        <v>202</v>
      </c>
      <c r="D54" s="79" t="s">
        <v>206</v>
      </c>
      <c r="E54" s="53" t="s">
        <v>217</v>
      </c>
      <c r="F54" s="39" t="s">
        <v>222</v>
      </c>
      <c r="G54" s="54" t="s">
        <v>229</v>
      </c>
      <c r="H54" s="79" t="s">
        <v>233</v>
      </c>
      <c r="I54" s="67" t="s">
        <v>241</v>
      </c>
    </row>
    <row r="55" spans="2:9" x14ac:dyDescent="0.2">
      <c r="B55" s="26"/>
      <c r="C55" s="69" t="s">
        <v>203</v>
      </c>
      <c r="D55" s="79" t="s">
        <v>207</v>
      </c>
      <c r="E55" s="53" t="s">
        <v>218</v>
      </c>
      <c r="F55" s="39" t="s">
        <v>223</v>
      </c>
      <c r="G55" s="67" t="s">
        <v>230</v>
      </c>
      <c r="H55" s="79" t="s">
        <v>234</v>
      </c>
      <c r="I55" s="67" t="s">
        <v>242</v>
      </c>
    </row>
    <row r="56" spans="2:9" x14ac:dyDescent="0.2">
      <c r="B56" s="26"/>
      <c r="C56" s="69" t="s">
        <v>204</v>
      </c>
      <c r="D56" s="79" t="s">
        <v>208</v>
      </c>
      <c r="E56" s="67" t="s">
        <v>219</v>
      </c>
      <c r="F56" s="39" t="s">
        <v>224</v>
      </c>
      <c r="G56" s="67" t="s">
        <v>231</v>
      </c>
      <c r="H56" s="79" t="s">
        <v>235</v>
      </c>
      <c r="I56" s="67" t="s">
        <v>243</v>
      </c>
    </row>
    <row r="57" spans="2:9" x14ac:dyDescent="0.2">
      <c r="B57" s="26"/>
      <c r="C57" s="15"/>
      <c r="D57" s="53" t="s">
        <v>209</v>
      </c>
      <c r="E57" s="67" t="s">
        <v>220</v>
      </c>
      <c r="F57" s="67" t="s">
        <v>225</v>
      </c>
      <c r="G57" s="16"/>
      <c r="H57" s="54" t="s">
        <v>236</v>
      </c>
      <c r="I57" s="67" t="s">
        <v>244</v>
      </c>
    </row>
    <row r="58" spans="2:9" x14ac:dyDescent="0.2">
      <c r="B58" s="26"/>
      <c r="C58" s="15"/>
      <c r="D58" s="54" t="s">
        <v>210</v>
      </c>
      <c r="E58" s="16"/>
      <c r="F58" s="67" t="s">
        <v>226</v>
      </c>
      <c r="G58" s="16"/>
      <c r="H58" s="39" t="s">
        <v>237</v>
      </c>
      <c r="I58" s="67" t="s">
        <v>245</v>
      </c>
    </row>
    <row r="59" spans="2:9" x14ac:dyDescent="0.2">
      <c r="B59" s="26"/>
      <c r="C59" s="15"/>
      <c r="D59" s="54" t="s">
        <v>211</v>
      </c>
      <c r="E59" s="16"/>
      <c r="F59" s="67" t="s">
        <v>227</v>
      </c>
      <c r="G59" s="16"/>
      <c r="H59" s="67" t="s">
        <v>238</v>
      </c>
      <c r="I59" s="16"/>
    </row>
    <row r="60" spans="2:9" x14ac:dyDescent="0.2">
      <c r="B60" s="26"/>
      <c r="C60" s="15"/>
      <c r="D60" s="39" t="s">
        <v>212</v>
      </c>
      <c r="E60" s="16"/>
      <c r="F60" s="16"/>
      <c r="G60" s="16"/>
      <c r="H60" s="67" t="s">
        <v>239</v>
      </c>
      <c r="I60" s="16"/>
    </row>
    <row r="61" spans="2:9" x14ac:dyDescent="0.2">
      <c r="B61" s="26"/>
      <c r="C61" s="15"/>
      <c r="D61" s="67" t="s">
        <v>213</v>
      </c>
      <c r="E61" s="16"/>
      <c r="F61" s="16"/>
      <c r="G61" s="16"/>
      <c r="H61" s="16"/>
      <c r="I61" s="16"/>
    </row>
    <row r="62" spans="2:9" x14ac:dyDescent="0.2">
      <c r="B62" s="26"/>
      <c r="C62" s="15"/>
      <c r="D62" s="67" t="s">
        <v>214</v>
      </c>
      <c r="E62" s="16"/>
      <c r="F62" s="16"/>
      <c r="G62" s="16"/>
      <c r="H62" s="16"/>
      <c r="I62" s="16"/>
    </row>
    <row r="63" spans="2:9" x14ac:dyDescent="0.2">
      <c r="B63" s="26"/>
      <c r="C63" s="15"/>
      <c r="D63" s="67" t="s">
        <v>215</v>
      </c>
      <c r="E63" s="16"/>
      <c r="F63" s="16"/>
      <c r="G63" s="16"/>
      <c r="H63" s="16"/>
      <c r="I63" s="16"/>
    </row>
    <row r="64" spans="2:9" ht="13.5" thickBot="1" x14ac:dyDescent="0.25">
      <c r="B64" s="26"/>
      <c r="C64" s="15"/>
      <c r="D64" s="16"/>
      <c r="E64" s="16"/>
      <c r="F64" s="16"/>
      <c r="G64" s="16"/>
      <c r="H64" s="16"/>
      <c r="I64" s="16"/>
    </row>
    <row r="65" spans="2:9" ht="30" thickTop="1" x14ac:dyDescent="0.2">
      <c r="B65" s="33">
        <f>1+INT(MIN(MOD(C65-DATE(YEAR(C65)+{-1;0;1},1,5)+WEEKDAY(DATE(YEAR(C65)+{-1;0;1},1,3)),734))/7)</f>
        <v>41</v>
      </c>
      <c r="C65" s="17">
        <f>C51+7</f>
        <v>45936</v>
      </c>
      <c r="D65" s="18">
        <f t="shared" ref="D65:I65" si="5">C65+1</f>
        <v>45937</v>
      </c>
      <c r="E65" s="18">
        <f t="shared" si="5"/>
        <v>45938</v>
      </c>
      <c r="F65" s="18">
        <f t="shared" si="5"/>
        <v>45939</v>
      </c>
      <c r="G65" s="18">
        <f t="shared" si="5"/>
        <v>45940</v>
      </c>
      <c r="H65" s="18">
        <f t="shared" si="5"/>
        <v>45941</v>
      </c>
      <c r="I65" s="18">
        <f t="shared" si="5"/>
        <v>45942</v>
      </c>
    </row>
    <row r="66" spans="2:9" ht="12.6" customHeight="1" x14ac:dyDescent="0.2">
      <c r="B66" s="26"/>
      <c r="C66" s="19" t="str">
        <f>IFERROR(VLOOKUP(C65,JF_P[],2,0),"")</f>
        <v/>
      </c>
      <c r="D66" s="20" t="str">
        <f>IFERROR(VLOOKUP(D65,JF_P[],2,0),"")</f>
        <v/>
      </c>
      <c r="E66" s="20" t="str">
        <f>IFERROR(VLOOKUP(E65,JF_P[],2,0),"")</f>
        <v/>
      </c>
      <c r="F66" s="20" t="str">
        <f>IFERROR(VLOOKUP(F65,JF_P[],2,0),"")</f>
        <v/>
      </c>
      <c r="G66" s="20" t="str">
        <f>IFERROR(VLOOKUP(G65,JF_P[],2,0),"")</f>
        <v/>
      </c>
      <c r="H66" s="20" t="str">
        <f>IFERROR(VLOOKUP(H65,JF_P[],2,0),"")</f>
        <v/>
      </c>
      <c r="I66" s="20" t="str">
        <f>IFERROR(VLOOKUP(I65,JF_P[],2,0),"")</f>
        <v/>
      </c>
    </row>
    <row r="67" spans="2:9" x14ac:dyDescent="0.2">
      <c r="B67" s="26"/>
      <c r="C67" s="68" t="s">
        <v>246</v>
      </c>
      <c r="D67" s="68" t="s">
        <v>247</v>
      </c>
      <c r="E67" s="51" t="s">
        <v>248</v>
      </c>
      <c r="F67" s="45" t="s">
        <v>251</v>
      </c>
      <c r="G67" s="68" t="s">
        <v>258</v>
      </c>
      <c r="H67" s="68" t="s">
        <v>260</v>
      </c>
      <c r="I67" s="52" t="s">
        <v>262</v>
      </c>
    </row>
    <row r="68" spans="2:9" x14ac:dyDescent="0.2">
      <c r="B68" s="26"/>
      <c r="E68" s="68" t="s">
        <v>249</v>
      </c>
      <c r="F68" s="45" t="s">
        <v>252</v>
      </c>
      <c r="G68" s="68" t="s">
        <v>259</v>
      </c>
      <c r="H68" s="68" t="s">
        <v>261</v>
      </c>
      <c r="I68" s="68" t="s">
        <v>263</v>
      </c>
    </row>
    <row r="69" spans="2:9" x14ac:dyDescent="0.2">
      <c r="B69" s="26"/>
      <c r="E69" s="68" t="s">
        <v>250</v>
      </c>
      <c r="F69" s="45" t="s">
        <v>253</v>
      </c>
    </row>
    <row r="70" spans="2:9" x14ac:dyDescent="0.2">
      <c r="B70" s="26"/>
      <c r="F70" s="45" t="s">
        <v>254</v>
      </c>
    </row>
    <row r="71" spans="2:9" x14ac:dyDescent="0.2">
      <c r="B71" s="26"/>
      <c r="F71" s="37" t="s">
        <v>255</v>
      </c>
    </row>
    <row r="72" spans="2:9" x14ac:dyDescent="0.2">
      <c r="B72" s="26"/>
      <c r="F72" s="68" t="s">
        <v>256</v>
      </c>
    </row>
    <row r="73" spans="2:9" x14ac:dyDescent="0.2">
      <c r="B73" s="26"/>
      <c r="F73" s="68" t="s">
        <v>257</v>
      </c>
    </row>
    <row r="74" spans="2:9" x14ac:dyDescent="0.2">
      <c r="B74" s="26"/>
    </row>
  </sheetData>
  <mergeCells count="1">
    <mergeCell ref="C4:I4"/>
  </mergeCells>
  <conditionalFormatting sqref="C13:I13 C35:I35 C65:I65">
    <cfRule type="expression" dxfId="25" priority="4">
      <formula>MONTH(C13)&lt;&gt;$E$2</formula>
    </cfRule>
  </conditionalFormatting>
  <conditionalFormatting sqref="C6:I6">
    <cfRule type="expression" dxfId="24" priority="3">
      <formula>MONTH(C6)&lt;&gt;$E$2</formula>
    </cfRule>
  </conditionalFormatting>
  <conditionalFormatting sqref="C22:I22">
    <cfRule type="expression" dxfId="23" priority="2">
      <formula>MONTH(C22)&lt;&gt;$E$2</formula>
    </cfRule>
  </conditionalFormatting>
  <conditionalFormatting sqref="C51:I51">
    <cfRule type="expression" dxfId="22" priority="1">
      <formula>MONTH(C51)&lt;&gt;$E$2</formula>
    </cfRule>
  </conditionalFormatting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defaultColWidth="10.85546875" defaultRowHeight="14.25" x14ac:dyDescent="0.2"/>
  <cols>
    <col min="1" max="1" width="14.85546875" style="28" customWidth="1"/>
    <col min="2" max="7" width="8" style="29" customWidth="1"/>
    <col min="8" max="16384" width="10.85546875" style="28"/>
  </cols>
  <sheetData>
    <row r="1" spans="1:7" x14ac:dyDescent="0.2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">
      <c r="A2" s="28" t="s">
        <v>33</v>
      </c>
      <c r="B2" s="30">
        <v>6</v>
      </c>
      <c r="C2" s="29">
        <f>B2+B3+3</f>
        <v>13</v>
      </c>
      <c r="D2" s="29">
        <f t="shared" ref="D2:G2" si="0">C2+C3+3</f>
        <v>22</v>
      </c>
      <c r="E2" s="29">
        <f t="shared" si="0"/>
        <v>35</v>
      </c>
      <c r="F2" s="29">
        <f t="shared" si="0"/>
        <v>51</v>
      </c>
      <c r="G2" s="29">
        <f t="shared" si="0"/>
        <v>65</v>
      </c>
    </row>
    <row r="3" spans="1:7" x14ac:dyDescent="0.2">
      <c r="A3" s="28" t="s">
        <v>34</v>
      </c>
      <c r="B3" s="30">
        <v>4</v>
      </c>
      <c r="C3" s="30">
        <v>6</v>
      </c>
      <c r="D3" s="30">
        <v>10</v>
      </c>
      <c r="E3" s="30">
        <v>13</v>
      </c>
      <c r="F3" s="30">
        <v>11</v>
      </c>
      <c r="G3" s="30">
        <v>7</v>
      </c>
    </row>
    <row r="4" spans="1:7" x14ac:dyDescent="0.2">
      <c r="A4" s="28" t="s">
        <v>35</v>
      </c>
      <c r="B4" s="29">
        <f>B2+2</f>
        <v>8</v>
      </c>
      <c r="C4" s="29">
        <f t="shared" ref="C4:G4" si="1">C2+2</f>
        <v>15</v>
      </c>
      <c r="D4" s="29">
        <f t="shared" si="1"/>
        <v>24</v>
      </c>
      <c r="E4" s="29">
        <f t="shared" si="1"/>
        <v>37</v>
      </c>
      <c r="F4" s="29">
        <f t="shared" si="1"/>
        <v>53</v>
      </c>
      <c r="G4" s="29">
        <f t="shared" si="1"/>
        <v>67</v>
      </c>
    </row>
    <row r="5" spans="1:7" x14ac:dyDescent="0.2">
      <c r="A5" s="28" t="s">
        <v>36</v>
      </c>
      <c r="B5" s="29">
        <f>B2+1+B3</f>
        <v>11</v>
      </c>
      <c r="C5" s="29">
        <f t="shared" ref="C5:G5" si="2">C2+1+C3</f>
        <v>20</v>
      </c>
      <c r="D5" s="29">
        <f t="shared" si="2"/>
        <v>33</v>
      </c>
      <c r="E5" s="29">
        <f t="shared" si="2"/>
        <v>49</v>
      </c>
      <c r="F5" s="29">
        <f t="shared" si="2"/>
        <v>63</v>
      </c>
      <c r="G5" s="29">
        <f t="shared" si="2"/>
        <v>73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defaultColWidth="18.5703125" defaultRowHeight="12.75" x14ac:dyDescent="0.2"/>
  <sheetData>
    <row r="1" spans="1:3" x14ac:dyDescent="0.2">
      <c r="A1" s="21">
        <f>Mensuel!C2</f>
        <v>2025</v>
      </c>
      <c r="B1" s="23" t="s">
        <v>12</v>
      </c>
      <c r="C1" s="23" t="s">
        <v>13</v>
      </c>
    </row>
    <row r="2" spans="1:3" x14ac:dyDescent="0.2">
      <c r="A2" s="22"/>
      <c r="B2" s="24">
        <f>IF(WEEKDAY(B3,2)=2,B3-1,0)</f>
        <v>0</v>
      </c>
      <c r="C2" s="22" t="s">
        <v>14</v>
      </c>
    </row>
    <row r="3" spans="1:3" x14ac:dyDescent="0.2">
      <c r="A3" s="22"/>
      <c r="B3" s="25">
        <f>DATE(A1,1,1)</f>
        <v>45658</v>
      </c>
      <c r="C3" s="22" t="s">
        <v>15</v>
      </c>
    </row>
    <row r="4" spans="1:3" x14ac:dyDescent="0.2">
      <c r="A4" s="22"/>
      <c r="B4" s="24">
        <f>IF(WEEKDAY(B3,2)=4,B3+1,0)</f>
        <v>0</v>
      </c>
      <c r="C4" s="22" t="s">
        <v>14</v>
      </c>
    </row>
    <row r="5" spans="1:3" x14ac:dyDescent="0.2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45767</v>
      </c>
      <c r="C5" s="22" t="s">
        <v>16</v>
      </c>
    </row>
    <row r="6" spans="1:3" x14ac:dyDescent="0.2">
      <c r="A6" s="22"/>
      <c r="B6" s="25">
        <f>B5+1</f>
        <v>45768</v>
      </c>
      <c r="C6" s="22" t="s">
        <v>17</v>
      </c>
    </row>
    <row r="7" spans="1:3" x14ac:dyDescent="0.2">
      <c r="A7" s="22"/>
      <c r="B7" s="24">
        <f>IF(WEEKDAY(B8,2)=2,B8-1,0)</f>
        <v>0</v>
      </c>
      <c r="C7" s="22" t="s">
        <v>14</v>
      </c>
    </row>
    <row r="8" spans="1:3" x14ac:dyDescent="0.2">
      <c r="A8" s="22"/>
      <c r="B8" s="25">
        <f>DATE(A1,5,1)</f>
        <v>45778</v>
      </c>
      <c r="C8" s="22" t="s">
        <v>18</v>
      </c>
    </row>
    <row r="9" spans="1:3" x14ac:dyDescent="0.2">
      <c r="A9" s="22"/>
      <c r="B9" s="24">
        <f>IF(WEEKDAY(B8,2)=4,B8+1,0)</f>
        <v>45779</v>
      </c>
      <c r="C9" s="22" t="s">
        <v>14</v>
      </c>
    </row>
    <row r="10" spans="1:3" x14ac:dyDescent="0.2">
      <c r="A10" s="22"/>
      <c r="B10" s="24">
        <f>IF(WEEKDAY(B11,2)=2,B11-1,0)</f>
        <v>0</v>
      </c>
      <c r="C10" s="22" t="s">
        <v>14</v>
      </c>
    </row>
    <row r="11" spans="1:3" x14ac:dyDescent="0.2">
      <c r="A11" s="22"/>
      <c r="B11" s="25">
        <f>DATE(A1,5,8)</f>
        <v>45785</v>
      </c>
      <c r="C11" s="22" t="s">
        <v>19</v>
      </c>
    </row>
    <row r="12" spans="1:3" x14ac:dyDescent="0.2">
      <c r="A12" s="22"/>
      <c r="B12" s="24">
        <f>IF(WEEKDAY(B11,2)=4,B11+1,0)</f>
        <v>45786</v>
      </c>
      <c r="C12" s="22" t="s">
        <v>14</v>
      </c>
    </row>
    <row r="13" spans="1:3" x14ac:dyDescent="0.2">
      <c r="A13" s="22"/>
      <c r="B13" s="25">
        <f>B5+39</f>
        <v>45806</v>
      </c>
      <c r="C13" s="22" t="s">
        <v>20</v>
      </c>
    </row>
    <row r="14" spans="1:3" x14ac:dyDescent="0.2">
      <c r="A14" s="22"/>
      <c r="B14" s="24">
        <f>IF(WEEKDAY(B13,2)=4,B13+1,0)</f>
        <v>45807</v>
      </c>
      <c r="C14" s="22" t="s">
        <v>14</v>
      </c>
    </row>
    <row r="15" spans="1:3" x14ac:dyDescent="0.2">
      <c r="A15" s="22"/>
      <c r="B15" s="25">
        <f>B5+50</f>
        <v>45817</v>
      </c>
      <c r="C15" s="22" t="s">
        <v>21</v>
      </c>
    </row>
    <row r="16" spans="1:3" x14ac:dyDescent="0.2">
      <c r="A16" s="22"/>
      <c r="B16" s="24">
        <f>IF(WEEKDAY(B17,2)=2,B17-1,0)</f>
        <v>0</v>
      </c>
      <c r="C16" s="22" t="s">
        <v>14</v>
      </c>
    </row>
    <row r="17" spans="1:3" x14ac:dyDescent="0.2">
      <c r="A17" s="22"/>
      <c r="B17" s="25">
        <f>DATE(A1,7,14)</f>
        <v>45852</v>
      </c>
      <c r="C17" s="22" t="s">
        <v>22</v>
      </c>
    </row>
    <row r="18" spans="1:3" x14ac:dyDescent="0.2">
      <c r="A18" s="22"/>
      <c r="B18" s="24">
        <f>IF(WEEKDAY(B17,2)=4,B17+1,0)</f>
        <v>0</v>
      </c>
      <c r="C18" s="22" t="s">
        <v>14</v>
      </c>
    </row>
    <row r="19" spans="1:3" x14ac:dyDescent="0.2">
      <c r="A19" s="22"/>
      <c r="B19" s="24">
        <f>IF(WEEKDAY(B20,2)=2,B20-1,0)</f>
        <v>0</v>
      </c>
      <c r="C19" s="22" t="s">
        <v>14</v>
      </c>
    </row>
    <row r="20" spans="1:3" x14ac:dyDescent="0.2">
      <c r="A20" s="22"/>
      <c r="B20" s="25">
        <f>DATE(A1,8,15)</f>
        <v>45884</v>
      </c>
      <c r="C20" s="22" t="s">
        <v>23</v>
      </c>
    </row>
    <row r="21" spans="1:3" x14ac:dyDescent="0.2">
      <c r="A21" s="22"/>
      <c r="B21" s="24">
        <f>IF(WEEKDAY(B20,2)=4,B20+1,0)</f>
        <v>0</v>
      </c>
      <c r="C21" s="22" t="s">
        <v>14</v>
      </c>
    </row>
    <row r="22" spans="1:3" x14ac:dyDescent="0.2">
      <c r="A22" s="22"/>
      <c r="B22" s="24">
        <f>IF(WEEKDAY(B23,2)=2,B23-1,0)</f>
        <v>0</v>
      </c>
      <c r="C22" s="22" t="s">
        <v>14</v>
      </c>
    </row>
    <row r="23" spans="1:3" x14ac:dyDescent="0.2">
      <c r="A23" s="22"/>
      <c r="B23" s="25">
        <f>DATE(A1,11,1)</f>
        <v>45962</v>
      </c>
      <c r="C23" s="22" t="s">
        <v>24</v>
      </c>
    </row>
    <row r="24" spans="1:3" x14ac:dyDescent="0.2">
      <c r="A24" s="22"/>
      <c r="B24" s="24">
        <f>IF(WEEKDAY(B23,2)=4,B23+1,0)</f>
        <v>0</v>
      </c>
      <c r="C24" s="22" t="s">
        <v>14</v>
      </c>
    </row>
    <row r="25" spans="1:3" x14ac:dyDescent="0.2">
      <c r="A25" s="22"/>
      <c r="B25" s="24">
        <f>IF(WEEKDAY(B26,2)=2,B26-1,0)</f>
        <v>45971</v>
      </c>
      <c r="C25" s="22" t="s">
        <v>14</v>
      </c>
    </row>
    <row r="26" spans="1:3" x14ac:dyDescent="0.2">
      <c r="A26" s="22"/>
      <c r="B26" s="25">
        <f>DATE(A1,11,11)</f>
        <v>45972</v>
      </c>
      <c r="C26" s="22" t="s">
        <v>25</v>
      </c>
    </row>
    <row r="27" spans="1:3" x14ac:dyDescent="0.2">
      <c r="A27" s="22"/>
      <c r="B27" s="24">
        <f>IF(WEEKDAY(B26,2)=4,B26+1,0)</f>
        <v>0</v>
      </c>
      <c r="C27" s="22" t="s">
        <v>14</v>
      </c>
    </row>
    <row r="28" spans="1:3" x14ac:dyDescent="0.2">
      <c r="A28" s="22"/>
      <c r="B28" s="24">
        <f>IF(WEEKDAY(B29,2)=2,B29-1,0)</f>
        <v>0</v>
      </c>
      <c r="C28" s="22" t="s">
        <v>14</v>
      </c>
    </row>
    <row r="29" spans="1:3" x14ac:dyDescent="0.2">
      <c r="A29" s="22"/>
      <c r="B29" s="25">
        <f>DATE(A1,12,25)</f>
        <v>46016</v>
      </c>
      <c r="C29" s="22" t="s">
        <v>26</v>
      </c>
    </row>
    <row r="30" spans="1:3" x14ac:dyDescent="0.2">
      <c r="A30" s="22"/>
      <c r="B30" s="24">
        <f>IF(WEEKDAY(B29,2)=4,B29+1,0)</f>
        <v>46017</v>
      </c>
      <c r="C30" s="22" t="s">
        <v>14</v>
      </c>
    </row>
    <row r="31" spans="1:3" x14ac:dyDescent="0.2">
      <c r="A31" s="22"/>
      <c r="B31" s="24">
        <f>IF(WEEKDAY(B32,2)=2,B32-1,0)</f>
        <v>0</v>
      </c>
      <c r="C31" s="22" t="s">
        <v>14</v>
      </c>
    </row>
    <row r="32" spans="1:3" x14ac:dyDescent="0.2">
      <c r="A32" s="22"/>
      <c r="B32" s="25">
        <f>DATE(A1+1,1,1)</f>
        <v>46023</v>
      </c>
      <c r="C32" s="22" t="s">
        <v>15</v>
      </c>
    </row>
    <row r="33" spans="2:3" x14ac:dyDescent="0.2">
      <c r="B33" s="24">
        <f>IF(WEEKDAY(B32,2)=4,B32+1,0)</f>
        <v>46024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BSA</cp:lastModifiedBy>
  <cp:revision/>
  <cp:lastPrinted>2025-09-18T11:18:15Z</cp:lastPrinted>
  <dcterms:created xsi:type="dcterms:W3CDTF">2015-02-17T18:38:59Z</dcterms:created>
  <dcterms:modified xsi:type="dcterms:W3CDTF">2025-09-19T16:38:24Z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