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DA7DC48-40F8-4C7D-A16E-4D632C3E0253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ries" sheetId="3" r:id="rId1"/>
    <sheet name="Feuil1" sheetId="1" r:id="rId2"/>
    <sheet name="Feuil2" sheetId="2" r:id="rId3"/>
  </sheets>
  <definedNames>
    <definedName name="feries">Feries!$B$4:$G$16</definedName>
    <definedName name="MOIS_MAJ">Feries!#REF!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2" l="1"/>
  <c r="L6" i="2"/>
  <c r="F6" i="2"/>
  <c r="G6" i="2"/>
  <c r="H6" i="2"/>
  <c r="I6" i="2"/>
  <c r="J6" i="2"/>
  <c r="K6" i="2"/>
  <c r="F7" i="2"/>
  <c r="G7" i="2"/>
  <c r="H7" i="2"/>
  <c r="I7" i="2"/>
  <c r="J7" i="2"/>
  <c r="K7" i="2"/>
  <c r="E7" i="2"/>
  <c r="E6" i="2"/>
  <c r="C3" i="3"/>
  <c r="D3" i="3" s="1"/>
  <c r="B4" i="3"/>
  <c r="B5" i="3"/>
  <c r="B6" i="3" s="1"/>
  <c r="C5" i="3"/>
  <c r="C6" i="3" s="1"/>
  <c r="B7" i="3"/>
  <c r="C7" i="3"/>
  <c r="B8" i="3"/>
  <c r="C9" i="3"/>
  <c r="C11" i="3"/>
  <c r="B12" i="3"/>
  <c r="B13" i="3"/>
  <c r="C13" i="3"/>
  <c r="B14" i="3"/>
  <c r="B15" i="3"/>
  <c r="C15" i="3"/>
  <c r="B16" i="3"/>
  <c r="D5" i="3" l="1"/>
  <c r="D7" i="3"/>
  <c r="D13" i="3"/>
  <c r="D15" i="3"/>
  <c r="D8" i="3"/>
  <c r="D12" i="3"/>
  <c r="D14" i="3"/>
  <c r="D16" i="3"/>
  <c r="E3" i="3"/>
  <c r="D4" i="3"/>
  <c r="C16" i="3"/>
  <c r="C14" i="3"/>
  <c r="C12" i="3"/>
  <c r="C10" i="3"/>
  <c r="C8" i="3"/>
  <c r="C4" i="3"/>
  <c r="B11" i="3"/>
  <c r="B9" i="3"/>
  <c r="B10" i="3"/>
  <c r="E4" i="3" l="1"/>
  <c r="E8" i="3"/>
  <c r="E12" i="3"/>
  <c r="E14" i="3"/>
  <c r="E16" i="3"/>
  <c r="E5" i="3"/>
  <c r="E7" i="3"/>
  <c r="E13" i="3"/>
  <c r="E15" i="3"/>
  <c r="F3" i="3"/>
  <c r="D9" i="3"/>
  <c r="D11" i="3"/>
  <c r="D6" i="3"/>
  <c r="D10" i="3"/>
  <c r="G3" i="3" l="1"/>
  <c r="F4" i="3"/>
  <c r="F8" i="3"/>
  <c r="F12" i="3"/>
  <c r="F14" i="3"/>
  <c r="F16" i="3"/>
  <c r="F5" i="3"/>
  <c r="F7" i="3"/>
  <c r="F13" i="3"/>
  <c r="F15" i="3"/>
  <c r="E6" i="3"/>
  <c r="E10" i="3"/>
  <c r="E9" i="3"/>
  <c r="E11" i="3"/>
  <c r="S7" i="2"/>
  <c r="S6" i="2"/>
  <c r="F6" i="3" l="1"/>
  <c r="F10" i="3"/>
  <c r="F9" i="3"/>
  <c r="F11" i="3"/>
  <c r="G5" i="3"/>
  <c r="G7" i="3"/>
  <c r="G13" i="3"/>
  <c r="G15" i="3"/>
  <c r="G4" i="3"/>
  <c r="G8" i="3"/>
  <c r="G12" i="3"/>
  <c r="G14" i="3"/>
  <c r="G16" i="3"/>
  <c r="D7" i="1"/>
  <c r="D6" i="1"/>
  <c r="D5" i="1"/>
  <c r="D8" i="1" s="1"/>
  <c r="B15" i="1"/>
  <c r="B14" i="1"/>
  <c r="B13" i="1"/>
  <c r="B12" i="1"/>
  <c r="B11" i="1"/>
  <c r="B8" i="1"/>
  <c r="B7" i="1"/>
  <c r="B5" i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I7" i="1" s="1"/>
  <c r="G6" i="1"/>
  <c r="I6" i="1" s="1"/>
  <c r="G5" i="1"/>
  <c r="I5" i="1" s="1"/>
  <c r="G4" i="1"/>
  <c r="I4" i="1" s="1"/>
  <c r="K18" i="1" l="1"/>
  <c r="O18" i="1"/>
  <c r="L18" i="1"/>
  <c r="P18" i="1"/>
  <c r="M18" i="1"/>
  <c r="J18" i="1"/>
  <c r="N18" i="1"/>
  <c r="H4" i="1"/>
  <c r="K4" i="1"/>
  <c r="O4" i="1"/>
  <c r="Q4" i="1"/>
  <c r="L4" i="1"/>
  <c r="P4" i="1"/>
  <c r="M4" i="1"/>
  <c r="N4" i="1"/>
  <c r="J4" i="1"/>
  <c r="H12" i="1"/>
  <c r="K12" i="1"/>
  <c r="O12" i="1"/>
  <c r="J12" i="1"/>
  <c r="L12" i="1"/>
  <c r="P12" i="1"/>
  <c r="M12" i="1"/>
  <c r="Q12" i="1"/>
  <c r="N12" i="1"/>
  <c r="H5" i="1"/>
  <c r="Q5" i="1"/>
  <c r="M5" i="1"/>
  <c r="J5" i="1"/>
  <c r="K5" i="1"/>
  <c r="L5" i="1"/>
  <c r="N5" i="1"/>
  <c r="O5" i="1"/>
  <c r="P5" i="1"/>
  <c r="Q13" i="1"/>
  <c r="M13" i="1"/>
  <c r="J13" i="1"/>
  <c r="K13" i="1"/>
  <c r="L13" i="1"/>
  <c r="N13" i="1"/>
  <c r="O13" i="1"/>
  <c r="P13" i="1"/>
  <c r="K14" i="1"/>
  <c r="O14" i="1"/>
  <c r="M14" i="1"/>
  <c r="N14" i="1"/>
  <c r="Q14" i="1"/>
  <c r="L14" i="1"/>
  <c r="P14" i="1"/>
  <c r="J14" i="1"/>
  <c r="H8" i="1"/>
  <c r="K8" i="1"/>
  <c r="O8" i="1"/>
  <c r="Q8" i="1"/>
  <c r="L8" i="1"/>
  <c r="P8" i="1"/>
  <c r="M8" i="1"/>
  <c r="N8" i="1"/>
  <c r="J8" i="1"/>
  <c r="H9" i="1"/>
  <c r="Q9" i="1"/>
  <c r="M9" i="1"/>
  <c r="J9" i="1"/>
  <c r="K9" i="1"/>
  <c r="L9" i="1"/>
  <c r="N9" i="1"/>
  <c r="O9" i="1"/>
  <c r="P9" i="1"/>
  <c r="H6" i="1"/>
  <c r="K6" i="1"/>
  <c r="O6" i="1"/>
  <c r="M6" i="1"/>
  <c r="N6" i="1"/>
  <c r="Q6" i="1"/>
  <c r="L6" i="1"/>
  <c r="P6" i="1"/>
  <c r="J6" i="1"/>
  <c r="H10" i="1"/>
  <c r="K10" i="1"/>
  <c r="O10" i="1"/>
  <c r="M10" i="1"/>
  <c r="N10" i="1"/>
  <c r="Q10" i="1"/>
  <c r="L10" i="1"/>
  <c r="P10" i="1"/>
  <c r="J10" i="1"/>
  <c r="M7" i="1"/>
  <c r="O7" i="1"/>
  <c r="P7" i="1"/>
  <c r="N7" i="1"/>
  <c r="Q7" i="1"/>
  <c r="K7" i="1"/>
  <c r="J7" i="1"/>
  <c r="L7" i="1"/>
  <c r="H11" i="1"/>
  <c r="M11" i="1"/>
  <c r="Q11" i="1"/>
  <c r="O11" i="1"/>
  <c r="J11" i="1"/>
  <c r="P11" i="1"/>
  <c r="N11" i="1"/>
  <c r="K11" i="1"/>
  <c r="L11" i="1"/>
  <c r="M15" i="1"/>
  <c r="Q15" i="1"/>
  <c r="O15" i="1"/>
  <c r="P15" i="1"/>
  <c r="N15" i="1"/>
  <c r="K15" i="1"/>
  <c r="J15" i="1"/>
  <c r="L15" i="1"/>
  <c r="G11" i="3"/>
  <c r="G9" i="3"/>
  <c r="G6" i="3"/>
  <c r="G10" i="3"/>
  <c r="H13" i="1"/>
  <c r="H15" i="1"/>
  <c r="H7" i="1"/>
  <c r="H14" i="1"/>
  <c r="D9" i="1"/>
  <c r="J16" i="1" l="1"/>
  <c r="J19" i="1" s="1"/>
  <c r="J20" i="1" s="1"/>
  <c r="N16" i="1"/>
  <c r="Q16" i="1"/>
  <c r="N19" i="1"/>
  <c r="N20" i="1" s="1"/>
  <c r="M16" i="1"/>
  <c r="M19" i="1" s="1"/>
  <c r="M20" i="1" s="1"/>
  <c r="O16" i="1"/>
  <c r="O19" i="1" s="1"/>
  <c r="O20" i="1" s="1"/>
  <c r="I18" i="1"/>
  <c r="L16" i="1"/>
  <c r="L19" i="1" s="1"/>
  <c r="L20" i="1" s="1"/>
  <c r="P16" i="1"/>
  <c r="P19" i="1" s="1"/>
  <c r="P20" i="1" s="1"/>
  <c r="K16" i="1"/>
  <c r="K19" i="1" s="1"/>
  <c r="K20" i="1" s="1"/>
  <c r="D10" i="1"/>
  <c r="B6" i="1" s="1"/>
  <c r="I20" i="1" l="1"/>
  <c r="I19" i="1"/>
  <c r="H16" i="1"/>
  <c r="B9" i="1"/>
  <c r="B10" i="1"/>
  <c r="I16" i="1" l="1"/>
</calcChain>
</file>

<file path=xl/sharedStrings.xml><?xml version="1.0" encoding="utf-8"?>
<sst xmlns="http://schemas.openxmlformats.org/spreadsheetml/2006/main" count="85" uniqueCount="67">
  <si>
    <t>Mois</t>
  </si>
  <si>
    <t>fin de mois</t>
  </si>
  <si>
    <t>Jours fériés de</t>
  </si>
  <si>
    <t>Calcul du lundi de Pâques</t>
  </si>
  <si>
    <t>Libellé</t>
  </si>
  <si>
    <t>Date</t>
  </si>
  <si>
    <t>Jour de l’an</t>
  </si>
  <si>
    <t>Lundi de Pâques</t>
  </si>
  <si>
    <t>Fête du travail</t>
  </si>
  <si>
    <t>Victoire de 1945</t>
  </si>
  <si>
    <t>Jeudi de l'Ascension</t>
  </si>
  <si>
    <t>Lundi de Pentecôte</t>
  </si>
  <si>
    <t>Fête nationale</t>
  </si>
  <si>
    <t>Assomption</t>
  </si>
  <si>
    <t>Toussaint</t>
  </si>
  <si>
    <t>Armistice de 1918</t>
  </si>
  <si>
    <t>Noël</t>
  </si>
  <si>
    <t>lundi</t>
  </si>
  <si>
    <t>mardi</t>
  </si>
  <si>
    <t>mercredi</t>
  </si>
  <si>
    <t>jeudi</t>
  </si>
  <si>
    <t>vendredi</t>
  </si>
  <si>
    <t>samedi</t>
  </si>
  <si>
    <t>dimanche</t>
  </si>
  <si>
    <t>Jours</t>
  </si>
  <si>
    <t>Jours ouvrés</t>
  </si>
  <si>
    <r>
      <t xml:space="preserve">Heures </t>
    </r>
    <r>
      <rPr>
        <b/>
        <sz val="10"/>
        <color rgb="FFFF0000"/>
        <rFont val="Times New Roman"/>
        <family val="1"/>
      </rPr>
      <t>Matin</t>
    </r>
  </si>
  <si>
    <r>
      <t xml:space="preserve">Heures </t>
    </r>
    <r>
      <rPr>
        <b/>
        <sz val="10"/>
        <color rgb="FFFF0000"/>
        <rFont val="Times New Roman"/>
        <family val="1"/>
      </rPr>
      <t>APM</t>
    </r>
  </si>
  <si>
    <t>Du</t>
  </si>
  <si>
    <t>Au</t>
  </si>
  <si>
    <t>Jours 
concernés</t>
  </si>
  <si>
    <t>Nbre 
 jours au mois</t>
  </si>
  <si>
    <t>DE</t>
  </si>
  <si>
    <t>A</t>
  </si>
  <si>
    <t>Heures demandées</t>
  </si>
  <si>
    <t>L</t>
  </si>
  <si>
    <t>M</t>
  </si>
  <si>
    <t>J</t>
  </si>
  <si>
    <t>V</t>
  </si>
  <si>
    <t>S</t>
  </si>
  <si>
    <t>D</t>
  </si>
  <si>
    <t>Fériés</t>
  </si>
  <si>
    <t>Lundi</t>
  </si>
  <si>
    <t xml:space="preserve">Mardi                                      </t>
  </si>
  <si>
    <t>Date de l'envoi Cde</t>
  </si>
  <si>
    <t>0111111</t>
  </si>
  <si>
    <t>1011111</t>
  </si>
  <si>
    <t>1101111</t>
  </si>
  <si>
    <t>1110111</t>
  </si>
  <si>
    <t>1111011</t>
  </si>
  <si>
    <t>1111101</t>
  </si>
  <si>
    <t>1111110</t>
  </si>
  <si>
    <t>Armistice 1918</t>
  </si>
  <si>
    <t>La Toussaint</t>
  </si>
  <si>
    <t>Fête Nationale</t>
  </si>
  <si>
    <t>Pentecôte</t>
  </si>
  <si>
    <t>Victoire des Alliés 1945</t>
  </si>
  <si>
    <t>Fête du Travail</t>
  </si>
  <si>
    <t>Pâques</t>
  </si>
  <si>
    <t>Jour de l'An</t>
  </si>
  <si>
    <t>0000000</t>
  </si>
  <si>
    <t>feries</t>
  </si>
  <si>
    <t>jours</t>
  </si>
  <si>
    <t>JO</t>
  </si>
  <si>
    <t>1111111_1</t>
  </si>
  <si>
    <t>cocher</t>
  </si>
  <si>
    <t>1010101_0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</si>
</sst>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m\ yyyy"/>
    <numFmt numFmtId="165" formatCode="[$-F400]h:mm:ss\ AM/PM"/>
    <numFmt numFmtId="166" formatCode="[h]:mm:ss;@"/>
    <numFmt numFmtId="167" formatCode="dd/mm/yy;@"/>
    <numFmt numFmtId="168" formatCode="ddd\ dd/mm/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left" vertical="center" indent="1"/>
    </xf>
    <xf numFmtId="0" fontId="4" fillId="0" borderId="9" xfId="0" applyFont="1" applyBorder="1" applyAlignment="1">
      <alignment horizontal="center" vertical="center"/>
    </xf>
    <xf numFmtId="164" fontId="6" fillId="3" borderId="11" xfId="0" applyNumberFormat="1" applyFont="1" applyFill="1" applyBorder="1" applyAlignment="1">
      <alignment horizontal="left" vertical="center" inden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6" fillId="3" borderId="15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14" fontId="2" fillId="4" borderId="16" xfId="0" applyNumberFormat="1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/>
    </xf>
    <xf numFmtId="0" fontId="6" fillId="3" borderId="7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1" fontId="7" fillId="4" borderId="16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0" fillId="0" borderId="0" xfId="0" applyNumberFormat="1"/>
    <xf numFmtId="167" fontId="12" fillId="0" borderId="0" xfId="0" applyNumberFormat="1" applyFont="1" applyAlignment="1">
      <alignment horizontal="center" vertical="center" wrapText="1"/>
    </xf>
    <xf numFmtId="14" fontId="10" fillId="0" borderId="16" xfId="0" applyNumberFormat="1" applyFont="1" applyBorder="1" applyAlignment="1" applyProtection="1">
      <alignment horizontal="center" vertical="center" wrapText="1"/>
      <protection locked="0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167" fontId="10" fillId="7" borderId="16" xfId="0" applyNumberFormat="1" applyFont="1" applyFill="1" applyBorder="1" applyAlignment="1" applyProtection="1">
      <alignment horizontal="center" vertical="center" wrapText="1"/>
      <protection locked="0"/>
    </xf>
    <xf numFmtId="167" fontId="10" fillId="0" borderId="16" xfId="0" applyNumberFormat="1" applyFont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165" fontId="10" fillId="0" borderId="16" xfId="0" applyNumberFormat="1" applyFont="1" applyBorder="1" applyAlignment="1" applyProtection="1">
      <alignment horizontal="center" vertical="center" wrapText="1"/>
      <protection locked="0"/>
    </xf>
    <xf numFmtId="166" fontId="10" fillId="6" borderId="16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165" fontId="11" fillId="5" borderId="16" xfId="0" applyNumberFormat="1" applyFont="1" applyFill="1" applyBorder="1" applyAlignment="1">
      <alignment horizontal="center" vertical="center" wrapText="1"/>
    </xf>
    <xf numFmtId="166" fontId="11" fillId="6" borderId="16" xfId="0" applyNumberFormat="1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0" fontId="0" fillId="0" borderId="0" xfId="0" quotePrefix="1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8" fontId="0" fillId="8" borderId="0" xfId="0" applyNumberFormat="1" applyFill="1" applyAlignment="1" applyProtection="1">
      <alignment horizontal="center" vertical="center" shrinkToFit="1"/>
      <protection hidden="1"/>
    </xf>
    <xf numFmtId="0" fontId="1" fillId="0" borderId="0" xfId="0" applyFont="1" applyAlignment="1" applyProtection="1">
      <alignment vertical="center"/>
      <protection hidden="1"/>
    </xf>
    <xf numFmtId="1" fontId="1" fillId="0" borderId="0" xfId="0" applyNumberFormat="1" applyFont="1" applyAlignment="1">
      <alignment horizontal="center" shrinkToFit="1"/>
    </xf>
    <xf numFmtId="1" fontId="1" fillId="0" borderId="0" xfId="0" applyNumberFormat="1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hidden="1"/>
    </xf>
    <xf numFmtId="1" fontId="10" fillId="0" borderId="16" xfId="0" applyNumberFormat="1" applyFont="1" applyBorder="1" applyAlignment="1" applyProtection="1">
      <alignment horizontal="center" vertical="center" wrapText="1"/>
      <protection locked="0"/>
    </xf>
    <xf numFmtId="0" fontId="7" fillId="4" borderId="0" xfId="0" applyNumberFormat="1" applyFont="1" applyFill="1" applyBorder="1" applyAlignment="1">
      <alignment horizontal="center" vertical="center" wrapText="1"/>
    </xf>
    <xf numFmtId="0" fontId="14" fillId="4" borderId="0" xfId="0" applyNumberFormat="1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/>
    </xf>
    <xf numFmtId="0" fontId="8" fillId="0" borderId="19" xfId="0" applyFont="1" applyBorder="1" applyAlignment="1">
      <alignment horizontal="center"/>
    </xf>
    <xf numFmtId="0" fontId="16" fillId="4" borderId="21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6" fillId="4" borderId="21" xfId="0" applyNumberFormat="1" applyFont="1" applyFill="1" applyBorder="1" applyAlignment="1">
      <alignment horizontal="center" vertical="center" wrapText="1"/>
    </xf>
    <xf numFmtId="0" fontId="16" fillId="4" borderId="22" xfId="0" applyNumberFormat="1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" fillId="0" borderId="0" xfId="0" quotePrefix="1" applyFont="1" applyAlignment="1">
      <alignment shrinkToFi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E295B-08D0-49A2-B185-D1EFCC74856E}">
  <sheetPr codeName="Feuil2"/>
  <dimension ref="A3:G16"/>
  <sheetViews>
    <sheetView workbookViewId="0">
      <selection activeCell="B31" sqref="B31"/>
    </sheetView>
  </sheetViews>
  <sheetFormatPr defaultColWidth="11.42578125" defaultRowHeight="15" x14ac:dyDescent="0.25"/>
  <cols>
    <col min="1" max="1" width="21.85546875" bestFit="1" customWidth="1"/>
    <col min="2" max="2" width="11.85546875" style="50" bestFit="1" customWidth="1"/>
    <col min="3" max="7" width="11.42578125" style="49"/>
  </cols>
  <sheetData>
    <row r="3" spans="1:7" x14ac:dyDescent="0.25">
      <c r="A3" s="55"/>
      <c r="B3" s="54">
        <v>2024</v>
      </c>
      <c r="C3" s="53">
        <f>+B3+1</f>
        <v>2025</v>
      </c>
      <c r="D3" s="53">
        <f>+C3+1</f>
        <v>2026</v>
      </c>
      <c r="E3" s="53">
        <f>+D3+1</f>
        <v>2027</v>
      </c>
      <c r="F3" s="53">
        <f>+E3+1</f>
        <v>2028</v>
      </c>
      <c r="G3" s="53">
        <f>+F3+1</f>
        <v>2029</v>
      </c>
    </row>
    <row r="4" spans="1:7" x14ac:dyDescent="0.25">
      <c r="A4" s="52" t="s">
        <v>59</v>
      </c>
      <c r="B4" s="51">
        <f xml:space="preserve"> DATE(B$3,1,1)</f>
        <v>45292</v>
      </c>
      <c r="C4" s="51">
        <f xml:space="preserve"> DATE(C$3,1,1)</f>
        <v>45658</v>
      </c>
      <c r="D4" s="51">
        <f xml:space="preserve"> DATE(D$3,1,1)</f>
        <v>46023</v>
      </c>
      <c r="E4" s="51">
        <f xml:space="preserve"> DATE(E$3,1,1)</f>
        <v>46388</v>
      </c>
      <c r="F4" s="51">
        <f xml:space="preserve"> DATE(F$3,1,1)</f>
        <v>46753</v>
      </c>
      <c r="G4" s="51">
        <f xml:space="preserve"> DATE(G$3,1,1)</f>
        <v>47119</v>
      </c>
    </row>
    <row r="5" spans="1:7" x14ac:dyDescent="0.25">
      <c r="A5" s="52" t="s">
        <v>58</v>
      </c>
      <c r="B5" s="51">
        <f xml:space="preserve"> FLOOR(DAY(MINUTE(B$3/38)/2+56)&amp;"/5/"&amp;B$3,7)-34</f>
        <v>45382</v>
      </c>
      <c r="C5" s="51">
        <f xml:space="preserve"> FLOOR(DAY(MINUTE(C$3/38)/2+56)&amp;"/5/"&amp;C$3,7)-34</f>
        <v>45767</v>
      </c>
      <c r="D5" s="51">
        <f xml:space="preserve"> FLOOR(DAY(MINUTE(D$3/38)/2+56)&amp;"/5/"&amp;D$3,7)-34</f>
        <v>46117</v>
      </c>
      <c r="E5" s="51">
        <f xml:space="preserve"> FLOOR(DAY(MINUTE(E$3/38)/2+56)&amp;"/5/"&amp;E$3,7)-34</f>
        <v>46474</v>
      </c>
      <c r="F5" s="51">
        <f xml:space="preserve"> FLOOR(DAY(MINUTE(F$3/38)/2+56)&amp;"/5/"&amp;F$3,7)-34</f>
        <v>46859</v>
      </c>
      <c r="G5" s="51">
        <f xml:space="preserve"> FLOOR(DAY(MINUTE(G$3/38)/2+56)&amp;"/5/"&amp;G$3,7)-34</f>
        <v>47209</v>
      </c>
    </row>
    <row r="6" spans="1:7" x14ac:dyDescent="0.25">
      <c r="A6" s="52" t="s">
        <v>7</v>
      </c>
      <c r="B6" s="51">
        <f xml:space="preserve"> B5 + 1</f>
        <v>45383</v>
      </c>
      <c r="C6" s="51">
        <f xml:space="preserve"> C5 + 1</f>
        <v>45768</v>
      </c>
      <c r="D6" s="51">
        <f xml:space="preserve"> D5 + 1</f>
        <v>46118</v>
      </c>
      <c r="E6" s="51">
        <f xml:space="preserve"> E5 + 1</f>
        <v>46475</v>
      </c>
      <c r="F6" s="51">
        <f xml:space="preserve"> F5 + 1</f>
        <v>46860</v>
      </c>
      <c r="G6" s="51">
        <f xml:space="preserve"> G5 + 1</f>
        <v>47210</v>
      </c>
    </row>
    <row r="7" spans="1:7" x14ac:dyDescent="0.25">
      <c r="A7" s="52" t="s">
        <v>57</v>
      </c>
      <c r="B7" s="51">
        <f xml:space="preserve"> DATE(B$3,5,1)</f>
        <v>45413</v>
      </c>
      <c r="C7" s="51">
        <f xml:space="preserve"> DATE(C$3,5,1)</f>
        <v>45778</v>
      </c>
      <c r="D7" s="51">
        <f xml:space="preserve"> DATE(D$3,5,1)</f>
        <v>46143</v>
      </c>
      <c r="E7" s="51">
        <f xml:space="preserve"> DATE(E$3,5,1)</f>
        <v>46508</v>
      </c>
      <c r="F7" s="51">
        <f xml:space="preserve"> DATE(F$3,5,1)</f>
        <v>46874</v>
      </c>
      <c r="G7" s="51">
        <f xml:space="preserve"> DATE(G$3,5,1)</f>
        <v>47239</v>
      </c>
    </row>
    <row r="8" spans="1:7" x14ac:dyDescent="0.25">
      <c r="A8" s="52" t="s">
        <v>56</v>
      </c>
      <c r="B8" s="51">
        <f xml:space="preserve"> DATE(B$3,5,8)</f>
        <v>45420</v>
      </c>
      <c r="C8" s="51">
        <f xml:space="preserve"> DATE(C$3,5,8)</f>
        <v>45785</v>
      </c>
      <c r="D8" s="51">
        <f xml:space="preserve"> DATE(D$3,5,8)</f>
        <v>46150</v>
      </c>
      <c r="E8" s="51">
        <f xml:space="preserve"> DATE(E$3,5,8)</f>
        <v>46515</v>
      </c>
      <c r="F8" s="51">
        <f xml:space="preserve"> DATE(F$3,5,8)</f>
        <v>46881</v>
      </c>
      <c r="G8" s="51">
        <f xml:space="preserve"> DATE(G$3,5,8)</f>
        <v>47246</v>
      </c>
    </row>
    <row r="9" spans="1:7" x14ac:dyDescent="0.25">
      <c r="A9" s="52" t="s">
        <v>10</v>
      </c>
      <c r="B9" s="51">
        <f xml:space="preserve"> B5 + 39</f>
        <v>45421</v>
      </c>
      <c r="C9" s="51">
        <f xml:space="preserve"> C5 + 39</f>
        <v>45806</v>
      </c>
      <c r="D9" s="51">
        <f xml:space="preserve"> D5 + 39</f>
        <v>46156</v>
      </c>
      <c r="E9" s="51">
        <f xml:space="preserve"> E5 + 39</f>
        <v>46513</v>
      </c>
      <c r="F9" s="51">
        <f xml:space="preserve"> F5 + 39</f>
        <v>46898</v>
      </c>
      <c r="G9" s="51">
        <f xml:space="preserve"> G5 + 39</f>
        <v>47248</v>
      </c>
    </row>
    <row r="10" spans="1:7" x14ac:dyDescent="0.25">
      <c r="A10" s="52" t="s">
        <v>55</v>
      </c>
      <c r="B10" s="51">
        <f xml:space="preserve"> B5 + 49</f>
        <v>45431</v>
      </c>
      <c r="C10" s="51">
        <f xml:space="preserve"> C5 + 49</f>
        <v>45816</v>
      </c>
      <c r="D10" s="51">
        <f xml:space="preserve"> D5 + 49</f>
        <v>46166</v>
      </c>
      <c r="E10" s="51">
        <f xml:space="preserve"> E5 + 49</f>
        <v>46523</v>
      </c>
      <c r="F10" s="51">
        <f xml:space="preserve"> F5 + 49</f>
        <v>46908</v>
      </c>
      <c r="G10" s="51">
        <f xml:space="preserve"> G5 + 49</f>
        <v>47258</v>
      </c>
    </row>
    <row r="11" spans="1:7" x14ac:dyDescent="0.25">
      <c r="A11" s="52" t="s">
        <v>11</v>
      </c>
      <c r="B11" s="51">
        <f xml:space="preserve"> B5 + 50</f>
        <v>45432</v>
      </c>
      <c r="C11" s="51">
        <f xml:space="preserve"> C5 + 50</f>
        <v>45817</v>
      </c>
      <c r="D11" s="51">
        <f xml:space="preserve"> D5 + 50</f>
        <v>46167</v>
      </c>
      <c r="E11" s="51">
        <f xml:space="preserve"> E5 + 50</f>
        <v>46524</v>
      </c>
      <c r="F11" s="51">
        <f xml:space="preserve"> F5 + 50</f>
        <v>46909</v>
      </c>
      <c r="G11" s="51">
        <f xml:space="preserve"> G5 + 50</f>
        <v>47259</v>
      </c>
    </row>
    <row r="12" spans="1:7" x14ac:dyDescent="0.25">
      <c r="A12" s="52" t="s">
        <v>54</v>
      </c>
      <c r="B12" s="51">
        <f xml:space="preserve"> DATE(B$3,7,14)</f>
        <v>45487</v>
      </c>
      <c r="C12" s="51">
        <f xml:space="preserve"> DATE(C$3,7,14)</f>
        <v>45852</v>
      </c>
      <c r="D12" s="51">
        <f xml:space="preserve"> DATE(D$3,7,14)</f>
        <v>46217</v>
      </c>
      <c r="E12" s="51">
        <f xml:space="preserve"> DATE(E$3,7,14)</f>
        <v>46582</v>
      </c>
      <c r="F12" s="51">
        <f xml:space="preserve"> DATE(F$3,7,14)</f>
        <v>46948</v>
      </c>
      <c r="G12" s="51">
        <f xml:space="preserve"> DATE(G$3,7,14)</f>
        <v>47313</v>
      </c>
    </row>
    <row r="13" spans="1:7" x14ac:dyDescent="0.25">
      <c r="A13" s="52" t="s">
        <v>13</v>
      </c>
      <c r="B13" s="51">
        <f xml:space="preserve"> DATE(B$3,8,15)</f>
        <v>45519</v>
      </c>
      <c r="C13" s="51">
        <f xml:space="preserve"> DATE(C$3,8,15)</f>
        <v>45884</v>
      </c>
      <c r="D13" s="51">
        <f xml:space="preserve"> DATE(D$3,8,15)</f>
        <v>46249</v>
      </c>
      <c r="E13" s="51">
        <f xml:space="preserve"> DATE(E$3,8,15)</f>
        <v>46614</v>
      </c>
      <c r="F13" s="51">
        <f xml:space="preserve"> DATE(F$3,8,15)</f>
        <v>46980</v>
      </c>
      <c r="G13" s="51">
        <f xml:space="preserve"> DATE(G$3,8,15)</f>
        <v>47345</v>
      </c>
    </row>
    <row r="14" spans="1:7" x14ac:dyDescent="0.25">
      <c r="A14" s="52" t="s">
        <v>53</v>
      </c>
      <c r="B14" s="51">
        <f xml:space="preserve"> DATE(B$3,11,1)</f>
        <v>45597</v>
      </c>
      <c r="C14" s="51">
        <f xml:space="preserve"> DATE(C$3,11,1)</f>
        <v>45962</v>
      </c>
      <c r="D14" s="51">
        <f xml:space="preserve"> DATE(D$3,11,1)</f>
        <v>46327</v>
      </c>
      <c r="E14" s="51">
        <f xml:space="preserve"> DATE(E$3,11,1)</f>
        <v>46692</v>
      </c>
      <c r="F14" s="51">
        <f xml:space="preserve"> DATE(F$3,11,1)</f>
        <v>47058</v>
      </c>
      <c r="G14" s="51">
        <f xml:space="preserve"> DATE(G$3,11,1)</f>
        <v>47423</v>
      </c>
    </row>
    <row r="15" spans="1:7" x14ac:dyDescent="0.25">
      <c r="A15" s="52" t="s">
        <v>52</v>
      </c>
      <c r="B15" s="51">
        <f xml:space="preserve"> DATE(B$3,11,11)</f>
        <v>45607</v>
      </c>
      <c r="C15" s="51">
        <f xml:space="preserve"> DATE(C$3,11,11)</f>
        <v>45972</v>
      </c>
      <c r="D15" s="51">
        <f xml:space="preserve"> DATE(D$3,11,11)</f>
        <v>46337</v>
      </c>
      <c r="E15" s="51">
        <f xml:space="preserve"> DATE(E$3,11,11)</f>
        <v>46702</v>
      </c>
      <c r="F15" s="51">
        <f xml:space="preserve"> DATE(F$3,11,11)</f>
        <v>47068</v>
      </c>
      <c r="G15" s="51">
        <f xml:space="preserve"> DATE(G$3,11,11)</f>
        <v>47433</v>
      </c>
    </row>
    <row r="16" spans="1:7" x14ac:dyDescent="0.25">
      <c r="A16" s="52" t="s">
        <v>16</v>
      </c>
      <c r="B16" s="51">
        <f xml:space="preserve"> DATE(B$3,12,25)</f>
        <v>45651</v>
      </c>
      <c r="C16" s="51">
        <f xml:space="preserve"> DATE(C$3,12,25)</f>
        <v>46016</v>
      </c>
      <c r="D16" s="51">
        <f xml:space="preserve"> DATE(D$3,12,25)</f>
        <v>46381</v>
      </c>
      <c r="E16" s="51">
        <f xml:space="preserve"> DATE(E$3,12,25)</f>
        <v>46746</v>
      </c>
      <c r="F16" s="51">
        <f xml:space="preserve"> DATE(F$3,12,25)</f>
        <v>47112</v>
      </c>
      <c r="G16" s="51">
        <f xml:space="preserve"> DATE(G$3,12,25)</f>
        <v>47477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Q48"/>
  <sheetViews>
    <sheetView workbookViewId="0">
      <selection activeCell="D10" sqref="D10"/>
    </sheetView>
  </sheetViews>
  <sheetFormatPr defaultColWidth="11.42578125" defaultRowHeight="15" x14ac:dyDescent="0.25"/>
  <cols>
    <col min="1" max="1" width="18.42578125" bestFit="1" customWidth="1"/>
    <col min="2" max="2" width="17.5703125" bestFit="1" customWidth="1"/>
    <col min="3" max="3" width="2.42578125" customWidth="1"/>
    <col min="4" max="4" width="13.28515625" customWidth="1"/>
    <col min="5" max="5" width="2.7109375" customWidth="1"/>
    <col min="6" max="7" width="10.5703125" bestFit="1" customWidth="1"/>
    <col min="8" max="8" width="7.5703125" customWidth="1"/>
    <col min="9" max="9" width="10.5703125" bestFit="1" customWidth="1"/>
    <col min="10" max="10" width="9.7109375" style="49" bestFit="1" customWidth="1"/>
    <col min="11" max="11" width="8" style="49" bestFit="1" customWidth="1"/>
    <col min="12" max="12" width="9.140625" style="49" bestFit="1" customWidth="1"/>
    <col min="13" max="13" width="8" style="49" bestFit="1" customWidth="1"/>
    <col min="14" max="14" width="9.140625" style="49" bestFit="1" customWidth="1"/>
    <col min="15" max="15" width="8" style="49" bestFit="1" customWidth="1"/>
    <col min="16" max="16" width="10.140625" style="49" bestFit="1" customWidth="1"/>
    <col min="17" max="17" width="8" style="49" bestFit="1" customWidth="1"/>
    <col min="18" max="29" width="3.5703125" customWidth="1"/>
  </cols>
  <sheetData>
    <row r="2" spans="1:17" ht="15.75" thickBot="1" x14ac:dyDescent="0.3">
      <c r="J2" s="60" t="s">
        <v>45</v>
      </c>
      <c r="K2" s="60" t="s">
        <v>46</v>
      </c>
      <c r="L2" s="60" t="s">
        <v>47</v>
      </c>
      <c r="M2" s="60" t="s">
        <v>48</v>
      </c>
      <c r="N2" s="60" t="s">
        <v>49</v>
      </c>
      <c r="O2" s="60" t="s">
        <v>50</v>
      </c>
      <c r="P2" s="60" t="s">
        <v>51</v>
      </c>
      <c r="Q2" s="60" t="s">
        <v>60</v>
      </c>
    </row>
    <row r="3" spans="1:17" ht="19.5" thickBot="1" x14ac:dyDescent="0.3">
      <c r="A3" s="1" t="s">
        <v>2</v>
      </c>
      <c r="B3" s="2">
        <v>2025</v>
      </c>
      <c r="C3" s="3"/>
      <c r="D3" s="38" t="s">
        <v>3</v>
      </c>
      <c r="E3" s="12"/>
      <c r="F3" s="14" t="s">
        <v>0</v>
      </c>
      <c r="G3" s="14" t="s">
        <v>1</v>
      </c>
      <c r="H3" s="14" t="s">
        <v>24</v>
      </c>
      <c r="I3" s="22" t="s">
        <v>25</v>
      </c>
      <c r="J3" s="18" t="s">
        <v>17</v>
      </c>
      <c r="K3" s="18" t="s">
        <v>18</v>
      </c>
      <c r="L3" s="18" t="s">
        <v>19</v>
      </c>
      <c r="M3" s="18" t="s">
        <v>20</v>
      </c>
      <c r="N3" s="61" t="s">
        <v>21</v>
      </c>
      <c r="O3" s="18" t="s">
        <v>22</v>
      </c>
      <c r="P3" s="18" t="s">
        <v>23</v>
      </c>
      <c r="Q3" s="46" t="s">
        <v>61</v>
      </c>
    </row>
    <row r="4" spans="1:17" ht="15.75" thickBot="1" x14ac:dyDescent="0.3">
      <c r="A4" s="4" t="s">
        <v>4</v>
      </c>
      <c r="B4" s="5" t="s">
        <v>5</v>
      </c>
      <c r="C4" s="3"/>
      <c r="D4" s="39"/>
      <c r="E4" s="12"/>
      <c r="F4" s="15">
        <v>45658</v>
      </c>
      <c r="G4" s="16">
        <f>EOMONTH(F4,0)</f>
        <v>45688</v>
      </c>
      <c r="H4" s="23">
        <f>_xlfn.DAYS(G4,F4)+1</f>
        <v>31</v>
      </c>
      <c r="I4" s="17">
        <f>NETWORKDAYS.INTL(F4,G4,,feries)</f>
        <v>22</v>
      </c>
      <c r="J4" s="47">
        <f>NETWORKDAYS.INTL($F4,$G4,J$2,feries)</f>
        <v>4</v>
      </c>
      <c r="K4" s="47">
        <f>NETWORKDAYS.INTL($F4,$G4,K$2,feries)</f>
        <v>4</v>
      </c>
      <c r="L4" s="47">
        <f>NETWORKDAYS.INTL($F4,$G4,L$2,feries)</f>
        <v>4</v>
      </c>
      <c r="M4" s="47">
        <f>NETWORKDAYS.INTL($F4,$G4,M$2,feries)</f>
        <v>5</v>
      </c>
      <c r="N4" s="47">
        <f>NETWORKDAYS.INTL($F4,$G4,N$2,feries)</f>
        <v>5</v>
      </c>
      <c r="O4" s="62">
        <f>NETWORKDAYS.INTL($F4,$G4,O$2,feries)</f>
        <v>4</v>
      </c>
      <c r="P4" s="63">
        <f>NETWORKDAYS.INTL($F4,$G4,P$2,feries)</f>
        <v>4</v>
      </c>
      <c r="Q4" s="58">
        <f>$G4-$F4+1-NETWORKDAYS.INTL($F4,$G4,Q$2,feries)</f>
        <v>1</v>
      </c>
    </row>
    <row r="5" spans="1:17" x14ac:dyDescent="0.25">
      <c r="A5" s="19" t="s">
        <v>6</v>
      </c>
      <c r="B5" s="6">
        <f>DATE(B3,1,1)</f>
        <v>45658</v>
      </c>
      <c r="C5" s="3"/>
      <c r="D5" s="7">
        <f>19*MOD($B$3,19)</f>
        <v>209</v>
      </c>
      <c r="E5" s="13"/>
      <c r="F5" s="15">
        <v>45689</v>
      </c>
      <c r="G5" s="16">
        <f>EOMONTH(F5,0)</f>
        <v>45716</v>
      </c>
      <c r="H5" s="23">
        <f t="shared" ref="H5:H15" si="0">_xlfn.DAYS(G5,F5)+1</f>
        <v>28</v>
      </c>
      <c r="I5" s="17">
        <f>NETWORKDAYS.INTL(F5,G5,,feries)</f>
        <v>20</v>
      </c>
      <c r="J5" s="47">
        <f>NETWORKDAYS.INTL($F5,$G5,J$2,feries)</f>
        <v>4</v>
      </c>
      <c r="K5" s="47">
        <f>NETWORKDAYS.INTL($F5,$G5,K$2,feries)</f>
        <v>4</v>
      </c>
      <c r="L5" s="47">
        <f>NETWORKDAYS.INTL($F5,$G5,L$2,feries)</f>
        <v>4</v>
      </c>
      <c r="M5" s="47">
        <f>NETWORKDAYS.INTL($F5,$G5,M$2,feries)</f>
        <v>4</v>
      </c>
      <c r="N5" s="47">
        <f>NETWORKDAYS.INTL($F5,$G5,N$2,feries)</f>
        <v>4</v>
      </c>
      <c r="O5" s="62">
        <f>NETWORKDAYS.INTL($F5,$G5,O$2,feries)</f>
        <v>4</v>
      </c>
      <c r="P5" s="63">
        <f>NETWORKDAYS.INTL($F5,$G5,P$2,feries)</f>
        <v>4</v>
      </c>
      <c r="Q5" s="58">
        <f>$G5-$F5+1-NETWORKDAYS.INTL($F5,$G5,Q$2,feries)</f>
        <v>0</v>
      </c>
    </row>
    <row r="6" spans="1:17" x14ac:dyDescent="0.25">
      <c r="A6" s="20" t="s">
        <v>7</v>
      </c>
      <c r="B6" s="8">
        <f>D10+1</f>
        <v>45768</v>
      </c>
      <c r="C6" s="3"/>
      <c r="D6" s="9">
        <f>2*MOD($B$3,4)</f>
        <v>2</v>
      </c>
      <c r="E6" s="13"/>
      <c r="F6" s="15">
        <v>45717</v>
      </c>
      <c r="G6" s="16">
        <f t="shared" ref="G6:G15" si="1">EOMONTH(F6,0)</f>
        <v>45747</v>
      </c>
      <c r="H6" s="23">
        <f t="shared" si="0"/>
        <v>31</v>
      </c>
      <c r="I6" s="17">
        <f>NETWORKDAYS.INTL(F6,G6,,feries)</f>
        <v>21</v>
      </c>
      <c r="J6" s="47">
        <f>NETWORKDAYS.INTL($F6,$G6,J$2,feries)</f>
        <v>5</v>
      </c>
      <c r="K6" s="47">
        <f>NETWORKDAYS.INTL($F6,$G6,K$2,feries)</f>
        <v>4</v>
      </c>
      <c r="L6" s="47">
        <f>NETWORKDAYS.INTL($F6,$G6,L$2,feries)</f>
        <v>4</v>
      </c>
      <c r="M6" s="47">
        <f>NETWORKDAYS.INTL($F6,$G6,M$2,feries)</f>
        <v>4</v>
      </c>
      <c r="N6" s="47">
        <f>NETWORKDAYS.INTL($F6,$G6,N$2,feries)</f>
        <v>4</v>
      </c>
      <c r="O6" s="62">
        <f>NETWORKDAYS.INTL($F6,$G6,O$2,feries)</f>
        <v>5</v>
      </c>
      <c r="P6" s="63">
        <f>NETWORKDAYS.INTL($F6,$G6,P$2,feries)</f>
        <v>5</v>
      </c>
      <c r="Q6" s="58">
        <f>$G6-$F6+1-NETWORKDAYS.INTL($F6,$G6,Q$2,feries)</f>
        <v>0</v>
      </c>
    </row>
    <row r="7" spans="1:17" x14ac:dyDescent="0.25">
      <c r="A7" s="20" t="s">
        <v>8</v>
      </c>
      <c r="B7" s="8">
        <f>DATE(B3,5,1)</f>
        <v>45778</v>
      </c>
      <c r="C7" s="3"/>
      <c r="D7" s="9">
        <f>4*MOD($B$3,7)</f>
        <v>8</v>
      </c>
      <c r="E7" s="13"/>
      <c r="F7" s="15">
        <v>45748</v>
      </c>
      <c r="G7" s="16">
        <f t="shared" si="1"/>
        <v>45777</v>
      </c>
      <c r="H7" s="23">
        <f t="shared" si="0"/>
        <v>30</v>
      </c>
      <c r="I7" s="17">
        <f>NETWORKDAYS.INTL(F7,G7,,feries)</f>
        <v>21</v>
      </c>
      <c r="J7" s="47">
        <f>NETWORKDAYS.INTL($F7,$G7,J$2,feries)</f>
        <v>3</v>
      </c>
      <c r="K7" s="47">
        <f>NETWORKDAYS.INTL($F7,$G7,K$2,feries)</f>
        <v>5</v>
      </c>
      <c r="L7" s="47">
        <f>NETWORKDAYS.INTL($F7,$G7,L$2,feries)</f>
        <v>5</v>
      </c>
      <c r="M7" s="47">
        <f>NETWORKDAYS.INTL($F7,$G7,M$2,feries)</f>
        <v>4</v>
      </c>
      <c r="N7" s="47">
        <f>NETWORKDAYS.INTL($F7,$G7,N$2,feries)</f>
        <v>4</v>
      </c>
      <c r="O7" s="62">
        <f>NETWORKDAYS.INTL($F7,$G7,O$2,feries)</f>
        <v>4</v>
      </c>
      <c r="P7" s="63">
        <f>NETWORKDAYS.INTL($F7,$G7,P$2,feries)</f>
        <v>3</v>
      </c>
      <c r="Q7" s="58">
        <f>$G7-$F7+1-NETWORKDAYS.INTL($F7,$G7,Q$2,feries)</f>
        <v>2</v>
      </c>
    </row>
    <row r="8" spans="1:17" x14ac:dyDescent="0.25">
      <c r="A8" s="20" t="s">
        <v>9</v>
      </c>
      <c r="B8" s="8">
        <f>DATE(B3,5,8)</f>
        <v>45785</v>
      </c>
      <c r="C8" s="3"/>
      <c r="D8" s="9">
        <f>MOD(D5+24,30)</f>
        <v>23</v>
      </c>
      <c r="E8" s="13"/>
      <c r="F8" s="15">
        <v>45778</v>
      </c>
      <c r="G8" s="16">
        <f t="shared" si="1"/>
        <v>45808</v>
      </c>
      <c r="H8" s="23">
        <f t="shared" si="0"/>
        <v>31</v>
      </c>
      <c r="I8" s="17">
        <f>NETWORKDAYS.INTL(F8,G8,,feries)</f>
        <v>19</v>
      </c>
      <c r="J8" s="47">
        <f>NETWORKDAYS.INTL($F8,$G8,J$2,feries)</f>
        <v>4</v>
      </c>
      <c r="K8" s="47">
        <f>NETWORKDAYS.INTL($F8,$G8,K$2,feries)</f>
        <v>4</v>
      </c>
      <c r="L8" s="47">
        <f>NETWORKDAYS.INTL($F8,$G8,L$2,feries)</f>
        <v>4</v>
      </c>
      <c r="M8" s="47">
        <f>NETWORKDAYS.INTL($F8,$G8,M$2,feries)</f>
        <v>2</v>
      </c>
      <c r="N8" s="47">
        <f>NETWORKDAYS.INTL($F8,$G8,N$2,feries)</f>
        <v>5</v>
      </c>
      <c r="O8" s="62">
        <f>NETWORKDAYS.INTL($F8,$G8,O$2,feries)</f>
        <v>5</v>
      </c>
      <c r="P8" s="63">
        <f>NETWORKDAYS.INTL($F8,$G8,P$2,feries)</f>
        <v>4</v>
      </c>
      <c r="Q8" s="58">
        <f>$G8-$F8+1-NETWORKDAYS.INTL($F8,$G8,Q$2,feries)</f>
        <v>3</v>
      </c>
    </row>
    <row r="9" spans="1:17" x14ac:dyDescent="0.25">
      <c r="A9" s="20" t="s">
        <v>10</v>
      </c>
      <c r="B9" s="8">
        <f>B6+38</f>
        <v>45806</v>
      </c>
      <c r="C9" s="3"/>
      <c r="D9" s="9">
        <f>MOD(D6+D7+6*D8+5,7)</f>
        <v>6</v>
      </c>
      <c r="E9" s="13"/>
      <c r="F9" s="15">
        <v>45809</v>
      </c>
      <c r="G9" s="16">
        <f t="shared" si="1"/>
        <v>45838</v>
      </c>
      <c r="H9" s="23">
        <f t="shared" si="0"/>
        <v>30</v>
      </c>
      <c r="I9" s="17">
        <f>NETWORKDAYS.INTL(F9,G9,,feries)</f>
        <v>20</v>
      </c>
      <c r="J9" s="47">
        <f>NETWORKDAYS.INTL($F9,$G9,J$2,feries)</f>
        <v>4</v>
      </c>
      <c r="K9" s="47">
        <f>NETWORKDAYS.INTL($F9,$G9,K$2,feries)</f>
        <v>4</v>
      </c>
      <c r="L9" s="47">
        <f>NETWORKDAYS.INTL($F9,$G9,L$2,feries)</f>
        <v>4</v>
      </c>
      <c r="M9" s="47">
        <f>NETWORKDAYS.INTL($F9,$G9,M$2,feries)</f>
        <v>4</v>
      </c>
      <c r="N9" s="47">
        <f>NETWORKDAYS.INTL($F9,$G9,N$2,feries)</f>
        <v>4</v>
      </c>
      <c r="O9" s="62">
        <f>NETWORKDAYS.INTL($F9,$G9,O$2,feries)</f>
        <v>4</v>
      </c>
      <c r="P9" s="63">
        <f>NETWORKDAYS.INTL($F9,$G9,P$2,feries)</f>
        <v>4</v>
      </c>
      <c r="Q9" s="58">
        <f>$G9-$F9+1-NETWORKDAYS.INTL($F9,$G9,Q$2,feries)</f>
        <v>2</v>
      </c>
    </row>
    <row r="10" spans="1:17" ht="15.75" thickBot="1" x14ac:dyDescent="0.3">
      <c r="A10" s="20" t="s">
        <v>11</v>
      </c>
      <c r="B10" s="8">
        <f>B6+49</f>
        <v>45817</v>
      </c>
      <c r="C10" s="3"/>
      <c r="D10" s="10">
        <f>IF(D8+D9-9&lt;=0,DATE($B$3,3,22+D8+D9),DATE($B$3,4,D8+D9-9))</f>
        <v>45767</v>
      </c>
      <c r="E10" s="13"/>
      <c r="F10" s="15">
        <v>45839</v>
      </c>
      <c r="G10" s="16">
        <f t="shared" si="1"/>
        <v>45869</v>
      </c>
      <c r="H10" s="23">
        <f t="shared" si="0"/>
        <v>31</v>
      </c>
      <c r="I10" s="17">
        <f>NETWORKDAYS.INTL(F10,G10,,feries)</f>
        <v>22</v>
      </c>
      <c r="J10" s="47">
        <f>NETWORKDAYS.INTL($F10,$G10,J$2,feries)</f>
        <v>3</v>
      </c>
      <c r="K10" s="47">
        <f>NETWORKDAYS.INTL($F10,$G10,K$2,feries)</f>
        <v>5</v>
      </c>
      <c r="L10" s="47">
        <f>NETWORKDAYS.INTL($F10,$G10,L$2,feries)</f>
        <v>5</v>
      </c>
      <c r="M10" s="47">
        <f>NETWORKDAYS.INTL($F10,$G10,M$2,feries)</f>
        <v>5</v>
      </c>
      <c r="N10" s="47">
        <f>NETWORKDAYS.INTL($F10,$G10,N$2,feries)</f>
        <v>4</v>
      </c>
      <c r="O10" s="62">
        <f>NETWORKDAYS.INTL($F10,$G10,O$2,feries)</f>
        <v>4</v>
      </c>
      <c r="P10" s="63">
        <f>NETWORKDAYS.INTL($F10,$G10,P$2,feries)</f>
        <v>4</v>
      </c>
      <c r="Q10" s="58">
        <f>$G10-$F10+1-NETWORKDAYS.INTL($F10,$G10,Q$2,feries)</f>
        <v>1</v>
      </c>
    </row>
    <row r="11" spans="1:17" x14ac:dyDescent="0.25">
      <c r="A11" s="20" t="s">
        <v>12</v>
      </c>
      <c r="B11" s="8">
        <f>DATE(B3,7,14)</f>
        <v>45852</v>
      </c>
      <c r="C11" s="3"/>
      <c r="D11" s="3"/>
      <c r="E11" s="3"/>
      <c r="F11" s="15">
        <v>45870</v>
      </c>
      <c r="G11" s="16">
        <f t="shared" si="1"/>
        <v>45900</v>
      </c>
      <c r="H11" s="23">
        <f t="shared" si="0"/>
        <v>31</v>
      </c>
      <c r="I11" s="17">
        <f>NETWORKDAYS.INTL(F11,G11,,feries)</f>
        <v>20</v>
      </c>
      <c r="J11" s="47">
        <f>NETWORKDAYS.INTL($F11,$G11,J$2,feries)</f>
        <v>4</v>
      </c>
      <c r="K11" s="47">
        <f>NETWORKDAYS.INTL($F11,$G11,K$2,feries)</f>
        <v>4</v>
      </c>
      <c r="L11" s="47">
        <f>NETWORKDAYS.INTL($F11,$G11,L$2,feries)</f>
        <v>4</v>
      </c>
      <c r="M11" s="47">
        <f>NETWORKDAYS.INTL($F11,$G11,M$2,feries)</f>
        <v>4</v>
      </c>
      <c r="N11" s="47">
        <f>NETWORKDAYS.INTL($F11,$G11,N$2,feries)</f>
        <v>4</v>
      </c>
      <c r="O11" s="62">
        <f>NETWORKDAYS.INTL($F11,$G11,O$2,feries)</f>
        <v>5</v>
      </c>
      <c r="P11" s="63">
        <f>NETWORKDAYS.INTL($F11,$G11,P$2,feries)</f>
        <v>5</v>
      </c>
      <c r="Q11" s="58">
        <f>$G11-$F11+1-NETWORKDAYS.INTL($F11,$G11,Q$2,feries)</f>
        <v>1</v>
      </c>
    </row>
    <row r="12" spans="1:17" x14ac:dyDescent="0.25">
      <c r="A12" s="20" t="s">
        <v>13</v>
      </c>
      <c r="B12" s="8">
        <f>DATE(B3,8,15)</f>
        <v>45884</v>
      </c>
      <c r="C12" s="3"/>
      <c r="D12" s="3"/>
      <c r="E12" s="3"/>
      <c r="F12" s="15">
        <v>45901</v>
      </c>
      <c r="G12" s="16">
        <f t="shared" si="1"/>
        <v>45930</v>
      </c>
      <c r="H12" s="23">
        <f t="shared" si="0"/>
        <v>30</v>
      </c>
      <c r="I12" s="17">
        <f>NETWORKDAYS.INTL(F12,G12,,feries)</f>
        <v>22</v>
      </c>
      <c r="J12" s="47">
        <f>NETWORKDAYS.INTL($F12,$G12,J$2,feries)</f>
        <v>5</v>
      </c>
      <c r="K12" s="47">
        <f>NETWORKDAYS.INTL($F12,$G12,K$2,feries)</f>
        <v>5</v>
      </c>
      <c r="L12" s="47">
        <f>NETWORKDAYS.INTL($F12,$G12,L$2,feries)</f>
        <v>4</v>
      </c>
      <c r="M12" s="47">
        <f>NETWORKDAYS.INTL($F12,$G12,M$2,feries)</f>
        <v>4</v>
      </c>
      <c r="N12" s="47">
        <f>NETWORKDAYS.INTL($F12,$G12,N$2,feries)</f>
        <v>4</v>
      </c>
      <c r="O12" s="62">
        <f>NETWORKDAYS.INTL($F12,$G12,O$2,feries)</f>
        <v>4</v>
      </c>
      <c r="P12" s="63">
        <f>NETWORKDAYS.INTL($F12,$G12,P$2,feries)</f>
        <v>4</v>
      </c>
      <c r="Q12" s="58">
        <f>$G12-$F12+1-NETWORKDAYS.INTL($F12,$G12,Q$2,feries)</f>
        <v>0</v>
      </c>
    </row>
    <row r="13" spans="1:17" x14ac:dyDescent="0.25">
      <c r="A13" s="20" t="s">
        <v>14</v>
      </c>
      <c r="B13" s="8">
        <f>DATE(B3,11,1)</f>
        <v>45962</v>
      </c>
      <c r="C13" s="3"/>
      <c r="D13" s="3"/>
      <c r="E13" s="3"/>
      <c r="F13" s="15">
        <v>45931</v>
      </c>
      <c r="G13" s="16">
        <f t="shared" si="1"/>
        <v>45961</v>
      </c>
      <c r="H13" s="23">
        <f t="shared" si="0"/>
        <v>31</v>
      </c>
      <c r="I13" s="17">
        <f>NETWORKDAYS.INTL(F13,G13,,feries)</f>
        <v>23</v>
      </c>
      <c r="J13" s="47">
        <f>NETWORKDAYS.INTL($F13,$G13,J$2,feries)</f>
        <v>4</v>
      </c>
      <c r="K13" s="47">
        <f>NETWORKDAYS.INTL($F13,$G13,K$2,feries)</f>
        <v>4</v>
      </c>
      <c r="L13" s="47">
        <f>NETWORKDAYS.INTL($F13,$G13,L$2,feries)</f>
        <v>5</v>
      </c>
      <c r="M13" s="47">
        <f>NETWORKDAYS.INTL($F13,$G13,M$2,feries)</f>
        <v>5</v>
      </c>
      <c r="N13" s="47">
        <f>NETWORKDAYS.INTL($F13,$G13,N$2,feries)</f>
        <v>5</v>
      </c>
      <c r="O13" s="62">
        <f>NETWORKDAYS.INTL($F13,$G13,O$2,feries)</f>
        <v>4</v>
      </c>
      <c r="P13" s="63">
        <f>NETWORKDAYS.INTL($F13,$G13,P$2,feries)</f>
        <v>4</v>
      </c>
      <c r="Q13" s="58">
        <f>$G13-$F13+1-NETWORKDAYS.INTL($F13,$G13,Q$2,feries)</f>
        <v>0</v>
      </c>
    </row>
    <row r="14" spans="1:17" x14ac:dyDescent="0.25">
      <c r="A14" s="20" t="s">
        <v>15</v>
      </c>
      <c r="B14" s="8">
        <f>DATE(B3,11,11)</f>
        <v>45972</v>
      </c>
      <c r="C14" s="3"/>
      <c r="D14" s="3"/>
      <c r="E14" s="3"/>
      <c r="F14" s="15">
        <v>45962</v>
      </c>
      <c r="G14" s="16">
        <f t="shared" si="1"/>
        <v>45991</v>
      </c>
      <c r="H14" s="23">
        <f t="shared" si="0"/>
        <v>30</v>
      </c>
      <c r="I14" s="17">
        <f>NETWORKDAYS.INTL(F14,G14,,feries)</f>
        <v>19</v>
      </c>
      <c r="J14" s="47">
        <f>NETWORKDAYS.INTL($F14,$G14,J$2,feries)</f>
        <v>4</v>
      </c>
      <c r="K14" s="47">
        <f>NETWORKDAYS.INTL($F14,$G14,K$2,feries)</f>
        <v>3</v>
      </c>
      <c r="L14" s="47">
        <f>NETWORKDAYS.INTL($F14,$G14,L$2,feries)</f>
        <v>4</v>
      </c>
      <c r="M14" s="47">
        <f>NETWORKDAYS.INTL($F14,$G14,M$2,feries)</f>
        <v>4</v>
      </c>
      <c r="N14" s="47">
        <f>NETWORKDAYS.INTL($F14,$G14,N$2,feries)</f>
        <v>4</v>
      </c>
      <c r="O14" s="62">
        <f>NETWORKDAYS.INTL($F14,$G14,O$2,feries)</f>
        <v>4</v>
      </c>
      <c r="P14" s="63">
        <f>NETWORKDAYS.INTL($F14,$G14,P$2,feries)</f>
        <v>5</v>
      </c>
      <c r="Q14" s="58">
        <f>$G14-$F14+1-NETWORKDAYS.INTL($F14,$G14,Q$2,feries)</f>
        <v>2</v>
      </c>
    </row>
    <row r="15" spans="1:17" ht="15.75" thickBot="1" x14ac:dyDescent="0.3">
      <c r="A15" s="21" t="s">
        <v>16</v>
      </c>
      <c r="B15" s="11">
        <f>DATE(B3,12,25)</f>
        <v>46016</v>
      </c>
      <c r="C15" s="3"/>
      <c r="D15" s="3"/>
      <c r="E15" s="3"/>
      <c r="F15" s="15">
        <v>45992</v>
      </c>
      <c r="G15" s="16">
        <f t="shared" si="1"/>
        <v>46022</v>
      </c>
      <c r="H15" s="23">
        <f t="shared" si="0"/>
        <v>31</v>
      </c>
      <c r="I15" s="17">
        <f>NETWORKDAYS.INTL(F15,G15,,feries)</f>
        <v>22</v>
      </c>
      <c r="J15" s="47">
        <f>NETWORKDAYS.INTL($F15,$G15,J$2,feries)</f>
        <v>5</v>
      </c>
      <c r="K15" s="47">
        <f>NETWORKDAYS.INTL($F15,$G15,K$2,feries)</f>
        <v>5</v>
      </c>
      <c r="L15" s="47">
        <f>NETWORKDAYS.INTL($F15,$G15,L$2,feries)</f>
        <v>5</v>
      </c>
      <c r="M15" s="47">
        <f>NETWORKDAYS.INTL($F15,$G15,M$2,feries)</f>
        <v>3</v>
      </c>
      <c r="N15" s="47">
        <f>NETWORKDAYS.INTL($F15,$G15,N$2,feries)</f>
        <v>4</v>
      </c>
      <c r="O15" s="62">
        <f>NETWORKDAYS.INTL($F15,$G15,O$2,feries)</f>
        <v>4</v>
      </c>
      <c r="P15" s="63">
        <f>NETWORKDAYS.INTL($F15,$G15,P$2,feries)</f>
        <v>4</v>
      </c>
      <c r="Q15" s="58">
        <f>$G15-$F15+1-NETWORKDAYS.INTL($F15,$G15,Q$2,feries)</f>
        <v>1</v>
      </c>
    </row>
    <row r="16" spans="1:17" x14ac:dyDescent="0.25">
      <c r="H16" s="59">
        <f>SUM(J16:Q16)</f>
        <v>365</v>
      </c>
      <c r="I16" s="47">
        <f>SUM(I4:I15)</f>
        <v>251</v>
      </c>
      <c r="J16" s="47">
        <f>SUM(J4:J15)</f>
        <v>49</v>
      </c>
      <c r="K16" s="47">
        <f t="shared" ref="K16:Q16" si="2">SUM(K4:K15)</f>
        <v>51</v>
      </c>
      <c r="L16" s="47">
        <f t="shared" si="2"/>
        <v>52</v>
      </c>
      <c r="M16" s="47">
        <f t="shared" si="2"/>
        <v>48</v>
      </c>
      <c r="N16" s="47">
        <f t="shared" si="2"/>
        <v>51</v>
      </c>
      <c r="O16" s="62">
        <f t="shared" si="2"/>
        <v>51</v>
      </c>
      <c r="P16" s="63">
        <f t="shared" si="2"/>
        <v>50</v>
      </c>
      <c r="Q16" s="47">
        <f t="shared" si="2"/>
        <v>13</v>
      </c>
    </row>
    <row r="17" spans="2:17" x14ac:dyDescent="0.25">
      <c r="H17" s="47"/>
      <c r="I17" s="47"/>
      <c r="J17" s="47"/>
      <c r="K17" s="47"/>
      <c r="L17" s="47"/>
      <c r="M17" s="47"/>
      <c r="N17" s="47"/>
      <c r="O17" s="62"/>
      <c r="P17" s="63"/>
      <c r="Q17" s="47"/>
    </row>
    <row r="18" spans="2:17" x14ac:dyDescent="0.25">
      <c r="B18" s="28">
        <v>45717</v>
      </c>
      <c r="G18" t="s">
        <v>62</v>
      </c>
      <c r="I18" s="47">
        <f>SUM(J18:P18)</f>
        <v>365</v>
      </c>
      <c r="J18" s="57">
        <f>NETWORKDAYS.INTL($F$4,$G$15,J$2)</f>
        <v>52</v>
      </c>
      <c r="K18" s="57">
        <f t="shared" ref="K18:P18" si="3">NETWORKDAYS.INTL($F$4,$G$15,K$2)</f>
        <v>52</v>
      </c>
      <c r="L18" s="57">
        <f t="shared" si="3"/>
        <v>53</v>
      </c>
      <c r="M18" s="57">
        <f t="shared" si="3"/>
        <v>52</v>
      </c>
      <c r="N18" s="57">
        <f t="shared" si="3"/>
        <v>52</v>
      </c>
      <c r="O18" s="64">
        <f t="shared" si="3"/>
        <v>52</v>
      </c>
      <c r="P18" s="65">
        <f t="shared" si="3"/>
        <v>52</v>
      </c>
      <c r="Q18" s="57"/>
    </row>
    <row r="19" spans="2:17" x14ac:dyDescent="0.25">
      <c r="B19" s="28">
        <v>45718</v>
      </c>
      <c r="G19" t="s">
        <v>61</v>
      </c>
      <c r="I19" s="47">
        <f>SUM(J19:P19)</f>
        <v>13</v>
      </c>
      <c r="J19" s="49">
        <f>+J18-J16</f>
        <v>3</v>
      </c>
      <c r="K19" s="49">
        <f>+K18-K16</f>
        <v>1</v>
      </c>
      <c r="L19" s="49">
        <f>+L18-L16</f>
        <v>1</v>
      </c>
      <c r="M19" s="49">
        <f>+M18-M16</f>
        <v>4</v>
      </c>
      <c r="N19" s="49">
        <f>+N18-N16</f>
        <v>1</v>
      </c>
      <c r="O19" s="66">
        <f>+O18-O16</f>
        <v>1</v>
      </c>
      <c r="P19" s="67">
        <f>+P18-P16</f>
        <v>2</v>
      </c>
    </row>
    <row r="20" spans="2:17" x14ac:dyDescent="0.25">
      <c r="B20" s="28">
        <v>45719</v>
      </c>
      <c r="G20" t="s">
        <v>63</v>
      </c>
      <c r="I20" s="47">
        <f>SUM(J20:N20)</f>
        <v>251</v>
      </c>
      <c r="J20" s="49">
        <f>+J18-J19</f>
        <v>49</v>
      </c>
      <c r="K20" s="49">
        <f t="shared" ref="K20:P20" si="4">+K18-K19</f>
        <v>51</v>
      </c>
      <c r="L20" s="49">
        <f t="shared" si="4"/>
        <v>52</v>
      </c>
      <c r="M20" s="49">
        <f t="shared" si="4"/>
        <v>48</v>
      </c>
      <c r="N20" s="49">
        <f t="shared" si="4"/>
        <v>51</v>
      </c>
      <c r="O20" s="68">
        <f t="shared" si="4"/>
        <v>51</v>
      </c>
      <c r="P20" s="69">
        <f t="shared" si="4"/>
        <v>50</v>
      </c>
    </row>
    <row r="21" spans="2:17" x14ac:dyDescent="0.25">
      <c r="B21" s="28">
        <v>45720</v>
      </c>
    </row>
    <row r="22" spans="2:17" x14ac:dyDescent="0.25">
      <c r="B22" s="28">
        <v>45721</v>
      </c>
    </row>
    <row r="23" spans="2:17" x14ac:dyDescent="0.25">
      <c r="B23" s="28">
        <v>45722</v>
      </c>
    </row>
    <row r="24" spans="2:17" x14ac:dyDescent="0.25">
      <c r="B24" s="28">
        <v>45723</v>
      </c>
    </row>
    <row r="25" spans="2:17" x14ac:dyDescent="0.25">
      <c r="B25" s="28">
        <v>45724</v>
      </c>
    </row>
    <row r="26" spans="2:17" x14ac:dyDescent="0.25">
      <c r="B26" s="28">
        <v>45725</v>
      </c>
    </row>
    <row r="27" spans="2:17" x14ac:dyDescent="0.25">
      <c r="B27" s="28">
        <v>45726</v>
      </c>
    </row>
    <row r="28" spans="2:17" x14ac:dyDescent="0.25">
      <c r="B28" s="28">
        <v>45727</v>
      </c>
    </row>
    <row r="29" spans="2:17" x14ac:dyDescent="0.25">
      <c r="B29" s="28">
        <v>45728</v>
      </c>
    </row>
    <row r="30" spans="2:17" x14ac:dyDescent="0.25">
      <c r="B30" s="28">
        <v>45729</v>
      </c>
    </row>
    <row r="31" spans="2:17" x14ac:dyDescent="0.25">
      <c r="B31" s="28">
        <v>45730</v>
      </c>
    </row>
    <row r="32" spans="2:17" x14ac:dyDescent="0.25">
      <c r="B32" s="28">
        <v>45731</v>
      </c>
    </row>
    <row r="33" spans="2:2" x14ac:dyDescent="0.25">
      <c r="B33" s="28">
        <v>45732</v>
      </c>
    </row>
    <row r="34" spans="2:2" x14ac:dyDescent="0.25">
      <c r="B34" s="28">
        <v>45733</v>
      </c>
    </row>
    <row r="35" spans="2:2" x14ac:dyDescent="0.25">
      <c r="B35" s="28">
        <v>45734</v>
      </c>
    </row>
    <row r="36" spans="2:2" x14ac:dyDescent="0.25">
      <c r="B36" s="28">
        <v>45735</v>
      </c>
    </row>
    <row r="37" spans="2:2" x14ac:dyDescent="0.25">
      <c r="B37" s="28">
        <v>45736</v>
      </c>
    </row>
    <row r="38" spans="2:2" x14ac:dyDescent="0.25">
      <c r="B38" s="28">
        <v>45737</v>
      </c>
    </row>
    <row r="39" spans="2:2" x14ac:dyDescent="0.25">
      <c r="B39" s="28">
        <v>45738</v>
      </c>
    </row>
    <row r="40" spans="2:2" x14ac:dyDescent="0.25">
      <c r="B40" s="28">
        <v>45739</v>
      </c>
    </row>
    <row r="41" spans="2:2" x14ac:dyDescent="0.25">
      <c r="B41" s="28">
        <v>45740</v>
      </c>
    </row>
    <row r="42" spans="2:2" x14ac:dyDescent="0.25">
      <c r="B42" s="28">
        <v>45741</v>
      </c>
    </row>
    <row r="43" spans="2:2" x14ac:dyDescent="0.25">
      <c r="B43" s="28">
        <v>45742</v>
      </c>
    </row>
    <row r="44" spans="2:2" x14ac:dyDescent="0.25">
      <c r="B44" s="28">
        <v>45743</v>
      </c>
    </row>
    <row r="45" spans="2:2" x14ac:dyDescent="0.25">
      <c r="B45" s="28">
        <v>45744</v>
      </c>
    </row>
    <row r="46" spans="2:2" x14ac:dyDescent="0.25">
      <c r="B46" s="28">
        <v>45745</v>
      </c>
    </row>
    <row r="47" spans="2:2" x14ac:dyDescent="0.25">
      <c r="B47" s="28">
        <v>45746</v>
      </c>
    </row>
    <row r="48" spans="2:2" x14ac:dyDescent="0.25">
      <c r="B48" s="28">
        <v>45747</v>
      </c>
    </row>
  </sheetData>
  <mergeCells count="1">
    <mergeCell ref="D3:D4"/>
  </mergeCells>
  <phoneticPr fontId="13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"/>
  <sheetViews>
    <sheetView tabSelected="1" workbookViewId="0">
      <selection activeCell="G12" sqref="G12"/>
    </sheetView>
  </sheetViews>
  <sheetFormatPr defaultColWidth="11.42578125" defaultRowHeight="15" x14ac:dyDescent="0.25"/>
  <cols>
    <col min="1" max="1" width="10.5703125" customWidth="1"/>
    <col min="2" max="2" width="9.28515625" customWidth="1"/>
    <col min="3" max="4" width="9.5703125" customWidth="1"/>
    <col min="5" max="11" width="5.7109375" customWidth="1"/>
    <col min="12" max="12" width="6.85546875" customWidth="1"/>
    <col min="13" max="13" width="0" hidden="1" customWidth="1"/>
    <col min="14" max="14" width="12.28515625" customWidth="1"/>
    <col min="15" max="18" width="11.7109375" customWidth="1"/>
    <col min="19" max="19" width="24.85546875" bestFit="1" customWidth="1"/>
  </cols>
  <sheetData>
    <row r="1" spans="1:19" x14ac:dyDescent="0.25">
      <c r="E1" s="70" t="s">
        <v>45</v>
      </c>
      <c r="F1" s="70" t="s">
        <v>46</v>
      </c>
      <c r="G1" s="70" t="s">
        <v>47</v>
      </c>
      <c r="H1" s="70" t="s">
        <v>48</v>
      </c>
      <c r="I1" s="70" t="s">
        <v>49</v>
      </c>
      <c r="J1" s="70" t="s">
        <v>50</v>
      </c>
      <c r="K1" s="70" t="s">
        <v>51</v>
      </c>
      <c r="L1" s="70" t="s">
        <v>60</v>
      </c>
    </row>
    <row r="3" spans="1:19" x14ac:dyDescent="0.25">
      <c r="A3" s="27" t="s">
        <v>0</v>
      </c>
      <c r="B3" s="29">
        <v>45717</v>
      </c>
      <c r="C3" s="29">
        <v>45747</v>
      </c>
      <c r="D3" s="29"/>
      <c r="E3" s="48"/>
      <c r="F3" s="48"/>
      <c r="G3" s="48"/>
      <c r="H3" s="48"/>
      <c r="I3" s="48"/>
      <c r="J3" s="48"/>
      <c r="K3" s="48"/>
      <c r="L3" s="26"/>
      <c r="M3" s="24"/>
      <c r="N3" s="24"/>
      <c r="O3" s="44" t="s">
        <v>26</v>
      </c>
      <c r="P3" s="44"/>
      <c r="Q3" s="42" t="s">
        <v>27</v>
      </c>
      <c r="R3" s="42"/>
      <c r="S3" s="25"/>
    </row>
    <row r="4" spans="1:19" x14ac:dyDescent="0.25">
      <c r="A4" s="44" t="s">
        <v>44</v>
      </c>
      <c r="B4" s="44" t="s">
        <v>28</v>
      </c>
      <c r="C4" s="44" t="s">
        <v>29</v>
      </c>
      <c r="D4" s="31" t="s">
        <v>65</v>
      </c>
      <c r="E4" s="40" t="s">
        <v>35</v>
      </c>
      <c r="F4" s="40" t="s">
        <v>36</v>
      </c>
      <c r="G4" s="40" t="s">
        <v>36</v>
      </c>
      <c r="H4" s="40" t="s">
        <v>37</v>
      </c>
      <c r="I4" s="40" t="s">
        <v>38</v>
      </c>
      <c r="J4" s="40" t="s">
        <v>39</v>
      </c>
      <c r="K4" s="40" t="s">
        <v>40</v>
      </c>
      <c r="L4" s="40" t="s">
        <v>41</v>
      </c>
      <c r="M4" s="44" t="s">
        <v>30</v>
      </c>
      <c r="N4" s="45" t="s">
        <v>31</v>
      </c>
      <c r="O4" s="42" t="s">
        <v>32</v>
      </c>
      <c r="P4" s="42" t="s">
        <v>33</v>
      </c>
      <c r="Q4" s="42" t="s">
        <v>32</v>
      </c>
      <c r="R4" s="42" t="s">
        <v>33</v>
      </c>
      <c r="S4" s="43" t="s">
        <v>34</v>
      </c>
    </row>
    <row r="5" spans="1:19" x14ac:dyDescent="0.25">
      <c r="A5" s="44"/>
      <c r="B5" s="44"/>
      <c r="C5" s="44"/>
      <c r="D5" s="32"/>
      <c r="E5" s="41"/>
      <c r="F5" s="41"/>
      <c r="G5" s="41"/>
      <c r="H5" s="41"/>
      <c r="I5" s="41"/>
      <c r="J5" s="41"/>
      <c r="K5" s="41"/>
      <c r="L5" s="41"/>
      <c r="M5" s="44"/>
      <c r="N5" s="45"/>
      <c r="O5" s="42"/>
      <c r="P5" s="42"/>
      <c r="Q5" s="42"/>
      <c r="R5" s="42"/>
      <c r="S5" s="43"/>
    </row>
    <row r="6" spans="1:19" x14ac:dyDescent="0.25">
      <c r="A6" s="33">
        <v>45708</v>
      </c>
      <c r="B6" s="34">
        <v>45719</v>
      </c>
      <c r="C6" s="34">
        <v>45747</v>
      </c>
      <c r="D6" s="34" t="s">
        <v>66</v>
      </c>
      <c r="E6" s="56">
        <f>(MID($D6,COLUMN()-COLUMN($E$1)+1,1)="1")*NETWORKDAYS.INTL($B6,$C6,E$1,feries)</f>
        <v>5</v>
      </c>
      <c r="F6" s="56">
        <f>(MID($D6,COLUMN()-COLUMN($E$1)+1,1)="1")*NETWORKDAYS.INTL($B6,$C6,F$1,feries)</f>
        <v>0</v>
      </c>
      <c r="G6" s="56">
        <f>(MID($D6,COLUMN()-COLUMN($E$1)+1,1)="1")*NETWORKDAYS.INTL($B6,$C6,G$1,feries)</f>
        <v>4</v>
      </c>
      <c r="H6" s="56">
        <f>(MID($D6,COLUMN()-COLUMN($E$1)+1,1)="1")*NETWORKDAYS.INTL($B6,$C6,H$1,feries)</f>
        <v>0</v>
      </c>
      <c r="I6" s="56">
        <f>(MID($D6,COLUMN()-COLUMN($E$1)+1,1)="1")*NETWORKDAYS.INTL($B6,$C6,I$1,feries)</f>
        <v>4</v>
      </c>
      <c r="J6" s="56">
        <f>(MID($D6,COLUMN()-COLUMN($E$1)+1,1)="1")*NETWORKDAYS.INTL($B6,$C6,J$1,feries)</f>
        <v>0</v>
      </c>
      <c r="K6" s="56">
        <f>(MID($D6,COLUMN()-COLUMN($E$1)+1,1)="1")*NETWORKDAYS.INTL($B6,$C6,K$1,feries)</f>
        <v>4</v>
      </c>
      <c r="L6" s="56">
        <f>(RIGHT($D6,1)="1")*(C6-B6+1-NETWORKDAYS.INTL($B6,$C6,L$1,feries))</f>
        <v>0</v>
      </c>
      <c r="M6" s="30" t="s">
        <v>42</v>
      </c>
      <c r="N6" s="35">
        <v>5</v>
      </c>
      <c r="O6" s="36"/>
      <c r="P6" s="36"/>
      <c r="Q6" s="36">
        <v>0.625</v>
      </c>
      <c r="R6" s="36">
        <v>0.79166666666666663</v>
      </c>
      <c r="S6" s="37">
        <f>SUM((P6-O6)+(R6-Q6))*N6</f>
        <v>0.83333333333333315</v>
      </c>
    </row>
    <row r="7" spans="1:19" x14ac:dyDescent="0.25">
      <c r="A7" s="33">
        <v>45708</v>
      </c>
      <c r="B7" s="34">
        <v>45717</v>
      </c>
      <c r="C7" s="34">
        <v>45743</v>
      </c>
      <c r="D7" s="34" t="s">
        <v>64</v>
      </c>
      <c r="E7" s="56">
        <f>(MID($D7,COLUMN()-COLUMN($E$1)+1,1)="1")*NETWORKDAYS.INTL($B7,$C7,E$1,feries)</f>
        <v>4</v>
      </c>
      <c r="F7" s="56">
        <f>(MID($D7,COLUMN()-COLUMN($E$1)+1,1)="1")*NETWORKDAYS.INTL($B7,$C7,F$1,feries)</f>
        <v>4</v>
      </c>
      <c r="G7" s="56">
        <f>(MID($D7,COLUMN()-COLUMN($E$1)+1,1)="1")*NETWORKDAYS.INTL($B7,$C7,G$1,feries)</f>
        <v>4</v>
      </c>
      <c r="H7" s="56">
        <f>(MID($D7,COLUMN()-COLUMN($E$1)+1,1)="1")*NETWORKDAYS.INTL($B7,$C7,H$1,feries)</f>
        <v>4</v>
      </c>
      <c r="I7" s="56">
        <f>(MID($D7,COLUMN()-COLUMN($E$1)+1,1)="1")*NETWORKDAYS.INTL($B7,$C7,I$1,feries)</f>
        <v>3</v>
      </c>
      <c r="J7" s="56">
        <f>(MID($D7,COLUMN()-COLUMN($E$1)+1,1)="1")*NETWORKDAYS.INTL($B7,$C7,J$1,feries)</f>
        <v>4</v>
      </c>
      <c r="K7" s="56">
        <f>(MID($D7,COLUMN()-COLUMN($E$1)+1,1)="1")*NETWORKDAYS.INTL($B7,$C7,K$1,feries)</f>
        <v>4</v>
      </c>
      <c r="L7" s="56">
        <f>(RIGHT($D7,1)="1")*(C7-B7+1-NETWORKDAYS.INTL($B7,$C7,L$1,feries))</f>
        <v>0</v>
      </c>
      <c r="M7" s="30" t="s">
        <v>43</v>
      </c>
      <c r="N7" s="35">
        <v>4</v>
      </c>
      <c r="O7" s="36"/>
      <c r="P7" s="36"/>
      <c r="Q7" s="36">
        <v>0.625</v>
      </c>
      <c r="R7" s="36">
        <v>0.79166666666666663</v>
      </c>
      <c r="S7" s="37">
        <f>SUM((P7-O7)+(R7-Q7))*N7</f>
        <v>0.66666666666666652</v>
      </c>
    </row>
  </sheetData>
  <mergeCells count="20">
    <mergeCell ref="O3:P3"/>
    <mergeCell ref="Q3:R3"/>
    <mergeCell ref="A4:A5"/>
    <mergeCell ref="B4:B5"/>
    <mergeCell ref="C4:C5"/>
    <mergeCell ref="M4:M5"/>
    <mergeCell ref="N4:N5"/>
    <mergeCell ref="O4:O5"/>
    <mergeCell ref="P4:P5"/>
    <mergeCell ref="Q4:Q5"/>
    <mergeCell ref="J4:J5"/>
    <mergeCell ref="K4:K5"/>
    <mergeCell ref="L4:L5"/>
    <mergeCell ref="R4:R5"/>
    <mergeCell ref="S4:S5"/>
    <mergeCell ref="E4:E5"/>
    <mergeCell ref="F4:F5"/>
    <mergeCell ref="G4:G5"/>
    <mergeCell ref="H4:H5"/>
    <mergeCell ref="I4:I5"/>
  </mergeCells>
  <phoneticPr fontId="1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100-000000000000}">
          <x14:formula1>
            <xm:f>Feuil1!$B$18:$B$48</xm:f>
          </x14:formula1>
          <xm:sqref>B6:C7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Feries</vt:lpstr>
      <vt:lpstr>Feuil1</vt:lpstr>
      <vt:lpstr>Feuil2</vt:lpstr>
      <vt:lpstr>feries</vt:lpstr>
    </vt:vector>
  </TitlesOfParts>
  <Company>Conseil Départemental 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LARSONNIER David</dc:creator>
  <cp:lastModifiedBy>BSA</cp:lastModifiedBy>
  <dcterms:created xsi:type="dcterms:W3CDTF">2025-04-15T08:23:01Z</dcterms:created>
  <dcterms:modified xsi:type="dcterms:W3CDTF">2025-04-16T09:50:43Z</dcterms:modified>
</cp:coreProperties>
</file>